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rojects\ey\src\resources\all\"/>
    </mc:Choice>
  </mc:AlternateContent>
  <xr:revisionPtr revIDLastSave="0" documentId="13_ncr:1_{23F3CCE2-1791-4878-99A3-5F0AD2A12FD6}" xr6:coauthVersionLast="47" xr6:coauthVersionMax="47" xr10:uidLastSave="{00000000-0000-0000-0000-000000000000}"/>
  <bookViews>
    <workbookView xWindow="28680" yWindow="-270" windowWidth="29040" windowHeight="15720" tabRatio="796" firstSheet="2" activeTab="2" xr2:uid="{00000000-000D-0000-FFFF-FFFF00000000}"/>
  </bookViews>
  <sheets>
    <sheet name="Master Data (do not print)" sheetId="51" state="hidden" r:id="rId1"/>
    <sheet name="COVER NEW" sheetId="52" state="hidden" r:id="rId2"/>
    <sheet name="BS" sheetId="3" r:id="rId3"/>
    <sheet name="P&amp;L" sheetId="4" r:id="rId4"/>
    <sheet name="CF" sheetId="5" r:id="rId5"/>
    <sheet name="NotesBS" sheetId="7" r:id="rId6"/>
    <sheet name="NotesP&amp;L" sheetId="6" r:id="rId7"/>
    <sheet name="Equity" sheetId="20" state="hidden" r:id="rId8"/>
    <sheet name="SAP" sheetId="25" r:id="rId9"/>
    <sheet name="SAP DRAFT" sheetId="1" r:id="rId10"/>
    <sheet name="GMBH BS 31.12.2022" sheetId="48" r:id="rId11"/>
    <sheet name="GMBH P&amp;L 12.2022" sheetId="49" r:id="rId12"/>
    <sheet name="AE" sheetId="10" r:id="rId13"/>
    <sheet name="GMBH BS 31.12.2022 (2)" sheetId="55" state="hidden" r:id="rId14"/>
    <sheet name="GMBH P&amp;L 12.2022 (2)" sheetId="56" state="hidden" r:id="rId15"/>
    <sheet name="Prepaid expenses" sheetId="54" state="hidden" r:id="rId16"/>
    <sheet name="Kontennachweis zur Bilanz" sheetId="53" state="hidden" r:id="rId17"/>
    <sheet name="GMBH BS 31.08.2020" sheetId="44" state="hidden" r:id="rId18"/>
    <sheet name="GMBH P&amp;L 31.08.2020" sheetId="45" state="hidden" r:id="rId19"/>
    <sheet name="GMBH BS 31.10.2020" sheetId="46" state="hidden" r:id="rId20"/>
    <sheet name="GMBH P&amp;L 31.10.2020" sheetId="47" state="hidden" r:id="rId21"/>
    <sheet name="GMBH BS 30.06.2020" sheetId="40" state="hidden" r:id="rId22"/>
    <sheet name="GMBH P&amp;L 30.06.2020" sheetId="41" state="hidden" r:id="rId23"/>
    <sheet name="GMBH BS 31.07.2020" sheetId="42" state="hidden" r:id="rId24"/>
    <sheet name="GMBH P&amp;L 31.07.2020" sheetId="43" state="hidden" r:id="rId25"/>
    <sheet name="GMBH BS 31.03.2020" sheetId="32" state="hidden" r:id="rId26"/>
    <sheet name="GMBH P&amp;L 31.03.2020" sheetId="33" state="hidden" r:id="rId27"/>
    <sheet name="GMBH BS 31.05.2020" sheetId="38" state="hidden" r:id="rId28"/>
    <sheet name="GMBH P&amp;L 31.05.2020" sheetId="39" state="hidden" r:id="rId29"/>
    <sheet name="GMBH BS 30.04.2020" sheetId="34" state="hidden" r:id="rId30"/>
    <sheet name="GMBH P&amp;L 30.04.2020" sheetId="35" state="hidden" r:id="rId31"/>
    <sheet name="GMBH BS 29.02.2020" sheetId="30" state="hidden" r:id="rId32"/>
    <sheet name="GMBH P&amp;L 29.02.2020" sheetId="31" state="hidden" r:id="rId33"/>
    <sheet name="GMBH BS 31.12.19" sheetId="28" state="hidden" r:id="rId34"/>
    <sheet name="GMBH P&amp;L 2019" sheetId="29" state="hidden" r:id="rId35"/>
    <sheet name="GMBH BS" sheetId="22" state="hidden" r:id="rId36"/>
    <sheet name="GMBH P&amp;L" sheetId="23" state="hidden" r:id="rId37"/>
    <sheet name="Index" sheetId="8" r:id="rId38"/>
    <sheet name="הערות" sheetId="21" state="hidden" r:id="rId39"/>
    <sheet name="התאמת יתרות קופות 2016" sheetId="19" state="hidden" r:id="rId40"/>
    <sheet name="דוח התאמה" sheetId="14" state="hidden" r:id="rId41"/>
    <sheet name="מו&quot;פ - נספח" sheetId="16" state="hidden" r:id="rId42"/>
    <sheet name="סיעף 32 (9)" sheetId="18" state="hidden" r:id="rId43"/>
    <sheet name="1235" sheetId="17" state="hidden" r:id="rId44"/>
    <sheet name="הוצאות מו&quot;פ " sheetId="15" state="hidden" r:id="rId45"/>
    <sheet name="נייר עזר חשבוניות עצמיות" sheetId="11" state="hidden" r:id="rId46"/>
    <sheet name="דוח התאמה למס" sheetId="12" state="hidden" r:id="rId47"/>
    <sheet name="הוצאות מו&quot;פ" sheetId="13" state="hidden" r:id="rId48"/>
  </sheets>
  <externalReferences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</externalReferences>
  <definedNames>
    <definedName name="\A" localSheetId="41">'[1]טורים 98'!$HJ$133</definedName>
    <definedName name="\A">'[2]טורים 98'!$HJ$133</definedName>
    <definedName name="\B" localSheetId="35">#REF!</definedName>
    <definedName name="\B" localSheetId="36">#REF!</definedName>
    <definedName name="\B" localSheetId="8">#REF!</definedName>
    <definedName name="\B">#REF!</definedName>
    <definedName name="\C" localSheetId="41">'[1]טורים 98'!$HJ$154</definedName>
    <definedName name="\C">'[2]טורים 98'!$HJ$154</definedName>
    <definedName name="\D" localSheetId="8">'[2]טורים 98'!#REF!</definedName>
    <definedName name="\D" localSheetId="41">'[1]טורים 98'!#REF!</definedName>
    <definedName name="\D">'[2]טורים 98'!#REF!</definedName>
    <definedName name="\E" localSheetId="41">'[1]טורים 98'!$HJ$155</definedName>
    <definedName name="\E">'[2]טורים 98'!$HJ$155</definedName>
    <definedName name="\F" localSheetId="41">'[1]טורים 98'!$GS$2</definedName>
    <definedName name="\F">'[2]טורים 98'!$GS$2</definedName>
    <definedName name="\H" localSheetId="41">'[1]טורים 98'!$B$336</definedName>
    <definedName name="\H">'[2]טורים 98'!$B$336</definedName>
    <definedName name="\J" localSheetId="41">'[1]טורים 98'!$HJ$164</definedName>
    <definedName name="\J">'[2]טורים 98'!$HJ$164</definedName>
    <definedName name="\K" localSheetId="41">'[1]טורים 98'!$HJ$166</definedName>
    <definedName name="\K">'[2]טורים 98'!$HJ$166</definedName>
    <definedName name="\L" localSheetId="41">'[1]טורים 98'!$HJ$124</definedName>
    <definedName name="\L">'[2]טורים 98'!$HJ$124</definedName>
    <definedName name="\M" localSheetId="41">'[1]טורים 98'!$HJ$121</definedName>
    <definedName name="\M">'[2]טורים 98'!$HJ$121</definedName>
    <definedName name="\O" localSheetId="41">'[1]טורים 98'!$HJ$144</definedName>
    <definedName name="\O">'[2]טורים 98'!$HJ$144</definedName>
    <definedName name="\P" localSheetId="41">'[1]טורים 98'!$GT$13</definedName>
    <definedName name="\P">'[2]טורים 98'!$GT$13</definedName>
    <definedName name="\Q" localSheetId="41">'[1]טורים 98'!$HJ$127</definedName>
    <definedName name="\Q">'[2]טורים 98'!$HJ$127</definedName>
    <definedName name="\R" localSheetId="41">'[1]טורים 98'!$HJ$118</definedName>
    <definedName name="\R">'[2]טורים 98'!$HJ$118</definedName>
    <definedName name="\S" localSheetId="41">'[1]טורים 98'!$HJ$151</definedName>
    <definedName name="\S">'[2]טורים 98'!$HJ$151</definedName>
    <definedName name="\t" localSheetId="35">#REF!</definedName>
    <definedName name="\t" localSheetId="36">#REF!</definedName>
    <definedName name="\t" localSheetId="8">#REF!</definedName>
    <definedName name="\t">#REF!</definedName>
    <definedName name="\U" localSheetId="41">'[1]טורים 98'!$HJ$116</definedName>
    <definedName name="\U">'[2]טורים 98'!$HJ$116</definedName>
    <definedName name="\W" localSheetId="41">'[1]טורים 98'!$HJ$113</definedName>
    <definedName name="\W">'[2]טורים 98'!$HJ$113</definedName>
    <definedName name="\X" localSheetId="41">'[1]טורים 98'!$HJ$146</definedName>
    <definedName name="\X">'[2]טורים 98'!$HJ$146</definedName>
    <definedName name="\Y" localSheetId="41">'[1]טורים 98'!$GT$6</definedName>
    <definedName name="\Y">'[2]טורים 98'!$GT$6</definedName>
    <definedName name="\Z" localSheetId="41">'[1]טורים 98'!$HJ$129</definedName>
    <definedName name="\Z">'[2]טורים 98'!$HJ$129</definedName>
    <definedName name="_____ICP1" localSheetId="35">#REF!</definedName>
    <definedName name="_____ICP1" localSheetId="36">#REF!</definedName>
    <definedName name="_____ICP1" localSheetId="8">#REF!</definedName>
    <definedName name="_____ICP1">#REF!</definedName>
    <definedName name="_____ND1" localSheetId="35">#REF!</definedName>
    <definedName name="_____ND1" localSheetId="36">#REF!</definedName>
    <definedName name="_____ND1" localSheetId="8">#REF!</definedName>
    <definedName name="_____ND1">#REF!</definedName>
    <definedName name="_____OM9" localSheetId="35">#REF!</definedName>
    <definedName name="_____OM9" localSheetId="36">#REF!</definedName>
    <definedName name="_____OM9" localSheetId="8">#REF!</definedName>
    <definedName name="_____OM9">#REF!</definedName>
    <definedName name="_____rk1">[3]מעגלים!$A$1:$F$18,[3]מעגלים!$G$1:$L$18,[3]מעגלים!$M$1:$R$18,[3]מעגלים!$Y$1:$AD$18,[3]מעגלים!$AE$1:$AJ$18,[3]מעגלים!$AK$1:$AP$18,[3]מעגלים!$AQ$1:$AV$18,[3]מעגלים!$AW$1:$BB$18,[3]מעגלים!$BC$1:$BJ$18</definedName>
    <definedName name="_____RQ1" localSheetId="35">#REF!</definedName>
    <definedName name="_____RQ1" localSheetId="36">#REF!</definedName>
    <definedName name="_____RQ1" localSheetId="8">#REF!</definedName>
    <definedName name="_____RQ1">#REF!</definedName>
    <definedName name="_____RQ2" localSheetId="35">#REF!</definedName>
    <definedName name="_____RQ2" localSheetId="36">#REF!</definedName>
    <definedName name="_____RQ2" localSheetId="8">#REF!</definedName>
    <definedName name="_____RQ2">#REF!</definedName>
    <definedName name="_____RQS1" localSheetId="35">#REF!</definedName>
    <definedName name="_____RQS1" localSheetId="36">#REF!</definedName>
    <definedName name="_____RQS1" localSheetId="8">#REF!</definedName>
    <definedName name="_____RQS1">#REF!</definedName>
    <definedName name="_____RQS2" localSheetId="35">#REF!</definedName>
    <definedName name="_____RQS2" localSheetId="36">#REF!</definedName>
    <definedName name="_____RQS2" localSheetId="8">#REF!</definedName>
    <definedName name="_____RQS2">#REF!</definedName>
    <definedName name="_____TAD4" localSheetId="35">#REF!</definedName>
    <definedName name="_____TAD4" localSheetId="36">#REF!</definedName>
    <definedName name="_____TAD4" localSheetId="8">#REF!</definedName>
    <definedName name="_____TAD4">#REF!</definedName>
    <definedName name="_____TAD5" localSheetId="35">#REF!</definedName>
    <definedName name="_____TAD5" localSheetId="36">#REF!</definedName>
    <definedName name="_____TAD5" localSheetId="8">#REF!</definedName>
    <definedName name="_____TAD5">#REF!</definedName>
    <definedName name="____ICP1" localSheetId="35">#REF!</definedName>
    <definedName name="____ICP1" localSheetId="36">#REF!</definedName>
    <definedName name="____ICP1" localSheetId="8">#REF!</definedName>
    <definedName name="____ICP1">#REF!</definedName>
    <definedName name="____ND1" localSheetId="35">#REF!</definedName>
    <definedName name="____ND1" localSheetId="36">#REF!</definedName>
    <definedName name="____ND1" localSheetId="8">#REF!</definedName>
    <definedName name="____ND1">#REF!</definedName>
    <definedName name="____OM9" localSheetId="35">#REF!</definedName>
    <definedName name="____OM9" localSheetId="36">#REF!</definedName>
    <definedName name="____OM9" localSheetId="8">#REF!</definedName>
    <definedName name="____OM9">#REF!</definedName>
    <definedName name="____rk1">[3]מעגלים!$A$1:$F$18,[3]מעגלים!$G$1:$L$18,[3]מעגלים!$M$1:$R$18,[3]מעגלים!$Y$1:$AD$18,[3]מעגלים!$AE$1:$AJ$18,[3]מעגלים!$AK$1:$AP$18,[3]מעגלים!$AQ$1:$AV$18,[3]מעגלים!$AW$1:$BB$18,[3]מעגלים!$BC$1:$BJ$18</definedName>
    <definedName name="____RQ1" localSheetId="35">#REF!</definedName>
    <definedName name="____RQ1" localSheetId="36">#REF!</definedName>
    <definedName name="____RQ1" localSheetId="8">#REF!</definedName>
    <definedName name="____RQ1">#REF!</definedName>
    <definedName name="____RQ2" localSheetId="35">#REF!</definedName>
    <definedName name="____RQ2" localSheetId="36">#REF!</definedName>
    <definedName name="____RQ2" localSheetId="8">#REF!</definedName>
    <definedName name="____RQ2">#REF!</definedName>
    <definedName name="____RQS1" localSheetId="35">#REF!</definedName>
    <definedName name="____RQS1" localSheetId="36">#REF!</definedName>
    <definedName name="____RQS1" localSheetId="8">#REF!</definedName>
    <definedName name="____RQS1">#REF!</definedName>
    <definedName name="____RQS2" localSheetId="35">#REF!</definedName>
    <definedName name="____RQS2" localSheetId="36">#REF!</definedName>
    <definedName name="____RQS2" localSheetId="8">#REF!</definedName>
    <definedName name="____RQS2">#REF!</definedName>
    <definedName name="____TAD4" localSheetId="35">#REF!</definedName>
    <definedName name="____TAD4" localSheetId="36">#REF!</definedName>
    <definedName name="____TAD4" localSheetId="8">#REF!</definedName>
    <definedName name="____TAD4">#REF!</definedName>
    <definedName name="____TAD5" localSheetId="35">#REF!</definedName>
    <definedName name="____TAD5" localSheetId="36">#REF!</definedName>
    <definedName name="____TAD5" localSheetId="8">#REF!</definedName>
    <definedName name="____TAD5">#REF!</definedName>
    <definedName name="___ICP1" localSheetId="35">#REF!</definedName>
    <definedName name="___ICP1" localSheetId="36">#REF!</definedName>
    <definedName name="___ICP1" localSheetId="8">#REF!</definedName>
    <definedName name="___ICP1">#REF!</definedName>
    <definedName name="___ND1" localSheetId="35">#REF!</definedName>
    <definedName name="___ND1" localSheetId="36">#REF!</definedName>
    <definedName name="___ND1" localSheetId="8">#REF!</definedName>
    <definedName name="___ND1">#REF!</definedName>
    <definedName name="___OM9" localSheetId="35">#REF!</definedName>
    <definedName name="___OM9" localSheetId="36">#REF!</definedName>
    <definedName name="___OM9" localSheetId="8">#REF!</definedName>
    <definedName name="___OM9">#REF!</definedName>
    <definedName name="___rk1">[3]מעגלים!$A$1:$F$18,[3]מעגלים!$G$1:$L$18,[3]מעגלים!$M$1:$R$18,[3]מעגלים!$Y$1:$AD$18,[3]מעגלים!$AE$1:$AJ$18,[3]מעגלים!$AK$1:$AP$18,[3]מעגלים!$AQ$1:$AV$18,[3]מעגלים!$AW$1:$BB$18,[3]מעגלים!$BC$1:$BJ$18</definedName>
    <definedName name="___RQ1" localSheetId="35">#REF!</definedName>
    <definedName name="___RQ1" localSheetId="36">#REF!</definedName>
    <definedName name="___RQ1" localSheetId="8">#REF!</definedName>
    <definedName name="___RQ1">#REF!</definedName>
    <definedName name="___RQ2" localSheetId="35">#REF!</definedName>
    <definedName name="___RQ2" localSheetId="36">#REF!</definedName>
    <definedName name="___RQ2" localSheetId="8">#REF!</definedName>
    <definedName name="___RQ2">#REF!</definedName>
    <definedName name="___RQS1" localSheetId="35">#REF!</definedName>
    <definedName name="___RQS1" localSheetId="36">#REF!</definedName>
    <definedName name="___RQS1" localSheetId="8">#REF!</definedName>
    <definedName name="___RQS1">#REF!</definedName>
    <definedName name="___RQS2" localSheetId="35">#REF!</definedName>
    <definedName name="___RQS2" localSheetId="36">#REF!</definedName>
    <definedName name="___RQS2" localSheetId="8">#REF!</definedName>
    <definedName name="___RQS2">#REF!</definedName>
    <definedName name="___TAD4" localSheetId="35">#REF!</definedName>
    <definedName name="___TAD4" localSheetId="36">#REF!</definedName>
    <definedName name="___TAD4" localSheetId="8">#REF!</definedName>
    <definedName name="___TAD4">#REF!</definedName>
    <definedName name="___TAD5" localSheetId="35">#REF!</definedName>
    <definedName name="___TAD5" localSheetId="36">#REF!</definedName>
    <definedName name="___TAD5" localSheetId="8">#REF!</definedName>
    <definedName name="___TAD5">#REF!</definedName>
    <definedName name="__123Graph_A" localSheetId="35">#REF!</definedName>
    <definedName name="__123Graph_A" localSheetId="36">#REF!</definedName>
    <definedName name="__123Graph_A" localSheetId="8">#REF!</definedName>
    <definedName name="__123Graph_A">#REF!</definedName>
    <definedName name="__123Graph_X" localSheetId="35">#REF!</definedName>
    <definedName name="__123Graph_X" localSheetId="36">#REF!</definedName>
    <definedName name="__123Graph_X" localSheetId="8">#REF!</definedName>
    <definedName name="__123Graph_X">#REF!</definedName>
    <definedName name="__ICP1" localSheetId="35">#REF!</definedName>
    <definedName name="__ICP1" localSheetId="36">#REF!</definedName>
    <definedName name="__ICP1" localSheetId="8">#REF!</definedName>
    <definedName name="__ICP1">#REF!</definedName>
    <definedName name="__ND1" localSheetId="35">#REF!</definedName>
    <definedName name="__ND1" localSheetId="36">#REF!</definedName>
    <definedName name="__ND1" localSheetId="8">#REF!</definedName>
    <definedName name="__ND1">#REF!</definedName>
    <definedName name="__OM9" localSheetId="35">#REF!</definedName>
    <definedName name="__OM9" localSheetId="36">#REF!</definedName>
    <definedName name="__OM9" localSheetId="8">#REF!</definedName>
    <definedName name="__OM9">#REF!</definedName>
    <definedName name="__rk1">[3]מעגלים!$A$1:$F$18,[3]מעגלים!$G$1:$L$18,[3]מעגלים!$M$1:$R$18,[3]מעגלים!$Y$1:$AD$18,[3]מעגלים!$AE$1:$AJ$18,[3]מעגלים!$AK$1:$AP$18,[3]מעגלים!$AQ$1:$AV$18,[3]מעגלים!$AW$1:$BB$18,[3]מעגלים!$BC$1:$BJ$18</definedName>
    <definedName name="__RQ1" localSheetId="35">#REF!</definedName>
    <definedName name="__RQ1" localSheetId="36">#REF!</definedName>
    <definedName name="__RQ1" localSheetId="8">#REF!</definedName>
    <definedName name="__RQ1">#REF!</definedName>
    <definedName name="__RQ2" localSheetId="35">#REF!</definedName>
    <definedName name="__RQ2" localSheetId="36">#REF!</definedName>
    <definedName name="__RQ2" localSheetId="8">#REF!</definedName>
    <definedName name="__RQ2">#REF!</definedName>
    <definedName name="__RQS1" localSheetId="35">#REF!</definedName>
    <definedName name="__RQS1" localSheetId="36">#REF!</definedName>
    <definedName name="__RQS1" localSheetId="8">#REF!</definedName>
    <definedName name="__RQS1">#REF!</definedName>
    <definedName name="__RQS2" localSheetId="35">#REF!</definedName>
    <definedName name="__RQS2" localSheetId="36">#REF!</definedName>
    <definedName name="__RQS2" localSheetId="8">#REF!</definedName>
    <definedName name="__RQS2">#REF!</definedName>
    <definedName name="__TAD4" localSheetId="35">#REF!</definedName>
    <definedName name="__TAD4" localSheetId="36">#REF!</definedName>
    <definedName name="__TAD4" localSheetId="8">#REF!</definedName>
    <definedName name="__TAD4">#REF!</definedName>
    <definedName name="__TAD5" localSheetId="35">#REF!</definedName>
    <definedName name="__TAD5" localSheetId="36">#REF!</definedName>
    <definedName name="__TAD5" localSheetId="8">#REF!</definedName>
    <definedName name="__TAD5">#REF!</definedName>
    <definedName name="_0.5MM" localSheetId="35">#REF!</definedName>
    <definedName name="_0.5MM" localSheetId="36">#REF!</definedName>
    <definedName name="_0.5MM" localSheetId="8">#REF!</definedName>
    <definedName name="_0.5MM" localSheetId="41">#REF!</definedName>
    <definedName name="_0.5MM">#REF!</definedName>
    <definedName name="_0A1" localSheetId="35">#REF!</definedName>
    <definedName name="_0A1" localSheetId="36">#REF!</definedName>
    <definedName name="_0A1" localSheetId="8">#REF!</definedName>
    <definedName name="_0A1" localSheetId="41">#REF!</definedName>
    <definedName name="_0A1">#REF!</definedName>
    <definedName name="_0AG9" localSheetId="35">#REF!</definedName>
    <definedName name="_0AG9" localSheetId="36">#REF!</definedName>
    <definedName name="_0AG9" localSheetId="8">#REF!</definedName>
    <definedName name="_0AG9" localSheetId="41">#REF!</definedName>
    <definedName name="_0AG9">#REF!</definedName>
    <definedName name="_0AI" localSheetId="35">#REF!</definedName>
    <definedName name="_0AI" localSheetId="36">#REF!</definedName>
    <definedName name="_0AI" localSheetId="8">#REF!</definedName>
    <definedName name="_0AI">#REF!</definedName>
    <definedName name="_0D" localSheetId="35">#REF!</definedName>
    <definedName name="_0D" localSheetId="36">#REF!</definedName>
    <definedName name="_0D" localSheetId="8">#REF!</definedName>
    <definedName name="_0D">#REF!</definedName>
    <definedName name="_0D9" localSheetId="35">#REF!</definedName>
    <definedName name="_0D9" localSheetId="36">#REF!</definedName>
    <definedName name="_0D9" localSheetId="8">#REF!</definedName>
    <definedName name="_0D9">#REF!</definedName>
    <definedName name="_0E" localSheetId="35">#REF!</definedName>
    <definedName name="_0E" localSheetId="36">#REF!</definedName>
    <definedName name="_0E" localSheetId="8">#REF!</definedName>
    <definedName name="_0E">#REF!</definedName>
    <definedName name="_0E9" localSheetId="35">#REF!</definedName>
    <definedName name="_0E9" localSheetId="36">#REF!</definedName>
    <definedName name="_0E9" localSheetId="8">#REF!</definedName>
    <definedName name="_0E9">#REF!</definedName>
    <definedName name="_0G" localSheetId="35">#REF!</definedName>
    <definedName name="_0G" localSheetId="36">#REF!</definedName>
    <definedName name="_0G" localSheetId="8">#REF!</definedName>
    <definedName name="_0G">#REF!</definedName>
    <definedName name="_0G9" localSheetId="35">#REF!</definedName>
    <definedName name="_0G9" localSheetId="36">#REF!</definedName>
    <definedName name="_0G9" localSheetId="8">#REF!</definedName>
    <definedName name="_0G9">#REF!</definedName>
    <definedName name="_0M" localSheetId="35">#REF!</definedName>
    <definedName name="_0M" localSheetId="36">#REF!</definedName>
    <definedName name="_0M" localSheetId="8">#REF!</definedName>
    <definedName name="_0M">#REF!</definedName>
    <definedName name="_0M9" localSheetId="35">#REF!</definedName>
    <definedName name="_0M9" localSheetId="36">#REF!</definedName>
    <definedName name="_0M9" localSheetId="8">#REF!</definedName>
    <definedName name="_0M9">#REF!</definedName>
    <definedName name="_0MD" localSheetId="35">#REF!</definedName>
    <definedName name="_0MD" localSheetId="36">#REF!</definedName>
    <definedName name="_0MD" localSheetId="8">#REF!</definedName>
    <definedName name="_0MD">#REF!</definedName>
    <definedName name="_0MDA" localSheetId="35">#REF!</definedName>
    <definedName name="_0MDA" localSheetId="36">#REF!</definedName>
    <definedName name="_0MDA" localSheetId="8">#REF!</definedName>
    <definedName name="_0MDA">#REF!</definedName>
    <definedName name="_0ME" localSheetId="35">#REF!</definedName>
    <definedName name="_0ME" localSheetId="36">#REF!</definedName>
    <definedName name="_0ME" localSheetId="8">#REF!</definedName>
    <definedName name="_0ME">#REF!</definedName>
    <definedName name="_0MG" localSheetId="35">#REF!</definedName>
    <definedName name="_0MG" localSheetId="36">#REF!</definedName>
    <definedName name="_0MG" localSheetId="8">#REF!</definedName>
    <definedName name="_0MG">#REF!</definedName>
    <definedName name="_0MM" localSheetId="35">#REF!</definedName>
    <definedName name="_0MM" localSheetId="36">#REF!</definedName>
    <definedName name="_0MM" localSheetId="8">#REF!</definedName>
    <definedName name="_0MM">#REF!</definedName>
    <definedName name="_0MS" localSheetId="35">#REF!</definedName>
    <definedName name="_0MS" localSheetId="36">#REF!</definedName>
    <definedName name="_0MS" localSheetId="8">#REF!</definedName>
    <definedName name="_0MS">#REF!</definedName>
    <definedName name="_0TA" localSheetId="35">'[4]שמ"מ מ"ה'!#REF!</definedName>
    <definedName name="_0TA" localSheetId="36">'[4]שמ"מ מ"ה'!#REF!</definedName>
    <definedName name="_0TA" localSheetId="8">'[4]שמ"מ מ"ה'!#REF!</definedName>
    <definedName name="_0TA" localSheetId="41">'[5]שמ"מ מ"ה'!#REF!</definedName>
    <definedName name="_0TA">'[4]שמ"מ מ"ה'!#REF!</definedName>
    <definedName name="_0TD" localSheetId="35">#REF!</definedName>
    <definedName name="_0TD" localSheetId="36">#REF!</definedName>
    <definedName name="_0TD" localSheetId="8">#REF!</definedName>
    <definedName name="_0TD" localSheetId="41">#REF!</definedName>
    <definedName name="_0TD">#REF!</definedName>
    <definedName name="_0TE" localSheetId="35">#REF!</definedName>
    <definedName name="_0TE" localSheetId="36">#REF!</definedName>
    <definedName name="_0TE" localSheetId="8">#REF!</definedName>
    <definedName name="_0TE" localSheetId="41">#REF!</definedName>
    <definedName name="_0TE">#REF!</definedName>
    <definedName name="_0TM" localSheetId="35">#REF!</definedName>
    <definedName name="_0TM" localSheetId="36">#REF!</definedName>
    <definedName name="_0TM" localSheetId="8">#REF!</definedName>
    <definedName name="_0TM" localSheetId="41">#REF!</definedName>
    <definedName name="_0TM">#REF!</definedName>
    <definedName name="_1.5MM" localSheetId="35">#REF!</definedName>
    <definedName name="_1.5MM" localSheetId="36">#REF!</definedName>
    <definedName name="_1.5MM" localSheetId="8">#REF!</definedName>
    <definedName name="_1.5MM">#REF!</definedName>
    <definedName name="_10A" localSheetId="35">#REF!</definedName>
    <definedName name="_10A" localSheetId="36">#REF!</definedName>
    <definedName name="_10A" localSheetId="8">#REF!</definedName>
    <definedName name="_10A">#REF!</definedName>
    <definedName name="_10AAMDA" localSheetId="35">#REF!</definedName>
    <definedName name="_10AAMDA" localSheetId="36">#REF!</definedName>
    <definedName name="_10AAMDA" localSheetId="8">#REF!</definedName>
    <definedName name="_10AAMDA">#REF!</definedName>
    <definedName name="_10ABMDA" localSheetId="35">#REF!</definedName>
    <definedName name="_10ABMDA" localSheetId="36">#REF!</definedName>
    <definedName name="_10ABMDA" localSheetId="8">#REF!</definedName>
    <definedName name="_10ABMDA">#REF!</definedName>
    <definedName name="_10AMDA" localSheetId="35">#REF!</definedName>
    <definedName name="_10AMDA" localSheetId="36">#REF!</definedName>
    <definedName name="_10AMDA" localSheetId="8">#REF!</definedName>
    <definedName name="_10AMDA">#REF!</definedName>
    <definedName name="_10BMDA" localSheetId="35">#REF!</definedName>
    <definedName name="_10BMDA" localSheetId="36">#REF!</definedName>
    <definedName name="_10BMDA" localSheetId="8">#REF!</definedName>
    <definedName name="_10BMDA">#REF!</definedName>
    <definedName name="_10E" localSheetId="35">#REF!</definedName>
    <definedName name="_10E" localSheetId="36">#REF!</definedName>
    <definedName name="_10E" localSheetId="8">#REF!</definedName>
    <definedName name="_10E">#REF!</definedName>
    <definedName name="_10G" localSheetId="35">#REF!</definedName>
    <definedName name="_10G" localSheetId="36">#REF!</definedName>
    <definedName name="_10G" localSheetId="8">#REF!</definedName>
    <definedName name="_10G">#REF!</definedName>
    <definedName name="_10M" localSheetId="35">#REF!</definedName>
    <definedName name="_10M" localSheetId="36">#REF!</definedName>
    <definedName name="_10M" localSheetId="8">#REF!</definedName>
    <definedName name="_10M">#REF!</definedName>
    <definedName name="_10MDA" localSheetId="35">#REF!</definedName>
    <definedName name="_10MDA" localSheetId="36">#REF!</definedName>
    <definedName name="_10MDA" localSheetId="8">#REF!</definedName>
    <definedName name="_10MDA">#REF!</definedName>
    <definedName name="_10ME" localSheetId="35">#REF!</definedName>
    <definedName name="_10ME" localSheetId="36">#REF!</definedName>
    <definedName name="_10ME" localSheetId="8">#REF!</definedName>
    <definedName name="_10ME">#REF!</definedName>
    <definedName name="_10MG" localSheetId="35">#REF!</definedName>
    <definedName name="_10MG" localSheetId="36">#REF!</definedName>
    <definedName name="_10MG" localSheetId="8">#REF!</definedName>
    <definedName name="_10MG">#REF!</definedName>
    <definedName name="_10MM" localSheetId="35">#REF!</definedName>
    <definedName name="_10MM" localSheetId="36">#REF!</definedName>
    <definedName name="_10MM" localSheetId="8">#REF!</definedName>
    <definedName name="_10MM">#REF!</definedName>
    <definedName name="_10TA" localSheetId="35">'[4]שמ"מ מ"ה'!#REF!</definedName>
    <definedName name="_10TA" localSheetId="36">'[4]שמ"מ מ"ה'!#REF!</definedName>
    <definedName name="_10TA" localSheetId="8">'[4]שמ"מ מ"ה'!#REF!</definedName>
    <definedName name="_10TA" localSheetId="41">'[5]שמ"מ מ"ה'!#REF!</definedName>
    <definedName name="_10TA">'[4]שמ"מ מ"ה'!#REF!</definedName>
    <definedName name="_11A" localSheetId="35">#REF!</definedName>
    <definedName name="_11A" localSheetId="36">#REF!</definedName>
    <definedName name="_11A" localSheetId="8">#REF!</definedName>
    <definedName name="_11A" localSheetId="41">#REF!</definedName>
    <definedName name="_11A">#REF!</definedName>
    <definedName name="_11AB" localSheetId="35">#REF!</definedName>
    <definedName name="_11AB" localSheetId="36">#REF!</definedName>
    <definedName name="_11AB" localSheetId="8">#REF!</definedName>
    <definedName name="_11AB" localSheetId="41">#REF!</definedName>
    <definedName name="_11AB">#REF!</definedName>
    <definedName name="_11AC" localSheetId="35">#REF!</definedName>
    <definedName name="_11AC" localSheetId="36">#REF!</definedName>
    <definedName name="_11AC" localSheetId="8">#REF!</definedName>
    <definedName name="_11AC" localSheetId="41">#REF!</definedName>
    <definedName name="_11AC">#REF!</definedName>
    <definedName name="_11AD" localSheetId="35">#REF!</definedName>
    <definedName name="_11AD" localSheetId="36">#REF!</definedName>
    <definedName name="_11AD" localSheetId="8">#REF!</definedName>
    <definedName name="_11AD">#REF!</definedName>
    <definedName name="_11AG" localSheetId="35">#REF!</definedName>
    <definedName name="_11AG" localSheetId="36">#REF!</definedName>
    <definedName name="_11AG" localSheetId="8">#REF!</definedName>
    <definedName name="_11AG">#REF!</definedName>
    <definedName name="_11E" localSheetId="35">#REF!</definedName>
    <definedName name="_11E" localSheetId="36">#REF!</definedName>
    <definedName name="_11E" localSheetId="8">#REF!</definedName>
    <definedName name="_11E">#REF!</definedName>
    <definedName name="_11G" localSheetId="35">#REF!</definedName>
    <definedName name="_11G" localSheetId="36">#REF!</definedName>
    <definedName name="_11G" localSheetId="8">#REF!</definedName>
    <definedName name="_11G">#REF!</definedName>
    <definedName name="_11M" localSheetId="35">#REF!</definedName>
    <definedName name="_11M" localSheetId="36">#REF!</definedName>
    <definedName name="_11M" localSheetId="8">#REF!</definedName>
    <definedName name="_11M">#REF!</definedName>
    <definedName name="_11MA" localSheetId="35">#REF!</definedName>
    <definedName name="_11MA" localSheetId="36">#REF!</definedName>
    <definedName name="_11MA" localSheetId="8">#REF!</definedName>
    <definedName name="_11MA">#REF!</definedName>
    <definedName name="_11MDA" localSheetId="35">#REF!</definedName>
    <definedName name="_11MDA" localSheetId="36">#REF!</definedName>
    <definedName name="_11MDA" localSheetId="8">#REF!</definedName>
    <definedName name="_11MDA">#REF!</definedName>
    <definedName name="_11ME" localSheetId="35">#REF!</definedName>
    <definedName name="_11ME" localSheetId="36">#REF!</definedName>
    <definedName name="_11ME" localSheetId="8">#REF!</definedName>
    <definedName name="_11ME">#REF!</definedName>
    <definedName name="_11MEA" localSheetId="35">#REF!</definedName>
    <definedName name="_11MEA" localSheetId="36">#REF!</definedName>
    <definedName name="_11MEA" localSheetId="8">#REF!</definedName>
    <definedName name="_11MEA">#REF!</definedName>
    <definedName name="_11MG" localSheetId="35">#REF!</definedName>
    <definedName name="_11MG" localSheetId="36">#REF!</definedName>
    <definedName name="_11MG" localSheetId="8">#REF!</definedName>
    <definedName name="_11MG">#REF!</definedName>
    <definedName name="_11MM" localSheetId="35">#REF!</definedName>
    <definedName name="_11MM" localSheetId="36">#REF!</definedName>
    <definedName name="_11MM" localSheetId="8">#REF!</definedName>
    <definedName name="_11MM">#REF!</definedName>
    <definedName name="_12_96_G_A_salaries" localSheetId="35">#REF!</definedName>
    <definedName name="_12_96_G_A_salaries" localSheetId="36">#REF!</definedName>
    <definedName name="_12_96_G_A_salaries" localSheetId="8">#REF!</definedName>
    <definedName name="_12_96_G_A_salaries">#REF!</definedName>
    <definedName name="_12_96_Marketing_salaries" localSheetId="35">#REF!</definedName>
    <definedName name="_12_96_Marketing_salaries" localSheetId="36">#REF!</definedName>
    <definedName name="_12_96_Marketing_salaries" localSheetId="8">#REF!</definedName>
    <definedName name="_12_96_Marketing_salaries">#REF!</definedName>
    <definedName name="_12_96_R_D_salaries" localSheetId="35">#REF!</definedName>
    <definedName name="_12_96_R_D_salaries" localSheetId="36">#REF!</definedName>
    <definedName name="_12_96_R_D_salaries" localSheetId="8">#REF!</definedName>
    <definedName name="_12_96_R_D_salaries">#REF!</definedName>
    <definedName name="_1294" localSheetId="41">'[1]טורים 98'!$HK$57</definedName>
    <definedName name="_1294">'[2]טורים 98'!$HK$57</definedName>
    <definedName name="_1295" localSheetId="41">'[1]טורים 98'!$HJ$57</definedName>
    <definedName name="_1295">'[2]טורים 98'!$HJ$57</definedName>
    <definedName name="_1296" localSheetId="41">'[1]טורים 98'!$HI$57</definedName>
    <definedName name="_1296">'[2]טורים 98'!$HI$57</definedName>
    <definedName name="_12A" localSheetId="35">#REF!</definedName>
    <definedName name="_12A" localSheetId="36">#REF!</definedName>
    <definedName name="_12A" localSheetId="8">#REF!</definedName>
    <definedName name="_12A">#REF!</definedName>
    <definedName name="_12AA" localSheetId="35">#REF!</definedName>
    <definedName name="_12AA" localSheetId="36">#REF!</definedName>
    <definedName name="_12AA" localSheetId="8">#REF!</definedName>
    <definedName name="_12AA">#REF!</definedName>
    <definedName name="_12G" localSheetId="35">#REF!</definedName>
    <definedName name="_12G" localSheetId="36">#REF!</definedName>
    <definedName name="_12G" localSheetId="8">#REF!</definedName>
    <definedName name="_12G">#REF!</definedName>
    <definedName name="_12M" localSheetId="35">#REF!</definedName>
    <definedName name="_12M" localSheetId="36">#REF!</definedName>
    <definedName name="_12M" localSheetId="8">#REF!</definedName>
    <definedName name="_12M">#REF!</definedName>
    <definedName name="_12MDA" localSheetId="35">#REF!</definedName>
    <definedName name="_12MDA" localSheetId="36">#REF!</definedName>
    <definedName name="_12MDA" localSheetId="8">#REF!</definedName>
    <definedName name="_12MDA">#REF!</definedName>
    <definedName name="_12ME" localSheetId="35">#REF!</definedName>
    <definedName name="_12ME" localSheetId="36">#REF!</definedName>
    <definedName name="_12ME" localSheetId="8">#REF!</definedName>
    <definedName name="_12ME">#REF!</definedName>
    <definedName name="_12MG" localSheetId="35">#REF!</definedName>
    <definedName name="_12MG" localSheetId="36">#REF!</definedName>
    <definedName name="_12MG" localSheetId="8">#REF!</definedName>
    <definedName name="_12MG">#REF!</definedName>
    <definedName name="_12MM" localSheetId="35">#REF!</definedName>
    <definedName name="_12MM" localSheetId="36">#REF!</definedName>
    <definedName name="_12MM" localSheetId="8">#REF!</definedName>
    <definedName name="_12MM">#REF!</definedName>
    <definedName name="_12TA" localSheetId="35">'[4]שמ"מ מ"ה'!#REF!</definedName>
    <definedName name="_12TA" localSheetId="36">'[4]שמ"מ מ"ה'!#REF!</definedName>
    <definedName name="_12TA" localSheetId="8">'[4]שמ"מ מ"ה'!#REF!</definedName>
    <definedName name="_12TA" localSheetId="41">'[5]שמ"מ מ"ה'!#REF!</definedName>
    <definedName name="_12TA">'[4]שמ"מ מ"ה'!#REF!</definedName>
    <definedName name="_1392_E" localSheetId="35">#REF!</definedName>
    <definedName name="_1392_E" localSheetId="36">#REF!</definedName>
    <definedName name="_1392_E" localSheetId="8">#REF!</definedName>
    <definedName name="_1392_E" localSheetId="41">#REF!</definedName>
    <definedName name="_1392_E">#REF!</definedName>
    <definedName name="_1392AL" localSheetId="35">'[4]שמ"מ מ"ה'!#REF!</definedName>
    <definedName name="_1392AL" localSheetId="36">'[4]שמ"מ מ"ה'!#REF!</definedName>
    <definedName name="_1392AL" localSheetId="8">'[4]שמ"מ מ"ה'!#REF!</definedName>
    <definedName name="_1392AL" localSheetId="41">'[5]שמ"מ מ"ה'!#REF!</definedName>
    <definedName name="_1392AL">'[4]שמ"מ מ"ה'!#REF!</definedName>
    <definedName name="_1392M" localSheetId="35">#REF!</definedName>
    <definedName name="_1392M" localSheetId="36">#REF!</definedName>
    <definedName name="_1392M" localSheetId="8">#REF!</definedName>
    <definedName name="_1392M" localSheetId="41">#REF!</definedName>
    <definedName name="_1392M">#REF!</definedName>
    <definedName name="_13A" localSheetId="35">#REF!</definedName>
    <definedName name="_13A" localSheetId="36">#REF!</definedName>
    <definedName name="_13A" localSheetId="8">#REF!</definedName>
    <definedName name="_13A" localSheetId="41">#REF!</definedName>
    <definedName name="_13A">#REF!</definedName>
    <definedName name="_13AA" localSheetId="35">#REF!</definedName>
    <definedName name="_13AA" localSheetId="36">#REF!</definedName>
    <definedName name="_13AA" localSheetId="8">#REF!</definedName>
    <definedName name="_13AA" localSheetId="41">#REF!</definedName>
    <definedName name="_13AA">#REF!</definedName>
    <definedName name="_13AB" localSheetId="35">#REF!</definedName>
    <definedName name="_13AB" localSheetId="36">#REF!</definedName>
    <definedName name="_13AB" localSheetId="8">#REF!</definedName>
    <definedName name="_13AB">#REF!</definedName>
    <definedName name="_13AMDA" localSheetId="35">#REF!</definedName>
    <definedName name="_13AMDA" localSheetId="36">#REF!</definedName>
    <definedName name="_13AMDA" localSheetId="8">#REF!</definedName>
    <definedName name="_13AMDA">#REF!</definedName>
    <definedName name="_13G" localSheetId="35">#REF!</definedName>
    <definedName name="_13G" localSheetId="36">#REF!</definedName>
    <definedName name="_13G" localSheetId="8">#REF!</definedName>
    <definedName name="_13G">#REF!</definedName>
    <definedName name="_13HG">'[6]ער"ז דוח מס:מיעוט'!$K$323:$BS$724</definedName>
    <definedName name="_13M" localSheetId="35">#REF!</definedName>
    <definedName name="_13M" localSheetId="36">#REF!</definedName>
    <definedName name="_13M" localSheetId="8">#REF!</definedName>
    <definedName name="_13M" localSheetId="41">#REF!</definedName>
    <definedName name="_13M">#REF!</definedName>
    <definedName name="_13MDA" localSheetId="35">#REF!</definedName>
    <definedName name="_13MDA" localSheetId="36">#REF!</definedName>
    <definedName name="_13MDA" localSheetId="8">#REF!</definedName>
    <definedName name="_13MDA" localSheetId="41">#REF!</definedName>
    <definedName name="_13MDA">#REF!</definedName>
    <definedName name="_13ME" localSheetId="35">#REF!</definedName>
    <definedName name="_13ME" localSheetId="36">#REF!</definedName>
    <definedName name="_13ME" localSheetId="8">#REF!</definedName>
    <definedName name="_13ME" localSheetId="41">#REF!</definedName>
    <definedName name="_13ME">#REF!</definedName>
    <definedName name="_13MG" localSheetId="35">#REF!</definedName>
    <definedName name="_13MG" localSheetId="36">#REF!</definedName>
    <definedName name="_13MG" localSheetId="8">#REF!</definedName>
    <definedName name="_13MG">#REF!</definedName>
    <definedName name="_13MM" localSheetId="35">#REF!</definedName>
    <definedName name="_13MM" localSheetId="36">#REF!</definedName>
    <definedName name="_13MM" localSheetId="8">#REF!</definedName>
    <definedName name="_13MM">#REF!</definedName>
    <definedName name="_14A" localSheetId="35">#REF!</definedName>
    <definedName name="_14A" localSheetId="36">#REF!</definedName>
    <definedName name="_14A" localSheetId="8">#REF!</definedName>
    <definedName name="_14A">#REF!</definedName>
    <definedName name="_14AA" localSheetId="35">#REF!</definedName>
    <definedName name="_14AA" localSheetId="36">#REF!</definedName>
    <definedName name="_14AA" localSheetId="8">#REF!</definedName>
    <definedName name="_14AA">#REF!</definedName>
    <definedName name="_14AB" localSheetId="35">#REF!</definedName>
    <definedName name="_14AB" localSheetId="36">#REF!</definedName>
    <definedName name="_14AB" localSheetId="8">#REF!</definedName>
    <definedName name="_14AB">#REF!</definedName>
    <definedName name="_14G" localSheetId="35">#REF!</definedName>
    <definedName name="_14G" localSheetId="36">#REF!</definedName>
    <definedName name="_14G" localSheetId="8">#REF!</definedName>
    <definedName name="_14G">#REF!</definedName>
    <definedName name="_14GA" localSheetId="35">#REF!</definedName>
    <definedName name="_14GA" localSheetId="36">#REF!</definedName>
    <definedName name="_14GA" localSheetId="8">#REF!</definedName>
    <definedName name="_14GA">#REF!</definedName>
    <definedName name="_14GB" localSheetId="35">#REF!</definedName>
    <definedName name="_14GB" localSheetId="36">#REF!</definedName>
    <definedName name="_14GB" localSheetId="8">#REF!</definedName>
    <definedName name="_14GB">#REF!</definedName>
    <definedName name="_14M" localSheetId="35">#REF!</definedName>
    <definedName name="_14M" localSheetId="36">#REF!</definedName>
    <definedName name="_14M" localSheetId="8">#REF!</definedName>
    <definedName name="_14M">#REF!</definedName>
    <definedName name="_14MA" localSheetId="35">#REF!</definedName>
    <definedName name="_14MA" localSheetId="36">#REF!</definedName>
    <definedName name="_14MA" localSheetId="8">#REF!</definedName>
    <definedName name="_14MA">#REF!</definedName>
    <definedName name="_14MDA" localSheetId="35">#REF!</definedName>
    <definedName name="_14MDA" localSheetId="36">#REF!</definedName>
    <definedName name="_14MDA" localSheetId="8">#REF!</definedName>
    <definedName name="_14MDA">#REF!</definedName>
    <definedName name="_14MG" localSheetId="35">#REF!</definedName>
    <definedName name="_14MG" localSheetId="36">#REF!</definedName>
    <definedName name="_14MG" localSheetId="8">#REF!</definedName>
    <definedName name="_14MG">#REF!</definedName>
    <definedName name="_14MM" localSheetId="35">#REF!</definedName>
    <definedName name="_14MM" localSheetId="36">#REF!</definedName>
    <definedName name="_14MM" localSheetId="8">#REF!</definedName>
    <definedName name="_14MM">#REF!</definedName>
    <definedName name="_15A" localSheetId="35">#REF!</definedName>
    <definedName name="_15A" localSheetId="36">#REF!</definedName>
    <definedName name="_15A" localSheetId="8">#REF!</definedName>
    <definedName name="_15A">#REF!</definedName>
    <definedName name="_15G" localSheetId="35">#REF!</definedName>
    <definedName name="_15G" localSheetId="36">#REF!</definedName>
    <definedName name="_15G" localSheetId="8">#REF!</definedName>
    <definedName name="_15G">#REF!</definedName>
    <definedName name="_15M" localSheetId="35">#REF!</definedName>
    <definedName name="_15M" localSheetId="36">#REF!</definedName>
    <definedName name="_15M" localSheetId="8">#REF!</definedName>
    <definedName name="_15M">#REF!</definedName>
    <definedName name="_15MDA" localSheetId="35">#REF!</definedName>
    <definedName name="_15MDA" localSheetId="36">#REF!</definedName>
    <definedName name="_15MDA" localSheetId="8">#REF!</definedName>
    <definedName name="_15MDA">#REF!</definedName>
    <definedName name="_15MG" localSheetId="35">#REF!</definedName>
    <definedName name="_15MG" localSheetId="36">#REF!</definedName>
    <definedName name="_15MG" localSheetId="8">#REF!</definedName>
    <definedName name="_15MG">#REF!</definedName>
    <definedName name="_16A" localSheetId="35">#REF!</definedName>
    <definedName name="_16A" localSheetId="36">#REF!</definedName>
    <definedName name="_16A" localSheetId="8">#REF!</definedName>
    <definedName name="_16A">#REF!</definedName>
    <definedName name="_16G" localSheetId="35">#REF!</definedName>
    <definedName name="_16G" localSheetId="36">#REF!</definedName>
    <definedName name="_16G" localSheetId="8">#REF!</definedName>
    <definedName name="_16G">#REF!</definedName>
    <definedName name="_16M" localSheetId="35">#REF!</definedName>
    <definedName name="_16M" localSheetId="36">#REF!</definedName>
    <definedName name="_16M" localSheetId="8">#REF!</definedName>
    <definedName name="_16M">#REF!</definedName>
    <definedName name="_16MDA" localSheetId="35">#REF!</definedName>
    <definedName name="_16MDA" localSheetId="36">#REF!</definedName>
    <definedName name="_16MDA" localSheetId="8">#REF!</definedName>
    <definedName name="_16MDA">#REF!</definedName>
    <definedName name="_16MG" localSheetId="35">#REF!</definedName>
    <definedName name="_16MG" localSheetId="36">#REF!</definedName>
    <definedName name="_16MG" localSheetId="8">#REF!</definedName>
    <definedName name="_16MG">#REF!</definedName>
    <definedName name="_17A" localSheetId="35">#REF!</definedName>
    <definedName name="_17A" localSheetId="36">#REF!</definedName>
    <definedName name="_17A" localSheetId="8">#REF!</definedName>
    <definedName name="_17A">#REF!</definedName>
    <definedName name="_17AB" localSheetId="35">#REF!</definedName>
    <definedName name="_17AB" localSheetId="36">#REF!</definedName>
    <definedName name="_17AB" localSheetId="8">#REF!</definedName>
    <definedName name="_17AB">#REF!</definedName>
    <definedName name="_17AC" localSheetId="35">#REF!</definedName>
    <definedName name="_17AC" localSheetId="36">#REF!</definedName>
    <definedName name="_17AC" localSheetId="8">#REF!</definedName>
    <definedName name="_17AC">#REF!</definedName>
    <definedName name="_17AD" localSheetId="35">#REF!</definedName>
    <definedName name="_17AD" localSheetId="36">#REF!</definedName>
    <definedName name="_17AD" localSheetId="8">#REF!</definedName>
    <definedName name="_17AD">#REF!</definedName>
    <definedName name="_17AMDA" localSheetId="35">#REF!</definedName>
    <definedName name="_17AMDA" localSheetId="36">#REF!</definedName>
    <definedName name="_17AMDA" localSheetId="8">#REF!</definedName>
    <definedName name="_17AMDA">#REF!</definedName>
    <definedName name="_17G" localSheetId="35">#REF!</definedName>
    <definedName name="_17G" localSheetId="36">#REF!</definedName>
    <definedName name="_17G" localSheetId="8">#REF!</definedName>
    <definedName name="_17G">#REF!</definedName>
    <definedName name="_17M" localSheetId="35">#REF!</definedName>
    <definedName name="_17M" localSheetId="36">#REF!</definedName>
    <definedName name="_17M" localSheetId="8">#REF!</definedName>
    <definedName name="_17M">#REF!</definedName>
    <definedName name="_17MDA" localSheetId="35">#REF!</definedName>
    <definedName name="_17MDA" localSheetId="36">#REF!</definedName>
    <definedName name="_17MDA" localSheetId="8">#REF!</definedName>
    <definedName name="_17MDA">#REF!</definedName>
    <definedName name="_18A" localSheetId="35">#REF!</definedName>
    <definedName name="_18A" localSheetId="36">#REF!</definedName>
    <definedName name="_18A" localSheetId="8">#REF!</definedName>
    <definedName name="_18A">#REF!</definedName>
    <definedName name="_18G" localSheetId="35">#REF!</definedName>
    <definedName name="_18G" localSheetId="36">#REF!</definedName>
    <definedName name="_18G" localSheetId="8">#REF!</definedName>
    <definedName name="_18G">#REF!</definedName>
    <definedName name="_18MDA" localSheetId="35">#REF!</definedName>
    <definedName name="_18MDA" localSheetId="36">#REF!</definedName>
    <definedName name="_18MDA" localSheetId="8">#REF!</definedName>
    <definedName name="_18MDA">#REF!</definedName>
    <definedName name="_1997_Cane_QUNTY." localSheetId="35">#REF!</definedName>
    <definedName name="_1997_Cane_QUNTY." localSheetId="36">#REF!</definedName>
    <definedName name="_1997_Cane_QUNTY." localSheetId="8">#REF!</definedName>
    <definedName name="_1997_Cane_QUNTY.">#REF!</definedName>
    <definedName name="_1997_OEM_ASP" localSheetId="35">#REF!</definedName>
    <definedName name="_1997_OEM_ASP" localSheetId="36">#REF!</definedName>
    <definedName name="_1997_OEM_ASP" localSheetId="8">#REF!</definedName>
    <definedName name="_1997_OEM_ASP">#REF!</definedName>
    <definedName name="_1997_OEM_QUNTY." localSheetId="35">#REF!</definedName>
    <definedName name="_1997_OEM_QUNTY." localSheetId="36">#REF!</definedName>
    <definedName name="_1997_OEM_QUNTY." localSheetId="8">#REF!</definedName>
    <definedName name="_1997_OEM_QUNTY.">#REF!</definedName>
    <definedName name="_1998_bonuses_USA" localSheetId="35">#REF!</definedName>
    <definedName name="_1998_bonuses_USA" localSheetId="36">#REF!</definedName>
    <definedName name="_1998_bonuses_USA" localSheetId="8">#REF!</definedName>
    <definedName name="_1998_bonuses_USA">#REF!</definedName>
    <definedName name="_1998_CANE_ASP" localSheetId="35">#REF!</definedName>
    <definedName name="_1998_CANE_ASP" localSheetId="36">#REF!</definedName>
    <definedName name="_1998_CANE_ASP" localSheetId="8">#REF!</definedName>
    <definedName name="_1998_CANE_ASP">#REF!</definedName>
    <definedName name="_1998_Cane_QUNTY." localSheetId="35">#REF!</definedName>
    <definedName name="_1998_Cane_QUNTY." localSheetId="36">#REF!</definedName>
    <definedName name="_1998_Cane_QUNTY." localSheetId="8">#REF!</definedName>
    <definedName name="_1998_Cane_QUNTY.">#REF!</definedName>
    <definedName name="_1998_OEM_ASP" localSheetId="35">#REF!</definedName>
    <definedName name="_1998_OEM_ASP" localSheetId="36">#REF!</definedName>
    <definedName name="_1998_OEM_ASP" localSheetId="8">#REF!</definedName>
    <definedName name="_1998_OEM_ASP">#REF!</definedName>
    <definedName name="_1998_OEM_QUNTY." localSheetId="35">#REF!</definedName>
    <definedName name="_1998_OEM_QUNTY." localSheetId="36">#REF!</definedName>
    <definedName name="_1998_OEM_QUNTY." localSheetId="8">#REF!</definedName>
    <definedName name="_1998_OEM_QUNTY.">#REF!</definedName>
    <definedName name="_1998_Sales_Division" localSheetId="35">#REF!</definedName>
    <definedName name="_1998_Sales_Division" localSheetId="36">#REF!</definedName>
    <definedName name="_1998_Sales_Division" localSheetId="8">#REF!</definedName>
    <definedName name="_1998_Sales_Division">#REF!</definedName>
    <definedName name="_1999_bonuses_USA" localSheetId="35">#REF!</definedName>
    <definedName name="_1999_bonuses_USA" localSheetId="36">#REF!</definedName>
    <definedName name="_1999_bonuses_USA" localSheetId="8">#REF!</definedName>
    <definedName name="_1999_bonuses_USA">#REF!</definedName>
    <definedName name="_1999_CANE_ASP" localSheetId="35">#REF!</definedName>
    <definedName name="_1999_CANE_ASP" localSheetId="36">#REF!</definedName>
    <definedName name="_1999_CANE_ASP" localSheetId="8">#REF!</definedName>
    <definedName name="_1999_CANE_ASP">#REF!</definedName>
    <definedName name="_1999_Cane_QUNTY." localSheetId="35">#REF!</definedName>
    <definedName name="_1999_Cane_QUNTY." localSheetId="36">#REF!</definedName>
    <definedName name="_1999_Cane_QUNTY." localSheetId="8">#REF!</definedName>
    <definedName name="_1999_Cane_QUNTY.">#REF!</definedName>
    <definedName name="_1999_OEM_ASP" localSheetId="35">#REF!</definedName>
    <definedName name="_1999_OEM_ASP" localSheetId="36">#REF!</definedName>
    <definedName name="_1999_OEM_ASP" localSheetId="8">#REF!</definedName>
    <definedName name="_1999_OEM_ASP">#REF!</definedName>
    <definedName name="_1999_OEM_QUNTY." localSheetId="35">#REF!</definedName>
    <definedName name="_1999_OEM_QUNTY." localSheetId="36">#REF!</definedName>
    <definedName name="_1999_OEM_QUNTY." localSheetId="8">#REF!</definedName>
    <definedName name="_1999_OEM_QUNTY.">#REF!</definedName>
    <definedName name="_1999_Sales_Division" localSheetId="35">#REF!</definedName>
    <definedName name="_1999_Sales_Division" localSheetId="36">#REF!</definedName>
    <definedName name="_1999_Sales_Division" localSheetId="8">#REF!</definedName>
    <definedName name="_1999_Sales_Division">#REF!</definedName>
    <definedName name="_19A" localSheetId="35">#REF!</definedName>
    <definedName name="_19A" localSheetId="36">#REF!</definedName>
    <definedName name="_19A" localSheetId="8">#REF!</definedName>
    <definedName name="_19A">#REF!</definedName>
    <definedName name="_19AMDA" localSheetId="35">#REF!</definedName>
    <definedName name="_19AMDA" localSheetId="36">#REF!</definedName>
    <definedName name="_19AMDA" localSheetId="8">#REF!</definedName>
    <definedName name="_19AMDA">#REF!</definedName>
    <definedName name="_19BMDA" localSheetId="35">#REF!</definedName>
    <definedName name="_19BMDA" localSheetId="36">#REF!</definedName>
    <definedName name="_19BMDA" localSheetId="8">#REF!</definedName>
    <definedName name="_19BMDA">#REF!</definedName>
    <definedName name="_19CMDA" localSheetId="35">#REF!</definedName>
    <definedName name="_19CMDA" localSheetId="36">#REF!</definedName>
    <definedName name="_19CMDA" localSheetId="8">#REF!</definedName>
    <definedName name="_19CMDA">#REF!</definedName>
    <definedName name="_19MDA" localSheetId="35">#REF!</definedName>
    <definedName name="_19MDA" localSheetId="36">#REF!</definedName>
    <definedName name="_19MDA" localSheetId="8">#REF!</definedName>
    <definedName name="_19MDA">#REF!</definedName>
    <definedName name="_1A" localSheetId="35">#REF!</definedName>
    <definedName name="_1A" localSheetId="36">#REF!</definedName>
    <definedName name="_1A" localSheetId="8">#REF!</definedName>
    <definedName name="_1A">#REF!</definedName>
    <definedName name="_1A9" localSheetId="35">#REF!</definedName>
    <definedName name="_1A9" localSheetId="36">#REF!</definedName>
    <definedName name="_1A9" localSheetId="8">#REF!</definedName>
    <definedName name="_1A9">#REF!</definedName>
    <definedName name="_1AG9" localSheetId="35">#REF!</definedName>
    <definedName name="_1AG9" localSheetId="36">#REF!</definedName>
    <definedName name="_1AG9" localSheetId="8">#REF!</definedName>
    <definedName name="_1AG9">#REF!</definedName>
    <definedName name="_1AI" localSheetId="35">#REF!</definedName>
    <definedName name="_1AI" localSheetId="36">#REF!</definedName>
    <definedName name="_1AI" localSheetId="8">#REF!</definedName>
    <definedName name="_1AI">#REF!</definedName>
    <definedName name="_1C" localSheetId="35">#REF!</definedName>
    <definedName name="_1C" localSheetId="36">#REF!</definedName>
    <definedName name="_1C" localSheetId="8">#REF!</definedName>
    <definedName name="_1C">#REF!</definedName>
    <definedName name="_1D" localSheetId="35">#REF!</definedName>
    <definedName name="_1D" localSheetId="36">#REF!</definedName>
    <definedName name="_1D" localSheetId="8">#REF!</definedName>
    <definedName name="_1D">#REF!</definedName>
    <definedName name="_1D9" localSheetId="35">#REF!</definedName>
    <definedName name="_1D9" localSheetId="36">#REF!</definedName>
    <definedName name="_1D9" localSheetId="8">#REF!</definedName>
    <definedName name="_1D9">#REF!</definedName>
    <definedName name="_1E9" localSheetId="35">#REF!</definedName>
    <definedName name="_1E9" localSheetId="36">#REF!</definedName>
    <definedName name="_1E9" localSheetId="8">#REF!</definedName>
    <definedName name="_1E9">#REF!</definedName>
    <definedName name="_1G" localSheetId="35">#REF!</definedName>
    <definedName name="_1G" localSheetId="36">#REF!</definedName>
    <definedName name="_1G" localSheetId="8">#REF!</definedName>
    <definedName name="_1G">#REF!</definedName>
    <definedName name="_1G9" localSheetId="35">#REF!</definedName>
    <definedName name="_1G9" localSheetId="36">#REF!</definedName>
    <definedName name="_1G9" localSheetId="8">#REF!</definedName>
    <definedName name="_1G9">#REF!</definedName>
    <definedName name="_1HD" localSheetId="35">#REF!</definedName>
    <definedName name="_1HD" localSheetId="36">#REF!</definedName>
    <definedName name="_1HD" localSheetId="8">#REF!</definedName>
    <definedName name="_1HD">#REF!</definedName>
    <definedName name="_1M" localSheetId="35">#REF!</definedName>
    <definedName name="_1M" localSheetId="36">#REF!</definedName>
    <definedName name="_1M" localSheetId="8">#REF!</definedName>
    <definedName name="_1M">#REF!</definedName>
    <definedName name="_1M9" localSheetId="35">#REF!</definedName>
    <definedName name="_1M9" localSheetId="36">#REF!</definedName>
    <definedName name="_1M9" localSheetId="8">#REF!</definedName>
    <definedName name="_1M9">#REF!</definedName>
    <definedName name="_1MD" localSheetId="35">#REF!</definedName>
    <definedName name="_1MD" localSheetId="36">#REF!</definedName>
    <definedName name="_1MD" localSheetId="8">#REF!</definedName>
    <definedName name="_1MD">#REF!</definedName>
    <definedName name="_1MDA" localSheetId="35">#REF!</definedName>
    <definedName name="_1MDA" localSheetId="36">#REF!</definedName>
    <definedName name="_1MDA" localSheetId="8">#REF!</definedName>
    <definedName name="_1MDA">#REF!</definedName>
    <definedName name="_1ME" localSheetId="35">#REF!</definedName>
    <definedName name="_1ME" localSheetId="36">#REF!</definedName>
    <definedName name="_1ME" localSheetId="8">#REF!</definedName>
    <definedName name="_1ME">#REF!</definedName>
    <definedName name="_1MG" localSheetId="35">#REF!</definedName>
    <definedName name="_1MG" localSheetId="36">#REF!</definedName>
    <definedName name="_1MG" localSheetId="8">#REF!</definedName>
    <definedName name="_1MG">#REF!</definedName>
    <definedName name="_1MM" localSheetId="35">#REF!</definedName>
    <definedName name="_1MM" localSheetId="36">#REF!</definedName>
    <definedName name="_1MM" localSheetId="8">#REF!</definedName>
    <definedName name="_1MM">#REF!</definedName>
    <definedName name="_1MS" localSheetId="35">#REF!</definedName>
    <definedName name="_1MS" localSheetId="36">#REF!</definedName>
    <definedName name="_1MS" localSheetId="8">#REF!</definedName>
    <definedName name="_1MS">#REF!</definedName>
    <definedName name="_1T" localSheetId="35">'[4]שמ"מ מ"ה'!#REF!</definedName>
    <definedName name="_1T" localSheetId="36">'[4]שמ"מ מ"ה'!#REF!</definedName>
    <definedName name="_1T" localSheetId="8">'[4]שמ"מ מ"ה'!#REF!</definedName>
    <definedName name="_1T" localSheetId="41">'[5]שמ"מ מ"ה'!#REF!</definedName>
    <definedName name="_1T">'[4]שמ"מ מ"ה'!#REF!</definedName>
    <definedName name="_1TD" localSheetId="35">#REF!</definedName>
    <definedName name="_1TD" localSheetId="36">#REF!</definedName>
    <definedName name="_1TD" localSheetId="8">#REF!</definedName>
    <definedName name="_1TD" localSheetId="41">#REF!</definedName>
    <definedName name="_1TD">#REF!</definedName>
    <definedName name="_1TE" localSheetId="35">#REF!</definedName>
    <definedName name="_1TE" localSheetId="36">#REF!</definedName>
    <definedName name="_1TE" localSheetId="8">#REF!</definedName>
    <definedName name="_1TE" localSheetId="41">#REF!</definedName>
    <definedName name="_1TE">#REF!</definedName>
    <definedName name="_1TM" localSheetId="35">#REF!</definedName>
    <definedName name="_1TM" localSheetId="36">#REF!</definedName>
    <definedName name="_1TM" localSheetId="8">#REF!</definedName>
    <definedName name="_1TM" localSheetId="41">#REF!</definedName>
    <definedName name="_1TM">#REF!</definedName>
    <definedName name="_2000_bonuses_USA" localSheetId="35">#REF!</definedName>
    <definedName name="_2000_bonuses_USA" localSheetId="36">#REF!</definedName>
    <definedName name="_2000_bonuses_USA" localSheetId="8">#REF!</definedName>
    <definedName name="_2000_bonuses_USA">#REF!</definedName>
    <definedName name="_2000_CANE_ASP" localSheetId="35">#REF!</definedName>
    <definedName name="_2000_CANE_ASP" localSheetId="36">#REF!</definedName>
    <definedName name="_2000_CANE_ASP" localSheetId="8">#REF!</definedName>
    <definedName name="_2000_CANE_ASP">#REF!</definedName>
    <definedName name="_2000_Cane_QUNTY." localSheetId="35">#REF!</definedName>
    <definedName name="_2000_Cane_QUNTY." localSheetId="36">#REF!</definedName>
    <definedName name="_2000_Cane_QUNTY." localSheetId="8">#REF!</definedName>
    <definedName name="_2000_Cane_QUNTY.">#REF!</definedName>
    <definedName name="_2000_OEM_ASP" localSheetId="35">#REF!</definedName>
    <definedName name="_2000_OEM_ASP" localSheetId="36">#REF!</definedName>
    <definedName name="_2000_OEM_ASP" localSheetId="8">#REF!</definedName>
    <definedName name="_2000_OEM_ASP">#REF!</definedName>
    <definedName name="_2000_OEM_QUNTY." localSheetId="35">#REF!</definedName>
    <definedName name="_2000_OEM_QUNTY." localSheetId="36">#REF!</definedName>
    <definedName name="_2000_OEM_QUNTY." localSheetId="8">#REF!</definedName>
    <definedName name="_2000_OEM_QUNTY.">#REF!</definedName>
    <definedName name="_2000_Sales_Division" localSheetId="35">#REF!</definedName>
    <definedName name="_2000_Sales_Division" localSheetId="36">#REF!</definedName>
    <definedName name="_2000_Sales_Division" localSheetId="8">#REF!</definedName>
    <definedName name="_2000_Sales_Division">#REF!</definedName>
    <definedName name="_2001_bonuses_USA" localSheetId="35">#REF!</definedName>
    <definedName name="_2001_bonuses_USA" localSheetId="36">#REF!</definedName>
    <definedName name="_2001_bonuses_USA" localSheetId="8">#REF!</definedName>
    <definedName name="_2001_bonuses_USA">#REF!</definedName>
    <definedName name="_2001_CANE_ASP" localSheetId="35">#REF!</definedName>
    <definedName name="_2001_CANE_ASP" localSheetId="36">#REF!</definedName>
    <definedName name="_2001_CANE_ASP" localSheetId="8">#REF!</definedName>
    <definedName name="_2001_CANE_ASP">#REF!</definedName>
    <definedName name="_2001_Cane_QUNTY." localSheetId="35">#REF!</definedName>
    <definedName name="_2001_Cane_QUNTY." localSheetId="36">#REF!</definedName>
    <definedName name="_2001_Cane_QUNTY." localSheetId="8">#REF!</definedName>
    <definedName name="_2001_Cane_QUNTY.">#REF!</definedName>
    <definedName name="_2001_OEM_ASP" localSheetId="35">#REF!</definedName>
    <definedName name="_2001_OEM_ASP" localSheetId="36">#REF!</definedName>
    <definedName name="_2001_OEM_ASP" localSheetId="8">#REF!</definedName>
    <definedName name="_2001_OEM_ASP">#REF!</definedName>
    <definedName name="_2001_OEM_QUNTY." localSheetId="35">#REF!</definedName>
    <definedName name="_2001_OEM_QUNTY." localSheetId="36">#REF!</definedName>
    <definedName name="_2001_OEM_QUNTY." localSheetId="8">#REF!</definedName>
    <definedName name="_2001_OEM_QUNTY.">#REF!</definedName>
    <definedName name="_2001_Sales_Division" localSheetId="35">#REF!</definedName>
    <definedName name="_2001_Sales_Division" localSheetId="36">#REF!</definedName>
    <definedName name="_2001_Sales_Division" localSheetId="8">#REF!</definedName>
    <definedName name="_2001_Sales_Division">#REF!</definedName>
    <definedName name="_2002_CANE_ASP" localSheetId="35">#REF!</definedName>
    <definedName name="_2002_CANE_ASP" localSheetId="36">#REF!</definedName>
    <definedName name="_2002_CANE_ASP" localSheetId="8">#REF!</definedName>
    <definedName name="_2002_CANE_ASP">#REF!</definedName>
    <definedName name="_2002_Cane_QUNTY." localSheetId="35">#REF!</definedName>
    <definedName name="_2002_Cane_QUNTY." localSheetId="36">#REF!</definedName>
    <definedName name="_2002_Cane_QUNTY." localSheetId="8">#REF!</definedName>
    <definedName name="_2002_Cane_QUNTY.">#REF!</definedName>
    <definedName name="_2002_OEM_ASP" localSheetId="35">#REF!</definedName>
    <definedName name="_2002_OEM_ASP" localSheetId="36">#REF!</definedName>
    <definedName name="_2002_OEM_ASP" localSheetId="8">#REF!</definedName>
    <definedName name="_2002_OEM_ASP">#REF!</definedName>
    <definedName name="_2002_OEM_QUNTY." localSheetId="35">#REF!</definedName>
    <definedName name="_2002_OEM_QUNTY." localSheetId="36">#REF!</definedName>
    <definedName name="_2002_OEM_QUNTY." localSheetId="8">#REF!</definedName>
    <definedName name="_2002_OEM_QUNTY.">#REF!</definedName>
    <definedName name="_20A" localSheetId="35">#REF!</definedName>
    <definedName name="_20A" localSheetId="36">#REF!</definedName>
    <definedName name="_20A" localSheetId="8">#REF!</definedName>
    <definedName name="_20A">#REF!</definedName>
    <definedName name="_20HA" localSheetId="35">#REF!</definedName>
    <definedName name="_20HA" localSheetId="36">#REF!</definedName>
    <definedName name="_20HA" localSheetId="8">#REF!</definedName>
    <definedName name="_20HA">#REF!</definedName>
    <definedName name="_20MDA" localSheetId="35">#REF!</definedName>
    <definedName name="_20MDA" localSheetId="36">#REF!</definedName>
    <definedName name="_20MDA" localSheetId="8">#REF!</definedName>
    <definedName name="_20MDA">#REF!</definedName>
    <definedName name="_21A" localSheetId="35">#REF!</definedName>
    <definedName name="_21A" localSheetId="36">#REF!</definedName>
    <definedName name="_21A" localSheetId="8">#REF!</definedName>
    <definedName name="_21A">#REF!</definedName>
    <definedName name="_22A" localSheetId="35">#REF!</definedName>
    <definedName name="_22A" localSheetId="36">#REF!</definedName>
    <definedName name="_22A" localSheetId="8">#REF!</definedName>
    <definedName name="_22A">#REF!</definedName>
    <definedName name="_23A" localSheetId="35">#REF!</definedName>
    <definedName name="_23A" localSheetId="36">#REF!</definedName>
    <definedName name="_23A" localSheetId="8">#REF!</definedName>
    <definedName name="_23A">#REF!</definedName>
    <definedName name="_24A" localSheetId="35">#REF!</definedName>
    <definedName name="_24A" localSheetId="36">#REF!</definedName>
    <definedName name="_24A" localSheetId="8">#REF!</definedName>
    <definedName name="_24A">#REF!</definedName>
    <definedName name="_26A" localSheetId="35">#REF!</definedName>
    <definedName name="_26A" localSheetId="36">#REF!</definedName>
    <definedName name="_26A" localSheetId="8">#REF!</definedName>
    <definedName name="_26A">#REF!</definedName>
    <definedName name="_27A" localSheetId="35">#REF!</definedName>
    <definedName name="_27A" localSheetId="36">#REF!</definedName>
    <definedName name="_27A" localSheetId="8">#REF!</definedName>
    <definedName name="_27A">#REF!</definedName>
    <definedName name="_28A" localSheetId="35">#REF!</definedName>
    <definedName name="_28A" localSheetId="36">#REF!</definedName>
    <definedName name="_28A" localSheetId="8">#REF!</definedName>
    <definedName name="_28A">#REF!</definedName>
    <definedName name="_2A" localSheetId="35">#REF!</definedName>
    <definedName name="_2A" localSheetId="36">#REF!</definedName>
    <definedName name="_2A" localSheetId="8">#REF!</definedName>
    <definedName name="_2A">#REF!</definedName>
    <definedName name="_2A9" localSheetId="35">#REF!</definedName>
    <definedName name="_2A9" localSheetId="36">#REF!</definedName>
    <definedName name="_2A9" localSheetId="8">#REF!</definedName>
    <definedName name="_2A9">#REF!</definedName>
    <definedName name="_2AG9" localSheetId="35">#REF!</definedName>
    <definedName name="_2AG9" localSheetId="36">#REF!</definedName>
    <definedName name="_2AG9" localSheetId="8">#REF!</definedName>
    <definedName name="_2AG9">#REF!</definedName>
    <definedName name="_2AI" localSheetId="35">#REF!</definedName>
    <definedName name="_2AI" localSheetId="36">#REF!</definedName>
    <definedName name="_2AI" localSheetId="8">#REF!</definedName>
    <definedName name="_2AI">#REF!</definedName>
    <definedName name="_2C" localSheetId="35">#REF!</definedName>
    <definedName name="_2C" localSheetId="36">#REF!</definedName>
    <definedName name="_2C" localSheetId="8">#REF!</definedName>
    <definedName name="_2C">#REF!</definedName>
    <definedName name="_2D" localSheetId="35">#REF!</definedName>
    <definedName name="_2D" localSheetId="36">#REF!</definedName>
    <definedName name="_2D" localSheetId="8">#REF!</definedName>
    <definedName name="_2D">#REF!</definedName>
    <definedName name="_2D9" localSheetId="35">#REF!</definedName>
    <definedName name="_2D9" localSheetId="36">#REF!</definedName>
    <definedName name="_2D9" localSheetId="8">#REF!</definedName>
    <definedName name="_2D9">#REF!</definedName>
    <definedName name="_2E" localSheetId="35">#REF!</definedName>
    <definedName name="_2E" localSheetId="36">#REF!</definedName>
    <definedName name="_2E" localSheetId="8">#REF!</definedName>
    <definedName name="_2E">#REF!</definedName>
    <definedName name="_2E9" localSheetId="35">#REF!</definedName>
    <definedName name="_2E9" localSheetId="36">#REF!</definedName>
    <definedName name="_2E9" localSheetId="8">#REF!</definedName>
    <definedName name="_2E9">#REF!</definedName>
    <definedName name="_2G" localSheetId="35">#REF!</definedName>
    <definedName name="_2G" localSheetId="36">#REF!</definedName>
    <definedName name="_2G" localSheetId="8">#REF!</definedName>
    <definedName name="_2G">#REF!</definedName>
    <definedName name="_2G9" localSheetId="35">#REF!</definedName>
    <definedName name="_2G9" localSheetId="36">#REF!</definedName>
    <definedName name="_2G9" localSheetId="8">#REF!</definedName>
    <definedName name="_2G9">#REF!</definedName>
    <definedName name="_2HD" localSheetId="35">#REF!</definedName>
    <definedName name="_2HD" localSheetId="36">#REF!</definedName>
    <definedName name="_2HD" localSheetId="8">#REF!</definedName>
    <definedName name="_2HD">#REF!</definedName>
    <definedName name="_2M" localSheetId="35">#REF!</definedName>
    <definedName name="_2M" localSheetId="36">#REF!</definedName>
    <definedName name="_2M" localSheetId="8">#REF!</definedName>
    <definedName name="_2M">#REF!</definedName>
    <definedName name="_2M1" localSheetId="35">#REF!</definedName>
    <definedName name="_2M1" localSheetId="36">#REF!</definedName>
    <definedName name="_2M1" localSheetId="8">#REF!</definedName>
    <definedName name="_2M1">#REF!</definedName>
    <definedName name="_2M9" localSheetId="35">#REF!</definedName>
    <definedName name="_2M9" localSheetId="36">#REF!</definedName>
    <definedName name="_2M9" localSheetId="8">#REF!</definedName>
    <definedName name="_2M9">#REF!</definedName>
    <definedName name="_2MD" localSheetId="35">#REF!</definedName>
    <definedName name="_2MD" localSheetId="36">#REF!</definedName>
    <definedName name="_2MD" localSheetId="8">#REF!</definedName>
    <definedName name="_2MD">#REF!</definedName>
    <definedName name="_2MDA" localSheetId="35">#REF!</definedName>
    <definedName name="_2MDA" localSheetId="36">#REF!</definedName>
    <definedName name="_2MDA" localSheetId="8">#REF!</definedName>
    <definedName name="_2MDA">#REF!</definedName>
    <definedName name="_2ME" localSheetId="35">#REF!</definedName>
    <definedName name="_2ME" localSheetId="36">#REF!</definedName>
    <definedName name="_2ME" localSheetId="8">#REF!</definedName>
    <definedName name="_2ME">#REF!</definedName>
    <definedName name="_2MG" localSheetId="35">#REF!</definedName>
    <definedName name="_2MG" localSheetId="36">#REF!</definedName>
    <definedName name="_2MG" localSheetId="8">#REF!</definedName>
    <definedName name="_2MG">#REF!</definedName>
    <definedName name="_2MM" localSheetId="35">#REF!</definedName>
    <definedName name="_2MM" localSheetId="36">#REF!</definedName>
    <definedName name="_2MM" localSheetId="8">#REF!</definedName>
    <definedName name="_2MM">#REF!</definedName>
    <definedName name="_2MS" localSheetId="35">#REF!</definedName>
    <definedName name="_2MS" localSheetId="36">#REF!</definedName>
    <definedName name="_2MS" localSheetId="8">#REF!</definedName>
    <definedName name="_2MS">#REF!</definedName>
    <definedName name="_2T" localSheetId="35">'[4]שמ"מ מ"ה'!#REF!</definedName>
    <definedName name="_2T" localSheetId="36">'[4]שמ"מ מ"ה'!#REF!</definedName>
    <definedName name="_2T" localSheetId="8">'[4]שמ"מ מ"ה'!#REF!</definedName>
    <definedName name="_2T" localSheetId="41">'[5]שמ"מ מ"ה'!#REF!</definedName>
    <definedName name="_2T">'[4]שמ"מ מ"ה'!#REF!</definedName>
    <definedName name="_2TD" localSheetId="35">#REF!</definedName>
    <definedName name="_2TD" localSheetId="36">#REF!</definedName>
    <definedName name="_2TD" localSheetId="8">#REF!</definedName>
    <definedName name="_2TD" localSheetId="41">#REF!</definedName>
    <definedName name="_2TD">#REF!</definedName>
    <definedName name="_2TE" localSheetId="35">#REF!</definedName>
    <definedName name="_2TE" localSheetId="36">#REF!</definedName>
    <definedName name="_2TE" localSheetId="8">#REF!</definedName>
    <definedName name="_2TE" localSheetId="41">#REF!</definedName>
    <definedName name="_2TE">#REF!</definedName>
    <definedName name="_2TM" localSheetId="35">#REF!</definedName>
    <definedName name="_2TM" localSheetId="36">#REF!</definedName>
    <definedName name="_2TM" localSheetId="8">#REF!</definedName>
    <definedName name="_2TM" localSheetId="41">#REF!</definedName>
    <definedName name="_2TM">#REF!</definedName>
    <definedName name="_30.06.97" localSheetId="35">#REF!</definedName>
    <definedName name="_30.06.97" localSheetId="36">#REF!</definedName>
    <definedName name="_30.06.97" localSheetId="8">#REF!</definedName>
    <definedName name="_30.06.97">#REF!</definedName>
    <definedName name="_30.06.98" localSheetId="35">#REF!</definedName>
    <definedName name="_30.06.98" localSheetId="36">#REF!</definedName>
    <definedName name="_30.06.98" localSheetId="8">#REF!</definedName>
    <definedName name="_30.06.98">#REF!</definedName>
    <definedName name="_30.09.98" localSheetId="35">#REF!</definedName>
    <definedName name="_30.09.98" localSheetId="36">#REF!</definedName>
    <definedName name="_30.09.98" localSheetId="8">#REF!</definedName>
    <definedName name="_30.09.98">#REF!</definedName>
    <definedName name="_31.03.97" localSheetId="35">#REF!</definedName>
    <definedName name="_31.03.97" localSheetId="36">#REF!</definedName>
    <definedName name="_31.03.97" localSheetId="8">#REF!</definedName>
    <definedName name="_31.03.97">#REF!</definedName>
    <definedName name="_31.03.98" localSheetId="35">#REF!</definedName>
    <definedName name="_31.03.98" localSheetId="36">#REF!</definedName>
    <definedName name="_31.03.98" localSheetId="8">#REF!</definedName>
    <definedName name="_31.03.98">#REF!</definedName>
    <definedName name="_31.06.98" localSheetId="35">#REF!</definedName>
    <definedName name="_31.06.98" localSheetId="36">#REF!</definedName>
    <definedName name="_31.06.98" localSheetId="8">#REF!</definedName>
    <definedName name="_31.06.98">#REF!</definedName>
    <definedName name="_31.12.94" localSheetId="35">#REF!</definedName>
    <definedName name="_31.12.94" localSheetId="36">#REF!</definedName>
    <definedName name="_31.12.94" localSheetId="8">#REF!</definedName>
    <definedName name="_31.12.94">#REF!</definedName>
    <definedName name="_31.12.95" localSheetId="35">#REF!</definedName>
    <definedName name="_31.12.95" localSheetId="36">#REF!</definedName>
    <definedName name="_31.12.95" localSheetId="8">#REF!</definedName>
    <definedName name="_31.12.95">#REF!</definedName>
    <definedName name="_31.12.96" localSheetId="35">#REF!</definedName>
    <definedName name="_31.12.96" localSheetId="36">#REF!</definedName>
    <definedName name="_31.12.96" localSheetId="8">#REF!</definedName>
    <definedName name="_31.12.96">#REF!</definedName>
    <definedName name="_31.12.97" localSheetId="35">#REF!</definedName>
    <definedName name="_31.12.97" localSheetId="36">#REF!</definedName>
    <definedName name="_31.12.97" localSheetId="8">#REF!</definedName>
    <definedName name="_31.12.97">#REF!</definedName>
    <definedName name="_31.12.98" localSheetId="35">#REF!</definedName>
    <definedName name="_31.12.98" localSheetId="36">#REF!</definedName>
    <definedName name="_31.12.98" localSheetId="8">#REF!</definedName>
    <definedName name="_31.12.98">#REF!</definedName>
    <definedName name="_3A" localSheetId="35">#REF!</definedName>
    <definedName name="_3A" localSheetId="36">#REF!</definedName>
    <definedName name="_3A" localSheetId="8">#REF!</definedName>
    <definedName name="_3A">#REF!</definedName>
    <definedName name="_3AI" localSheetId="35">#REF!</definedName>
    <definedName name="_3AI" localSheetId="36">#REF!</definedName>
    <definedName name="_3AI" localSheetId="8">#REF!</definedName>
    <definedName name="_3AI">#REF!</definedName>
    <definedName name="_3AMDA" localSheetId="35">#REF!</definedName>
    <definedName name="_3AMDA" localSheetId="36">#REF!</definedName>
    <definedName name="_3AMDA" localSheetId="8">#REF!</definedName>
    <definedName name="_3AMDA">#REF!</definedName>
    <definedName name="_3AMS" localSheetId="35">#REF!</definedName>
    <definedName name="_3AMS" localSheetId="36">#REF!</definedName>
    <definedName name="_3AMS" localSheetId="8">#REF!</definedName>
    <definedName name="_3AMS">#REF!</definedName>
    <definedName name="_3AP" localSheetId="35">#REF!</definedName>
    <definedName name="_3AP" localSheetId="36">#REF!</definedName>
    <definedName name="_3AP" localSheetId="8">#REF!</definedName>
    <definedName name="_3AP">#REF!</definedName>
    <definedName name="_3C" localSheetId="35">#REF!</definedName>
    <definedName name="_3C" localSheetId="36">#REF!</definedName>
    <definedName name="_3C" localSheetId="8">#REF!</definedName>
    <definedName name="_3C">#REF!</definedName>
    <definedName name="_3CP" localSheetId="35">#REF!</definedName>
    <definedName name="_3CP" localSheetId="36">#REF!</definedName>
    <definedName name="_3CP" localSheetId="8">#REF!</definedName>
    <definedName name="_3CP">#REF!</definedName>
    <definedName name="_3D" localSheetId="35">#REF!</definedName>
    <definedName name="_3D" localSheetId="36">#REF!</definedName>
    <definedName name="_3D" localSheetId="8">#REF!</definedName>
    <definedName name="_3D">#REF!</definedName>
    <definedName name="_3E" localSheetId="35">#REF!</definedName>
    <definedName name="_3E" localSheetId="36">#REF!</definedName>
    <definedName name="_3E" localSheetId="8">#REF!</definedName>
    <definedName name="_3E">#REF!</definedName>
    <definedName name="_3EA" localSheetId="35">#REF!</definedName>
    <definedName name="_3EA" localSheetId="36">#REF!</definedName>
    <definedName name="_3EA" localSheetId="8">#REF!</definedName>
    <definedName name="_3EA">#REF!</definedName>
    <definedName name="_3G" localSheetId="35">#REF!</definedName>
    <definedName name="_3G" localSheetId="36">#REF!</definedName>
    <definedName name="_3G" localSheetId="8">#REF!</definedName>
    <definedName name="_3G">#REF!</definedName>
    <definedName name="_3GA" localSheetId="35">#REF!</definedName>
    <definedName name="_3GA" localSheetId="36">#REF!</definedName>
    <definedName name="_3GA" localSheetId="8">#REF!</definedName>
    <definedName name="_3GA">#REF!</definedName>
    <definedName name="_3M" localSheetId="35">#REF!</definedName>
    <definedName name="_3M" localSheetId="36">#REF!</definedName>
    <definedName name="_3M" localSheetId="8">#REF!</definedName>
    <definedName name="_3M">#REF!</definedName>
    <definedName name="_3MA" localSheetId="35">#REF!</definedName>
    <definedName name="_3MA" localSheetId="36">#REF!</definedName>
    <definedName name="_3MA" localSheetId="8">#REF!</definedName>
    <definedName name="_3MA">#REF!</definedName>
    <definedName name="_3MD" localSheetId="35">#REF!</definedName>
    <definedName name="_3MD" localSheetId="36">#REF!</definedName>
    <definedName name="_3MD" localSheetId="8">#REF!</definedName>
    <definedName name="_3MD">#REF!</definedName>
    <definedName name="_3MDA" localSheetId="35">#REF!</definedName>
    <definedName name="_3MDA" localSheetId="36">#REF!</definedName>
    <definedName name="_3MDA" localSheetId="8">#REF!</definedName>
    <definedName name="_3MDA">#REF!</definedName>
    <definedName name="_3ME" localSheetId="35">#REF!</definedName>
    <definedName name="_3ME" localSheetId="36">#REF!</definedName>
    <definedName name="_3ME" localSheetId="8">#REF!</definedName>
    <definedName name="_3ME">#REF!</definedName>
    <definedName name="_3MEA" localSheetId="35">#REF!</definedName>
    <definedName name="_3MEA" localSheetId="36">#REF!</definedName>
    <definedName name="_3MEA" localSheetId="8">#REF!</definedName>
    <definedName name="_3MEA">#REF!</definedName>
    <definedName name="_3MG" localSheetId="35">#REF!</definedName>
    <definedName name="_3MG" localSheetId="36">#REF!</definedName>
    <definedName name="_3MG" localSheetId="8">#REF!</definedName>
    <definedName name="_3MG">#REF!</definedName>
    <definedName name="_3MM" localSheetId="35">#REF!</definedName>
    <definedName name="_3MM" localSheetId="36">#REF!</definedName>
    <definedName name="_3MM" localSheetId="8">#REF!</definedName>
    <definedName name="_3MM">#REF!</definedName>
    <definedName name="_3MS" localSheetId="35">#REF!</definedName>
    <definedName name="_3MS" localSheetId="36">#REF!</definedName>
    <definedName name="_3MS" localSheetId="8">#REF!</definedName>
    <definedName name="_3MS">#REF!</definedName>
    <definedName name="_3MSA" localSheetId="35">#REF!</definedName>
    <definedName name="_3MSA" localSheetId="36">#REF!</definedName>
    <definedName name="_3MSA" localSheetId="8">#REF!</definedName>
    <definedName name="_3MSA">#REF!</definedName>
    <definedName name="_3PMDA" localSheetId="35">#REF!</definedName>
    <definedName name="_3PMDA" localSheetId="36">#REF!</definedName>
    <definedName name="_3PMDA" localSheetId="8">#REF!</definedName>
    <definedName name="_3PMDA">#REF!</definedName>
    <definedName name="_3PMS" localSheetId="35">#REF!</definedName>
    <definedName name="_3PMS" localSheetId="36">#REF!</definedName>
    <definedName name="_3PMS" localSheetId="8">#REF!</definedName>
    <definedName name="_3PMS">#REF!</definedName>
    <definedName name="_3T" localSheetId="35">'[4]שמ"מ מ"ה'!#REF!</definedName>
    <definedName name="_3T" localSheetId="36">'[4]שמ"מ מ"ה'!#REF!</definedName>
    <definedName name="_3T" localSheetId="8">'[4]שמ"מ מ"ה'!#REF!</definedName>
    <definedName name="_3T" localSheetId="41">'[5]שמ"מ מ"ה'!#REF!</definedName>
    <definedName name="_3T">'[4]שמ"מ מ"ה'!#REF!</definedName>
    <definedName name="_3TE" localSheetId="35">#REF!</definedName>
    <definedName name="_3TE" localSheetId="36">#REF!</definedName>
    <definedName name="_3TE" localSheetId="8">#REF!</definedName>
    <definedName name="_3TE" localSheetId="41">#REF!</definedName>
    <definedName name="_3TE">#REF!</definedName>
    <definedName name="_3TM" localSheetId="35">#REF!</definedName>
    <definedName name="_3TM" localSheetId="36">#REF!</definedName>
    <definedName name="_3TM" localSheetId="8">#REF!</definedName>
    <definedName name="_3TM" localSheetId="41">#REF!</definedName>
    <definedName name="_3TM">#REF!</definedName>
    <definedName name="_4A" localSheetId="35">#REF!</definedName>
    <definedName name="_4A" localSheetId="36">#REF!</definedName>
    <definedName name="_4A" localSheetId="8">#REF!</definedName>
    <definedName name="_4A" localSheetId="41">#REF!</definedName>
    <definedName name="_4A">#REF!</definedName>
    <definedName name="_4AB" localSheetId="35">#REF!</definedName>
    <definedName name="_4AB" localSheetId="36">#REF!</definedName>
    <definedName name="_4AB" localSheetId="8">#REF!</definedName>
    <definedName name="_4AB">#REF!</definedName>
    <definedName name="_4AI" localSheetId="35">#REF!</definedName>
    <definedName name="_4AI" localSheetId="36">#REF!</definedName>
    <definedName name="_4AI" localSheetId="8">#REF!</definedName>
    <definedName name="_4AI">#REF!</definedName>
    <definedName name="_4AMDA" localSheetId="35">#REF!</definedName>
    <definedName name="_4AMDA" localSheetId="36">#REF!</definedName>
    <definedName name="_4AMDA" localSheetId="8">#REF!</definedName>
    <definedName name="_4AMDA">#REF!</definedName>
    <definedName name="_4C" localSheetId="35">#REF!</definedName>
    <definedName name="_4C" localSheetId="36">#REF!</definedName>
    <definedName name="_4C" localSheetId="8">#REF!</definedName>
    <definedName name="_4C">#REF!</definedName>
    <definedName name="_4D" localSheetId="35">#REF!</definedName>
    <definedName name="_4D" localSheetId="36">#REF!</definedName>
    <definedName name="_4D" localSheetId="8">#REF!</definedName>
    <definedName name="_4D">#REF!</definedName>
    <definedName name="_4E" localSheetId="35">#REF!</definedName>
    <definedName name="_4E" localSheetId="36">#REF!</definedName>
    <definedName name="_4E" localSheetId="8">#REF!</definedName>
    <definedName name="_4E">#REF!</definedName>
    <definedName name="_4G" localSheetId="35">#REF!</definedName>
    <definedName name="_4G" localSheetId="36">#REF!</definedName>
    <definedName name="_4G" localSheetId="8">#REF!</definedName>
    <definedName name="_4G">#REF!</definedName>
    <definedName name="_4M" localSheetId="35">#REF!</definedName>
    <definedName name="_4M" localSheetId="36">#REF!</definedName>
    <definedName name="_4M" localSheetId="8">#REF!</definedName>
    <definedName name="_4M">#REF!</definedName>
    <definedName name="_4MD" localSheetId="35">#REF!</definedName>
    <definedName name="_4MD" localSheetId="36">#REF!</definedName>
    <definedName name="_4MD" localSheetId="8">#REF!</definedName>
    <definedName name="_4MD">#REF!</definedName>
    <definedName name="_4MDA" localSheetId="35">#REF!</definedName>
    <definedName name="_4MDA" localSheetId="36">#REF!</definedName>
    <definedName name="_4MDA" localSheetId="8">#REF!</definedName>
    <definedName name="_4MDA">#REF!</definedName>
    <definedName name="_4ME" localSheetId="35">#REF!</definedName>
    <definedName name="_4ME" localSheetId="36">#REF!</definedName>
    <definedName name="_4ME" localSheetId="8">#REF!</definedName>
    <definedName name="_4ME">#REF!</definedName>
    <definedName name="_4MG" localSheetId="35">#REF!</definedName>
    <definedName name="_4MG" localSheetId="36">#REF!</definedName>
    <definedName name="_4MG" localSheetId="8">#REF!</definedName>
    <definedName name="_4MG">#REF!</definedName>
    <definedName name="_4MM" localSheetId="35">#REF!</definedName>
    <definedName name="_4MM" localSheetId="36">#REF!</definedName>
    <definedName name="_4MM" localSheetId="8">#REF!</definedName>
    <definedName name="_4MM">#REF!</definedName>
    <definedName name="_4MS" localSheetId="35">#REF!</definedName>
    <definedName name="_4MS" localSheetId="36">#REF!</definedName>
    <definedName name="_4MS" localSheetId="8">#REF!</definedName>
    <definedName name="_4MS">#REF!</definedName>
    <definedName name="_4PMDA" localSheetId="35">#REF!</definedName>
    <definedName name="_4PMDA" localSheetId="36">#REF!</definedName>
    <definedName name="_4PMDA" localSheetId="8">#REF!</definedName>
    <definedName name="_4PMDA">#REF!</definedName>
    <definedName name="_4S" localSheetId="35">#REF!</definedName>
    <definedName name="_4S" localSheetId="36">#REF!</definedName>
    <definedName name="_4S" localSheetId="8">#REF!</definedName>
    <definedName name="_4S">#REF!</definedName>
    <definedName name="_4SG" localSheetId="35">#REF!</definedName>
    <definedName name="_4SG" localSheetId="36">#REF!</definedName>
    <definedName name="_4SG" localSheetId="8">#REF!</definedName>
    <definedName name="_4SG">#REF!</definedName>
    <definedName name="_4T" localSheetId="35">'[4]שמ"מ מ"ה'!#REF!</definedName>
    <definedName name="_4T" localSheetId="36">'[4]שמ"מ מ"ה'!#REF!</definedName>
    <definedName name="_4T" localSheetId="8">'[4]שמ"מ מ"ה'!#REF!</definedName>
    <definedName name="_4T" localSheetId="41">'[5]שמ"מ מ"ה'!#REF!</definedName>
    <definedName name="_4T">'[4]שמ"מ מ"ה'!#REF!</definedName>
    <definedName name="_4TA" localSheetId="35">'[4]שמ"מ מ"ה'!#REF!</definedName>
    <definedName name="_4TA" localSheetId="36">'[4]שמ"מ מ"ה'!#REF!</definedName>
    <definedName name="_4TA" localSheetId="8">'[4]שמ"מ מ"ה'!#REF!</definedName>
    <definedName name="_4TA" localSheetId="41">'[5]שמ"מ מ"ה'!#REF!</definedName>
    <definedName name="_4TA">'[4]שמ"מ מ"ה'!#REF!</definedName>
    <definedName name="_4TD" localSheetId="35">#REF!</definedName>
    <definedName name="_4TD" localSheetId="36">#REF!</definedName>
    <definedName name="_4TD" localSheetId="8">#REF!</definedName>
    <definedName name="_4TD" localSheetId="41">#REF!</definedName>
    <definedName name="_4TD">#REF!</definedName>
    <definedName name="_4TM" localSheetId="35">#REF!</definedName>
    <definedName name="_4TM" localSheetId="36">#REF!</definedName>
    <definedName name="_4TM" localSheetId="8">#REF!</definedName>
    <definedName name="_4TM" localSheetId="41">#REF!</definedName>
    <definedName name="_4TM">#REF!</definedName>
    <definedName name="_5A" localSheetId="35">#REF!</definedName>
    <definedName name="_5A" localSheetId="36">#REF!</definedName>
    <definedName name="_5A" localSheetId="8">#REF!</definedName>
    <definedName name="_5A" localSheetId="41">#REF!</definedName>
    <definedName name="_5A">#REF!</definedName>
    <definedName name="_5AI" localSheetId="35">#REF!</definedName>
    <definedName name="_5AI" localSheetId="36">#REF!</definedName>
    <definedName name="_5AI" localSheetId="8">#REF!</definedName>
    <definedName name="_5AI">#REF!</definedName>
    <definedName name="_5AMDA" localSheetId="35">#REF!</definedName>
    <definedName name="_5AMDA" localSheetId="36">#REF!</definedName>
    <definedName name="_5AMDA" localSheetId="8">#REF!</definedName>
    <definedName name="_5AMDA">#REF!</definedName>
    <definedName name="_5BMDA" localSheetId="35">#REF!</definedName>
    <definedName name="_5BMDA" localSheetId="36">#REF!</definedName>
    <definedName name="_5BMDA" localSheetId="8">#REF!</definedName>
    <definedName name="_5BMDA">#REF!</definedName>
    <definedName name="_5C" localSheetId="35">#REF!</definedName>
    <definedName name="_5C" localSheetId="36">#REF!</definedName>
    <definedName name="_5C" localSheetId="8">#REF!</definedName>
    <definedName name="_5C">#REF!</definedName>
    <definedName name="_5CA" localSheetId="35">#REF!</definedName>
    <definedName name="_5CA" localSheetId="36">#REF!</definedName>
    <definedName name="_5CA" localSheetId="8">#REF!</definedName>
    <definedName name="_5CA">#REF!</definedName>
    <definedName name="_5CMDA" localSheetId="35">#REF!</definedName>
    <definedName name="_5CMDA" localSheetId="36">#REF!</definedName>
    <definedName name="_5CMDA" localSheetId="8">#REF!</definedName>
    <definedName name="_5CMDA">#REF!</definedName>
    <definedName name="_5D" localSheetId="35">#REF!</definedName>
    <definedName name="_5D" localSheetId="36">#REF!</definedName>
    <definedName name="_5D" localSheetId="8">#REF!</definedName>
    <definedName name="_5D">#REF!</definedName>
    <definedName name="_5DMDA" localSheetId="35">#REF!</definedName>
    <definedName name="_5DMDA" localSheetId="36">#REF!</definedName>
    <definedName name="_5DMDA" localSheetId="8">#REF!</definedName>
    <definedName name="_5DMDA">#REF!</definedName>
    <definedName name="_5E" localSheetId="35">#REF!</definedName>
    <definedName name="_5E" localSheetId="36">#REF!</definedName>
    <definedName name="_5E" localSheetId="8">#REF!</definedName>
    <definedName name="_5E">#REF!</definedName>
    <definedName name="_5EMDA" localSheetId="35">#REF!</definedName>
    <definedName name="_5EMDA" localSheetId="36">#REF!</definedName>
    <definedName name="_5EMDA" localSheetId="8">#REF!</definedName>
    <definedName name="_5EMDA">#REF!</definedName>
    <definedName name="_5FMDA" localSheetId="35">#REF!</definedName>
    <definedName name="_5FMDA" localSheetId="36">#REF!</definedName>
    <definedName name="_5FMDA" localSheetId="8">#REF!</definedName>
    <definedName name="_5FMDA">#REF!</definedName>
    <definedName name="_5G" localSheetId="35">#REF!</definedName>
    <definedName name="_5G" localSheetId="36">#REF!</definedName>
    <definedName name="_5G" localSheetId="8">#REF!</definedName>
    <definedName name="_5G">#REF!</definedName>
    <definedName name="_5HE" localSheetId="35">#REF!</definedName>
    <definedName name="_5HE" localSheetId="36">#REF!</definedName>
    <definedName name="_5HE" localSheetId="8">#REF!</definedName>
    <definedName name="_5HE">#REF!</definedName>
    <definedName name="_5M" localSheetId="35">#REF!</definedName>
    <definedName name="_5M" localSheetId="36">#REF!</definedName>
    <definedName name="_5M" localSheetId="8">#REF!</definedName>
    <definedName name="_5M">#REF!</definedName>
    <definedName name="_5MD" localSheetId="35">#REF!</definedName>
    <definedName name="_5MD" localSheetId="36">#REF!</definedName>
    <definedName name="_5MD" localSheetId="8">#REF!</definedName>
    <definedName name="_5MD">#REF!</definedName>
    <definedName name="_5MDA" localSheetId="35">#REF!</definedName>
    <definedName name="_5MDA" localSheetId="36">#REF!</definedName>
    <definedName name="_5MDA" localSheetId="8">#REF!</definedName>
    <definedName name="_5MDA">#REF!</definedName>
    <definedName name="_5ME" localSheetId="35">#REF!</definedName>
    <definedName name="_5ME" localSheetId="36">#REF!</definedName>
    <definedName name="_5ME" localSheetId="8">#REF!</definedName>
    <definedName name="_5ME">#REF!</definedName>
    <definedName name="_5MG" localSheetId="35">#REF!</definedName>
    <definedName name="_5MG" localSheetId="36">#REF!</definedName>
    <definedName name="_5MG" localSheetId="8">#REF!</definedName>
    <definedName name="_5MG">#REF!</definedName>
    <definedName name="_5MM" localSheetId="35">#REF!</definedName>
    <definedName name="_5MM" localSheetId="36">#REF!</definedName>
    <definedName name="_5MM" localSheetId="8">#REF!</definedName>
    <definedName name="_5MM">#REF!</definedName>
    <definedName name="_5MS" localSheetId="35">#REF!</definedName>
    <definedName name="_5MS" localSheetId="36">#REF!</definedName>
    <definedName name="_5MS" localSheetId="8">#REF!</definedName>
    <definedName name="_5MS">#REF!</definedName>
    <definedName name="_5T" localSheetId="35">'[4]שמ"מ מ"ה'!#REF!</definedName>
    <definedName name="_5T" localSheetId="36">'[4]שמ"מ מ"ה'!#REF!</definedName>
    <definedName name="_5T" localSheetId="8">'[4]שמ"מ מ"ה'!#REF!</definedName>
    <definedName name="_5T" localSheetId="41">'[5]שמ"מ מ"ה'!#REF!</definedName>
    <definedName name="_5T">'[4]שמ"מ מ"ה'!#REF!</definedName>
    <definedName name="_5TA" localSheetId="35">'[4]שמ"מ מ"ה'!#REF!</definedName>
    <definedName name="_5TA" localSheetId="36">'[4]שמ"מ מ"ה'!#REF!</definedName>
    <definedName name="_5TA" localSheetId="8">'[4]שמ"מ מ"ה'!#REF!</definedName>
    <definedName name="_5TA" localSheetId="41">'[5]שמ"מ מ"ה'!#REF!</definedName>
    <definedName name="_5TA">'[4]שמ"מ מ"ה'!#REF!</definedName>
    <definedName name="_5TD" localSheetId="35">#REF!</definedName>
    <definedName name="_5TD" localSheetId="36">#REF!</definedName>
    <definedName name="_5TD" localSheetId="8">#REF!</definedName>
    <definedName name="_5TD" localSheetId="41">#REF!</definedName>
    <definedName name="_5TD">#REF!</definedName>
    <definedName name="_6A" localSheetId="35">#REF!</definedName>
    <definedName name="_6A" localSheetId="36">#REF!</definedName>
    <definedName name="_6A" localSheetId="8">#REF!</definedName>
    <definedName name="_6A" localSheetId="41">#REF!</definedName>
    <definedName name="_6A">#REF!</definedName>
    <definedName name="_6AI" localSheetId="35">#REF!</definedName>
    <definedName name="_6AI" localSheetId="36">#REF!</definedName>
    <definedName name="_6AI" localSheetId="8">#REF!</definedName>
    <definedName name="_6AI" localSheetId="41">#REF!</definedName>
    <definedName name="_6AI">#REF!</definedName>
    <definedName name="_6C" localSheetId="35">#REF!</definedName>
    <definedName name="_6C" localSheetId="36">#REF!</definedName>
    <definedName name="_6C" localSheetId="8">#REF!</definedName>
    <definedName name="_6C">#REF!</definedName>
    <definedName name="_6D" localSheetId="35">#REF!</definedName>
    <definedName name="_6D" localSheetId="36">#REF!</definedName>
    <definedName name="_6D" localSheetId="8">#REF!</definedName>
    <definedName name="_6D">#REF!</definedName>
    <definedName name="_6E" localSheetId="35">#REF!</definedName>
    <definedName name="_6E" localSheetId="36">#REF!</definedName>
    <definedName name="_6E" localSheetId="8">#REF!</definedName>
    <definedName name="_6E">#REF!</definedName>
    <definedName name="_6G" localSheetId="35">#REF!</definedName>
    <definedName name="_6G" localSheetId="36">#REF!</definedName>
    <definedName name="_6G" localSheetId="8">#REF!</definedName>
    <definedName name="_6G">#REF!</definedName>
    <definedName name="_6M" localSheetId="35">#REF!</definedName>
    <definedName name="_6M" localSheetId="36">#REF!</definedName>
    <definedName name="_6M" localSheetId="8">#REF!</definedName>
    <definedName name="_6M">#REF!</definedName>
    <definedName name="_6MD" localSheetId="35">#REF!</definedName>
    <definedName name="_6MD" localSheetId="36">#REF!</definedName>
    <definedName name="_6MD" localSheetId="8">#REF!</definedName>
    <definedName name="_6MD">#REF!</definedName>
    <definedName name="_6MDA" localSheetId="35">#REF!</definedName>
    <definedName name="_6MDA" localSheetId="36">#REF!</definedName>
    <definedName name="_6MDA" localSheetId="8">#REF!</definedName>
    <definedName name="_6MDA">#REF!</definedName>
    <definedName name="_6ME" localSheetId="35">#REF!</definedName>
    <definedName name="_6ME" localSheetId="36">#REF!</definedName>
    <definedName name="_6ME" localSheetId="8">#REF!</definedName>
    <definedName name="_6ME">#REF!</definedName>
    <definedName name="_6MG" localSheetId="35">#REF!</definedName>
    <definedName name="_6MG" localSheetId="36">#REF!</definedName>
    <definedName name="_6MG" localSheetId="8">#REF!</definedName>
    <definedName name="_6MG">#REF!</definedName>
    <definedName name="_6MM" localSheetId="35">#REF!</definedName>
    <definedName name="_6MM" localSheetId="36">#REF!</definedName>
    <definedName name="_6MM" localSheetId="8">#REF!</definedName>
    <definedName name="_6MM">#REF!</definedName>
    <definedName name="_6MS" localSheetId="35">#REF!</definedName>
    <definedName name="_6MS" localSheetId="36">#REF!</definedName>
    <definedName name="_6MS" localSheetId="8">#REF!</definedName>
    <definedName name="_6MS">#REF!</definedName>
    <definedName name="_6TA" localSheetId="35">'[4]שמ"מ מ"ה'!#REF!</definedName>
    <definedName name="_6TA" localSheetId="36">'[4]שמ"מ מ"ה'!#REF!</definedName>
    <definedName name="_6TA" localSheetId="8">'[4]שמ"מ מ"ה'!#REF!</definedName>
    <definedName name="_6TA" localSheetId="41">'[5]שמ"מ מ"ה'!#REF!</definedName>
    <definedName name="_6TA">'[4]שמ"מ מ"ה'!#REF!</definedName>
    <definedName name="_6TD" localSheetId="35">#REF!</definedName>
    <definedName name="_6TD" localSheetId="36">#REF!</definedName>
    <definedName name="_6TD" localSheetId="8">#REF!</definedName>
    <definedName name="_6TD" localSheetId="41">#REF!</definedName>
    <definedName name="_6TD">#REF!</definedName>
    <definedName name="_6TE" localSheetId="35">#REF!</definedName>
    <definedName name="_6TE" localSheetId="36">#REF!</definedName>
    <definedName name="_6TE" localSheetId="8">#REF!</definedName>
    <definedName name="_6TE" localSheetId="41">#REF!</definedName>
    <definedName name="_6TE">#REF!</definedName>
    <definedName name="_6TM" localSheetId="35">#REF!</definedName>
    <definedName name="_6TM" localSheetId="36">#REF!</definedName>
    <definedName name="_6TM" localSheetId="8">#REF!</definedName>
    <definedName name="_6TM" localSheetId="41">#REF!</definedName>
    <definedName name="_6TM">#REF!</definedName>
    <definedName name="_7.5MG" localSheetId="35">#REF!</definedName>
    <definedName name="_7.5MG" localSheetId="36">#REF!</definedName>
    <definedName name="_7.5MG" localSheetId="8">#REF!</definedName>
    <definedName name="_7.5MG">#REF!</definedName>
    <definedName name="_7A" localSheetId="35">#REF!</definedName>
    <definedName name="_7A" localSheetId="36">#REF!</definedName>
    <definedName name="_7A" localSheetId="8">#REF!</definedName>
    <definedName name="_7A">#REF!</definedName>
    <definedName name="_7AB" localSheetId="35">#REF!</definedName>
    <definedName name="_7AB" localSheetId="36">#REF!</definedName>
    <definedName name="_7AB" localSheetId="8">#REF!</definedName>
    <definedName name="_7AB">#REF!</definedName>
    <definedName name="_7AC" localSheetId="35">#REF!</definedName>
    <definedName name="_7AC" localSheetId="36">#REF!</definedName>
    <definedName name="_7AC" localSheetId="8">#REF!</definedName>
    <definedName name="_7AC">#REF!</definedName>
    <definedName name="_7C" localSheetId="35">#REF!</definedName>
    <definedName name="_7C" localSheetId="36">#REF!</definedName>
    <definedName name="_7C" localSheetId="8">#REF!</definedName>
    <definedName name="_7C">#REF!</definedName>
    <definedName name="_7D" localSheetId="35">#REF!</definedName>
    <definedName name="_7D" localSheetId="36">#REF!</definedName>
    <definedName name="_7D" localSheetId="8">#REF!</definedName>
    <definedName name="_7D">#REF!</definedName>
    <definedName name="_7E" localSheetId="35">#REF!</definedName>
    <definedName name="_7E" localSheetId="36">#REF!</definedName>
    <definedName name="_7E" localSheetId="8">#REF!</definedName>
    <definedName name="_7E">#REF!</definedName>
    <definedName name="_7G" localSheetId="35">#REF!</definedName>
    <definedName name="_7G" localSheetId="36">#REF!</definedName>
    <definedName name="_7G" localSheetId="8">#REF!</definedName>
    <definedName name="_7G">#REF!</definedName>
    <definedName name="_7M" localSheetId="35">#REF!</definedName>
    <definedName name="_7M" localSheetId="36">#REF!</definedName>
    <definedName name="_7M" localSheetId="8">#REF!</definedName>
    <definedName name="_7M">#REF!</definedName>
    <definedName name="_7MD" localSheetId="35">#REF!</definedName>
    <definedName name="_7MD" localSheetId="36">#REF!</definedName>
    <definedName name="_7MD" localSheetId="8">#REF!</definedName>
    <definedName name="_7MD">#REF!</definedName>
    <definedName name="_7ME" localSheetId="35">#REF!</definedName>
    <definedName name="_7ME" localSheetId="36">#REF!</definedName>
    <definedName name="_7ME" localSheetId="8">#REF!</definedName>
    <definedName name="_7ME">#REF!</definedName>
    <definedName name="_7MG" localSheetId="35">#REF!</definedName>
    <definedName name="_7MG" localSheetId="36">#REF!</definedName>
    <definedName name="_7MG" localSheetId="8">#REF!</definedName>
    <definedName name="_7MG">#REF!</definedName>
    <definedName name="_7MM" localSheetId="35">#REF!</definedName>
    <definedName name="_7MM" localSheetId="36">#REF!</definedName>
    <definedName name="_7MM" localSheetId="8">#REF!</definedName>
    <definedName name="_7MM">#REF!</definedName>
    <definedName name="_7MS" localSheetId="35">#REF!</definedName>
    <definedName name="_7MS" localSheetId="36">#REF!</definedName>
    <definedName name="_7MS" localSheetId="8">#REF!</definedName>
    <definedName name="_7MS">#REF!</definedName>
    <definedName name="_7TA" localSheetId="35">'[4]שמ"מ מ"ה'!#REF!</definedName>
    <definedName name="_7TA" localSheetId="36">'[4]שמ"מ מ"ה'!#REF!</definedName>
    <definedName name="_7TA" localSheetId="8">'[4]שמ"מ מ"ה'!#REF!</definedName>
    <definedName name="_7TA" localSheetId="41">'[5]שמ"מ מ"ה'!#REF!</definedName>
    <definedName name="_7TA">'[4]שמ"מ מ"ה'!#REF!</definedName>
    <definedName name="_8A" localSheetId="35">#REF!</definedName>
    <definedName name="_8A" localSheetId="36">#REF!</definedName>
    <definedName name="_8A" localSheetId="8">#REF!</definedName>
    <definedName name="_8A" localSheetId="41">#REF!</definedName>
    <definedName name="_8A">#REF!</definedName>
    <definedName name="_8C" localSheetId="35">#REF!</definedName>
    <definedName name="_8C" localSheetId="36">#REF!</definedName>
    <definedName name="_8C" localSheetId="8">#REF!</definedName>
    <definedName name="_8C" localSheetId="41">#REF!</definedName>
    <definedName name="_8C">#REF!</definedName>
    <definedName name="_8D" localSheetId="35">#REF!</definedName>
    <definedName name="_8D" localSheetId="36">#REF!</definedName>
    <definedName name="_8D" localSheetId="8">#REF!</definedName>
    <definedName name="_8D" localSheetId="41">#REF!</definedName>
    <definedName name="_8D">#REF!</definedName>
    <definedName name="_8E" localSheetId="35">#REF!</definedName>
    <definedName name="_8E" localSheetId="36">#REF!</definedName>
    <definedName name="_8E" localSheetId="8">#REF!</definedName>
    <definedName name="_8E">#REF!</definedName>
    <definedName name="_8G" localSheetId="35">#REF!</definedName>
    <definedName name="_8G" localSheetId="36">#REF!</definedName>
    <definedName name="_8G" localSheetId="8">#REF!</definedName>
    <definedName name="_8G">#REF!</definedName>
    <definedName name="_8M" localSheetId="35">#REF!</definedName>
    <definedName name="_8M" localSheetId="36">#REF!</definedName>
    <definedName name="_8M" localSheetId="8">#REF!</definedName>
    <definedName name="_8M">#REF!</definedName>
    <definedName name="_8MD" localSheetId="35">#REF!</definedName>
    <definedName name="_8MD" localSheetId="36">#REF!</definedName>
    <definedName name="_8MD" localSheetId="8">#REF!</definedName>
    <definedName name="_8MD">#REF!</definedName>
    <definedName name="_8MDA" localSheetId="35">#REF!</definedName>
    <definedName name="_8MDA" localSheetId="36">#REF!</definedName>
    <definedName name="_8MDA" localSheetId="8">#REF!</definedName>
    <definedName name="_8MDA">#REF!</definedName>
    <definedName name="_8ME" localSheetId="35">#REF!</definedName>
    <definedName name="_8ME" localSheetId="36">#REF!</definedName>
    <definedName name="_8ME" localSheetId="8">#REF!</definedName>
    <definedName name="_8ME">#REF!</definedName>
    <definedName name="_8MG" localSheetId="35">#REF!</definedName>
    <definedName name="_8MG" localSheetId="36">#REF!</definedName>
    <definedName name="_8MG" localSheetId="8">#REF!</definedName>
    <definedName name="_8MG">#REF!</definedName>
    <definedName name="_8MG1" localSheetId="35">#REF!</definedName>
    <definedName name="_8MG1" localSheetId="36">#REF!</definedName>
    <definedName name="_8MG1" localSheetId="8">#REF!</definedName>
    <definedName name="_8MG1">#REF!</definedName>
    <definedName name="_8MM" localSheetId="35">#REF!</definedName>
    <definedName name="_8MM" localSheetId="36">#REF!</definedName>
    <definedName name="_8MM" localSheetId="8">#REF!</definedName>
    <definedName name="_8MM">#REF!</definedName>
    <definedName name="_8MS" localSheetId="35">#REF!</definedName>
    <definedName name="_8MS" localSheetId="36">#REF!</definedName>
    <definedName name="_8MS" localSheetId="8">#REF!</definedName>
    <definedName name="_8MS">#REF!</definedName>
    <definedName name="_9A" localSheetId="35">#REF!</definedName>
    <definedName name="_9A" localSheetId="36">#REF!</definedName>
    <definedName name="_9A" localSheetId="8">#REF!</definedName>
    <definedName name="_9A">#REF!</definedName>
    <definedName name="_9C" localSheetId="35">#REF!</definedName>
    <definedName name="_9C" localSheetId="36">#REF!</definedName>
    <definedName name="_9C" localSheetId="8">#REF!</definedName>
    <definedName name="_9C">#REF!</definedName>
    <definedName name="_9E" localSheetId="35">#REF!</definedName>
    <definedName name="_9E" localSheetId="36">#REF!</definedName>
    <definedName name="_9E" localSheetId="8">#REF!</definedName>
    <definedName name="_9E">#REF!</definedName>
    <definedName name="_9G" localSheetId="35">#REF!</definedName>
    <definedName name="_9G" localSheetId="36">#REF!</definedName>
    <definedName name="_9G" localSheetId="8">#REF!</definedName>
    <definedName name="_9G">#REF!</definedName>
    <definedName name="_9M" localSheetId="35">#REF!</definedName>
    <definedName name="_9M" localSheetId="36">#REF!</definedName>
    <definedName name="_9M" localSheetId="8">#REF!</definedName>
    <definedName name="_9M">#REF!</definedName>
    <definedName name="_9MD" localSheetId="35">#REF!</definedName>
    <definedName name="_9MD" localSheetId="36">#REF!</definedName>
    <definedName name="_9MD" localSheetId="8">#REF!</definedName>
    <definedName name="_9MD">#REF!</definedName>
    <definedName name="_9MDA" localSheetId="35">#REF!</definedName>
    <definedName name="_9MDA" localSheetId="36">#REF!</definedName>
    <definedName name="_9MDA" localSheetId="8">#REF!</definedName>
    <definedName name="_9MDA">#REF!</definedName>
    <definedName name="_9ME" localSheetId="35">#REF!</definedName>
    <definedName name="_9ME" localSheetId="36">#REF!</definedName>
    <definedName name="_9ME" localSheetId="8">#REF!</definedName>
    <definedName name="_9ME">#REF!</definedName>
    <definedName name="_9MG" localSheetId="35">#REF!</definedName>
    <definedName name="_9MG" localSheetId="36">#REF!</definedName>
    <definedName name="_9MG" localSheetId="8">#REF!</definedName>
    <definedName name="_9MG">#REF!</definedName>
    <definedName name="_9MM" localSheetId="35">#REF!</definedName>
    <definedName name="_9MM" localSheetId="36">#REF!</definedName>
    <definedName name="_9MM" localSheetId="8">#REF!</definedName>
    <definedName name="_9MM">#REF!</definedName>
    <definedName name="_apb25" localSheetId="35">#REF!</definedName>
    <definedName name="_apb25" localSheetId="36">#REF!</definedName>
    <definedName name="_apb25" localSheetId="8">#REF!</definedName>
    <definedName name="_apb25">#REF!</definedName>
    <definedName name="_cpi0397" localSheetId="35">#REF!</definedName>
    <definedName name="_cpi0397" localSheetId="36">#REF!</definedName>
    <definedName name="_cpi0397" localSheetId="8">#REF!</definedName>
    <definedName name="_cpi0397">#REF!</definedName>
    <definedName name="_cpi0398" localSheetId="35">#REF!</definedName>
    <definedName name="_cpi0398" localSheetId="36">#REF!</definedName>
    <definedName name="_cpi0398" localSheetId="8">#REF!</definedName>
    <definedName name="_cpi0398">#REF!</definedName>
    <definedName name="_cpi0399" localSheetId="35">#REF!</definedName>
    <definedName name="_cpi0399" localSheetId="36">#REF!</definedName>
    <definedName name="_cpi0399" localSheetId="8">#REF!</definedName>
    <definedName name="_cpi0399">#REF!</definedName>
    <definedName name="_cpi0696" localSheetId="35">#REF!</definedName>
    <definedName name="_cpi0696" localSheetId="36">#REF!</definedName>
    <definedName name="_cpi0696" localSheetId="8">#REF!</definedName>
    <definedName name="_cpi0696">#REF!</definedName>
    <definedName name="_cpi0697" localSheetId="35">#REF!</definedName>
    <definedName name="_cpi0697" localSheetId="36">#REF!</definedName>
    <definedName name="_cpi0697" localSheetId="8">#REF!</definedName>
    <definedName name="_cpi0697">#REF!</definedName>
    <definedName name="_cpi0698" localSheetId="35">#REF!</definedName>
    <definedName name="_cpi0698" localSheetId="36">#REF!</definedName>
    <definedName name="_cpi0698" localSheetId="8">#REF!</definedName>
    <definedName name="_cpi0698">#REF!</definedName>
    <definedName name="_cpi0997" localSheetId="35">#REF!</definedName>
    <definedName name="_cpi0997" localSheetId="36">#REF!</definedName>
    <definedName name="_cpi0997" localSheetId="8">#REF!</definedName>
    <definedName name="_cpi0997">#REF!</definedName>
    <definedName name="_cpi0998" localSheetId="35">#REF!</definedName>
    <definedName name="_cpi0998" localSheetId="36">#REF!</definedName>
    <definedName name="_cpi0998" localSheetId="8">#REF!</definedName>
    <definedName name="_cpi0998">#REF!</definedName>
    <definedName name="_cpi1298" localSheetId="35">#REF!</definedName>
    <definedName name="_cpi1298" localSheetId="36">#REF!</definedName>
    <definedName name="_cpi1298" localSheetId="8">#REF!</definedName>
    <definedName name="_cpi1298">#REF!</definedName>
    <definedName name="_cpi1299">[7]מדדים!$E$32</definedName>
    <definedName name="_cpi95" localSheetId="35">#REF!</definedName>
    <definedName name="_cpi95" localSheetId="36">#REF!</definedName>
    <definedName name="_cpi95" localSheetId="8">#REF!</definedName>
    <definedName name="_cpi95">#REF!</definedName>
    <definedName name="_cpi96" localSheetId="35">#REF!</definedName>
    <definedName name="_cpi96" localSheetId="36">#REF!</definedName>
    <definedName name="_cpi96" localSheetId="8">#REF!</definedName>
    <definedName name="_cpi96">#REF!</definedName>
    <definedName name="_cpi97" localSheetId="35">#REF!</definedName>
    <definedName name="_cpi97" localSheetId="36">#REF!</definedName>
    <definedName name="_cpi97" localSheetId="8">#REF!</definedName>
    <definedName name="_cpi97">#REF!</definedName>
    <definedName name="_cpi996" localSheetId="35">#REF!</definedName>
    <definedName name="_cpi996" localSheetId="36">#REF!</definedName>
    <definedName name="_cpi996" localSheetId="8">#REF!</definedName>
    <definedName name="_cpi996">#REF!</definedName>
    <definedName name="_Exp2" localSheetId="35">'[8]Temp 2'!#REF!</definedName>
    <definedName name="_Exp2" localSheetId="36">'[8]Temp 2'!#REF!</definedName>
    <definedName name="_Exp2" localSheetId="8">'[8]Temp 2'!#REF!</definedName>
    <definedName name="_Exp2">'[8]Temp 2'!#REF!</definedName>
    <definedName name="_Fill" localSheetId="7" hidden="1">#REF!</definedName>
    <definedName name="_Fill" localSheetId="35" hidden="1">#REF!</definedName>
    <definedName name="_Fill" localSheetId="36" hidden="1">#REF!</definedName>
    <definedName name="_Fill" localSheetId="8" hidden="1">#REF!</definedName>
    <definedName name="_Fill" hidden="1">#REF!</definedName>
    <definedName name="_xlnm._FilterDatabase" localSheetId="10" hidden="1">'GMBH BS 31.12.2022'!$A$1:$H$89</definedName>
    <definedName name="_xlnm._FilterDatabase" localSheetId="13" hidden="1">'GMBH BS 31.12.2022 (2)'!$A$1:$H$89</definedName>
    <definedName name="_xlnm._FilterDatabase" localSheetId="8" hidden="1">SAP!$A$1:$J$90</definedName>
    <definedName name="_xlnm._FilterDatabase" localSheetId="9" hidden="1">'SAP DRAFT'!$A$1:$L$383</definedName>
    <definedName name="_ICP1" localSheetId="35">#REF!</definedName>
    <definedName name="_ICP1" localSheetId="36">#REF!</definedName>
    <definedName name="_ICP1" localSheetId="8">#REF!</definedName>
    <definedName name="_ICP1" localSheetId="41">#REF!</definedName>
    <definedName name="_ICP1">#REF!</definedName>
    <definedName name="_Key1" localSheetId="35" hidden="1">#REF!</definedName>
    <definedName name="_Key1" localSheetId="36" hidden="1">#REF!</definedName>
    <definedName name="_Key1" localSheetId="8" hidden="1">#REF!</definedName>
    <definedName name="_Key1" hidden="1">#REF!</definedName>
    <definedName name="_Key2" localSheetId="35" hidden="1">#REF!</definedName>
    <definedName name="_Key2" localSheetId="36" hidden="1">#REF!</definedName>
    <definedName name="_Key2" localSheetId="8" hidden="1">#REF!</definedName>
    <definedName name="_Key2" hidden="1">#REF!</definedName>
    <definedName name="_MxpDBData_" localSheetId="7">#REF!</definedName>
    <definedName name="_MxpDBData_">[9]גיליון1!$A$1:$AI$114</definedName>
    <definedName name="_ND1" localSheetId="35">#REF!</definedName>
    <definedName name="_ND1" localSheetId="36">#REF!</definedName>
    <definedName name="_ND1" localSheetId="8">#REF!</definedName>
    <definedName name="_ND1" localSheetId="41">#REF!</definedName>
    <definedName name="_ND1">#REF!</definedName>
    <definedName name="_OM9" localSheetId="35">#REF!</definedName>
    <definedName name="_OM9" localSheetId="36">#REF!</definedName>
    <definedName name="_OM9" localSheetId="8">#REF!</definedName>
    <definedName name="_OM9" localSheetId="41">#REF!</definedName>
    <definedName name="_OM9">#REF!</definedName>
    <definedName name="_Order1" hidden="1">255</definedName>
    <definedName name="_Order2" hidden="1">255</definedName>
    <definedName name="_Regression_Int">1</definedName>
    <definedName name="_rk1">[3]מעגלים!$A$1:$F$18,[3]מעגלים!$G$1:$L$18,[3]מעגלים!$M$1:$R$18,[3]מעגלים!$Y$1:$AD$18,[3]מעגלים!$AE$1:$AJ$18,[3]מעגלים!$AK$1:$AP$18,[3]מעגלים!$AQ$1:$AV$18,[3]מעגלים!$AW$1:$BB$18,[3]מעגלים!$BC$1:$BJ$18</definedName>
    <definedName name="_RQ1" localSheetId="35">#REF!</definedName>
    <definedName name="_RQ1" localSheetId="36">#REF!</definedName>
    <definedName name="_RQ1" localSheetId="8">#REF!</definedName>
    <definedName name="_RQ1" localSheetId="41">#REF!</definedName>
    <definedName name="_RQ1">#REF!</definedName>
    <definedName name="_RQ2" localSheetId="35">#REF!</definedName>
    <definedName name="_RQ2" localSheetId="36">#REF!</definedName>
    <definedName name="_RQ2" localSheetId="8">#REF!</definedName>
    <definedName name="_RQ2" localSheetId="41">#REF!</definedName>
    <definedName name="_RQ2">#REF!</definedName>
    <definedName name="_RQS1" localSheetId="35">#REF!</definedName>
    <definedName name="_RQS1" localSheetId="36">#REF!</definedName>
    <definedName name="_RQS1" localSheetId="8">#REF!</definedName>
    <definedName name="_RQS1" localSheetId="41">#REF!</definedName>
    <definedName name="_RQS1">#REF!</definedName>
    <definedName name="_RQS2" localSheetId="35">#REF!</definedName>
    <definedName name="_RQS2" localSheetId="36">#REF!</definedName>
    <definedName name="_RQS2" localSheetId="8">#REF!</definedName>
    <definedName name="_RQS2">#REF!</definedName>
    <definedName name="_Sort" localSheetId="35" hidden="1">#REF!</definedName>
    <definedName name="_Sort" localSheetId="36" hidden="1">#REF!</definedName>
    <definedName name="_Sort" localSheetId="8" hidden="1">#REF!</definedName>
    <definedName name="_Sort" hidden="1">#REF!</definedName>
    <definedName name="_TAD4" localSheetId="35">#REF!</definedName>
    <definedName name="_TAD4" localSheetId="36">#REF!</definedName>
    <definedName name="_TAD4" localSheetId="8">#REF!</definedName>
    <definedName name="_TAD4">#REF!</definedName>
    <definedName name="_TAD5" localSheetId="35">#REF!</definedName>
    <definedName name="_TAD5" localSheetId="36">#REF!</definedName>
    <definedName name="_TAD5" localSheetId="8">#REF!</definedName>
    <definedName name="_TAD5">#REF!</definedName>
    <definedName name="_TT1" localSheetId="35">#REF!</definedName>
    <definedName name="_TT1" localSheetId="36">#REF!</definedName>
    <definedName name="_TT1" localSheetId="8">#REF!</definedName>
    <definedName name="_TT1">#REF!</definedName>
    <definedName name="_TT2" localSheetId="35">#REF!</definedName>
    <definedName name="_TT2" localSheetId="36">#REF!</definedName>
    <definedName name="_TT2" localSheetId="8">#REF!</definedName>
    <definedName name="_TT2">#REF!</definedName>
    <definedName name="_TT3" localSheetId="35">#REF!</definedName>
    <definedName name="_TT3" localSheetId="36">#REF!</definedName>
    <definedName name="_TT3" localSheetId="8">#REF!</definedName>
    <definedName name="_TT3">#REF!</definedName>
    <definedName name="A" localSheetId="41">'[1]טורים 98'!$DU$14</definedName>
    <definedName name="A">'[2]טורים 98'!$DU$14</definedName>
    <definedName name="ACC_TABLE" localSheetId="35">#REF!</definedName>
    <definedName name="ACC_TABLE" localSheetId="36">#REF!</definedName>
    <definedName name="ACC_TABLE" localSheetId="8">#REF!</definedName>
    <definedName name="ACC_TABLE">#REF!</definedName>
    <definedName name="ACCOUNTEDPERIODTYPE1">[10]CRITERIA1!$B$5</definedName>
    <definedName name="ACCOUNTEDPERIODTYPE10">[10]CRITERIA10!$B$5</definedName>
    <definedName name="ACCOUNTEDPERIODTYPE11">[10]CRITERIA11!$B$5</definedName>
    <definedName name="ACCOUNTEDPERIODTYPE2">[10]CRITERIA2!$B$5</definedName>
    <definedName name="ACCOUNTEDPERIODTYPE3">[10]CRITERIA3!$B$5</definedName>
    <definedName name="ACCOUNTEDPERIODTYPE4">[10]CRITERIA4!$B$5</definedName>
    <definedName name="ACCOUNTEDPERIODTYPE5">[10]CRITERIA5!$B$5</definedName>
    <definedName name="ACCOUNTEDPERIODTYPE6">[10]CRITERIA6!$B$5</definedName>
    <definedName name="ACCOUNTEDPERIODTYPE7">[10]CRITERIA7!$B$5</definedName>
    <definedName name="ACCOUNTEDPERIODTYPE8">[10]CRITERIA8!$B$5</definedName>
    <definedName name="ACCOUNTEDPERIODTYPE9">[10]CRITERIA9!$B$5</definedName>
    <definedName name="ACMAD" localSheetId="41">'[1]טורים 98'!$FC$1:$GH$150</definedName>
    <definedName name="ACMAD">'[2]טורים 98'!$FC$1:$GH$150</definedName>
    <definedName name="ACT" localSheetId="35">#REF!</definedName>
    <definedName name="ACT" localSheetId="36">#REF!</definedName>
    <definedName name="ACT" localSheetId="8">#REF!</definedName>
    <definedName name="ACT">#REF!</definedName>
    <definedName name="ACT_SH" localSheetId="35">#REF!</definedName>
    <definedName name="ACT_SH" localSheetId="36">#REF!</definedName>
    <definedName name="ACT_SH" localSheetId="8">#REF!</definedName>
    <definedName name="ACT_SH">#REF!</definedName>
    <definedName name="ACTIV" localSheetId="35">#REF!</definedName>
    <definedName name="ACTIV" localSheetId="36">#REF!</definedName>
    <definedName name="ACTIV" localSheetId="8">#REF!</definedName>
    <definedName name="ACTIV">#REF!</definedName>
    <definedName name="AGI" localSheetId="41">'[1]טורים 98'!$GT$191</definedName>
    <definedName name="AGI">'[2]טורים 98'!$GT$191</definedName>
    <definedName name="AGINIS" localSheetId="35">#REF!</definedName>
    <definedName name="AGINIS" localSheetId="36">#REF!</definedName>
    <definedName name="AGINIS" localSheetId="8">#REF!</definedName>
    <definedName name="AGINIS">#REF!</definedName>
    <definedName name="all" localSheetId="35">#REF!</definedName>
    <definedName name="all" localSheetId="36">#REF!</definedName>
    <definedName name="all" localSheetId="8">#REF!</definedName>
    <definedName name="all">#REF!</definedName>
    <definedName name="Annual_training_cost" localSheetId="35">#REF!</definedName>
    <definedName name="Annual_training_cost" localSheetId="36">#REF!</definedName>
    <definedName name="Annual_training_cost" localSheetId="8">#REF!</definedName>
    <definedName name="Annual_training_cost">#REF!</definedName>
    <definedName name="APPSUSERNAME1">[10]CRITERIA1!$B$14</definedName>
    <definedName name="APPSUSERNAME10">[10]CRITERIA10!$B$14</definedName>
    <definedName name="APPSUSERNAME11">[10]CRITERIA11!$B$14</definedName>
    <definedName name="APPSUSERNAME2">[10]CRITERIA2!$B$14</definedName>
    <definedName name="APPSUSERNAME3">[10]CRITERIA3!$B$14</definedName>
    <definedName name="APPSUSERNAME4">[10]CRITERIA4!$B$14</definedName>
    <definedName name="APPSUSERNAME5">[10]CRITERIA5!$B$14</definedName>
    <definedName name="APPSUSERNAME6">[10]CRITERIA6!$B$14</definedName>
    <definedName name="APPSUSERNAME7">[10]CRITERIA7!$B$14</definedName>
    <definedName name="APPSUSERNAME8">[10]CRITERIA8!$B$14</definedName>
    <definedName name="APPSUSERNAME9">[10]CRITERIA9!$B$14</definedName>
    <definedName name="ARPT" localSheetId="35">#REF!</definedName>
    <definedName name="ARPT" localSheetId="36">#REF!</definedName>
    <definedName name="ARPT" localSheetId="8">#REF!</definedName>
    <definedName name="ARPT">#REF!</definedName>
    <definedName name="ASSETS" localSheetId="35">#REF!</definedName>
    <definedName name="ASSETS" localSheetId="36">#REF!</definedName>
    <definedName name="ASSETS" localSheetId="8">#REF!</definedName>
    <definedName name="ASSETS">#REF!</definedName>
    <definedName name="Australia" localSheetId="35">#REF!</definedName>
    <definedName name="Australia" localSheetId="36">#REF!</definedName>
    <definedName name="Australia" localSheetId="8">#REF!</definedName>
    <definedName name="Australia">#REF!</definedName>
    <definedName name="Average_Car_Expenses" localSheetId="35">#REF!</definedName>
    <definedName name="Average_Car_Expenses" localSheetId="36">#REF!</definedName>
    <definedName name="Average_Car_Expenses" localSheetId="8">#REF!</definedName>
    <definedName name="Average_Car_Expenses">#REF!</definedName>
    <definedName name="avgcpi0399" localSheetId="35">#REF!</definedName>
    <definedName name="avgcpi0399" localSheetId="36">#REF!</definedName>
    <definedName name="avgcpi0399" localSheetId="8">#REF!</definedName>
    <definedName name="avgcpi0399">#REF!</definedName>
    <definedName name="avgcpi1297" localSheetId="35">#REF!</definedName>
    <definedName name="avgcpi1297" localSheetId="36">#REF!</definedName>
    <definedName name="avgcpi1297" localSheetId="8">#REF!</definedName>
    <definedName name="avgcpi1297">#REF!</definedName>
    <definedName name="avgcpi1298" localSheetId="35">#REF!</definedName>
    <definedName name="avgcpi1298" localSheetId="36">#REF!</definedName>
    <definedName name="avgcpi1298" localSheetId="8">#REF!</definedName>
    <definedName name="avgcpi1298">#REF!</definedName>
    <definedName name="avgcpi398" localSheetId="35">#REF!</definedName>
    <definedName name="avgcpi398" localSheetId="36">#REF!</definedName>
    <definedName name="avgcpi398" localSheetId="8">#REF!</definedName>
    <definedName name="avgcpi398">#REF!</definedName>
    <definedName name="avgcpi697" localSheetId="35">#REF!</definedName>
    <definedName name="avgcpi697" localSheetId="36">#REF!</definedName>
    <definedName name="avgcpi697" localSheetId="8">#REF!</definedName>
    <definedName name="avgcpi697">#REF!</definedName>
    <definedName name="avgcpi698" localSheetId="35">#REF!</definedName>
    <definedName name="avgcpi698" localSheetId="36">#REF!</definedName>
    <definedName name="avgcpi698" localSheetId="8">#REF!</definedName>
    <definedName name="avgcpi698">#REF!</definedName>
    <definedName name="avgcpi997" localSheetId="35">#REF!</definedName>
    <definedName name="avgcpi997" localSheetId="36">#REF!</definedName>
    <definedName name="avgcpi997" localSheetId="8">#REF!</definedName>
    <definedName name="avgcpi997">#REF!</definedName>
    <definedName name="avgcpi998" localSheetId="35">#REF!</definedName>
    <definedName name="avgcpi998" localSheetId="36">#REF!</definedName>
    <definedName name="avgcpi998" localSheetId="8">#REF!</definedName>
    <definedName name="avgcpi998">#REF!</definedName>
    <definedName name="avgdlr96" localSheetId="35">#REF!</definedName>
    <definedName name="avgdlr96" localSheetId="36">#REF!</definedName>
    <definedName name="avgdlr96" localSheetId="8">#REF!</definedName>
    <definedName name="avgdlr96">#REF!</definedName>
    <definedName name="avgdlr97" localSheetId="35">#REF!</definedName>
    <definedName name="avgdlr97" localSheetId="36">#REF!</definedName>
    <definedName name="avgdlr97" localSheetId="8">#REF!</definedName>
    <definedName name="avgdlr97">#REF!</definedName>
    <definedName name="avgdlrprd">'[11]שע"ח'!$D$18</definedName>
    <definedName name="avgdolar1298" localSheetId="35">#REF!</definedName>
    <definedName name="avgdolar1298" localSheetId="36">#REF!</definedName>
    <definedName name="avgdolar1298" localSheetId="8">#REF!</definedName>
    <definedName name="avgdolar1298">#REF!</definedName>
    <definedName name="B" localSheetId="8">'[4]שמ"מ מ"ה'!#REF!</definedName>
    <definedName name="B" localSheetId="41">'[5]שמ"מ מ"ה'!#REF!</definedName>
    <definedName name="B">'[4]שמ"מ מ"ה'!#REF!</definedName>
    <definedName name="balance_con">'[12]דוח מתכונת הגשה מאוחד'!$A$1:$M$37</definedName>
    <definedName name="balance_sheet" localSheetId="35">#REF!</definedName>
    <definedName name="balance_sheet" localSheetId="36">#REF!</definedName>
    <definedName name="balance_sheet" localSheetId="8">#REF!</definedName>
    <definedName name="balance_sheet">#REF!</definedName>
    <definedName name="balances_12">'[13]general ledger'!$S$3:$S$460</definedName>
    <definedName name="Base_sales" localSheetId="35">#REF!</definedName>
    <definedName name="Base_sales" localSheetId="36">#REF!</definedName>
    <definedName name="Base_sales" localSheetId="8">#REF!</definedName>
    <definedName name="Base_sales">#REF!</definedName>
    <definedName name="BBX" localSheetId="35">#REF!</definedName>
    <definedName name="BBX" localSheetId="36">#REF!</definedName>
    <definedName name="BBX" localSheetId="8">#REF!</definedName>
    <definedName name="BBX">#REF!</definedName>
    <definedName name="BBY" localSheetId="35">#REF!</definedName>
    <definedName name="BBY" localSheetId="36">#REF!</definedName>
    <definedName name="BBY" localSheetId="8">#REF!</definedName>
    <definedName name="BBY">#REF!</definedName>
    <definedName name="BEE" localSheetId="35">#REF!</definedName>
    <definedName name="BEE" localSheetId="36">#REF!</definedName>
    <definedName name="BEE" localSheetId="8">#REF!</definedName>
    <definedName name="BEE">#REF!</definedName>
    <definedName name="big" localSheetId="35">#REF!</definedName>
    <definedName name="big" localSheetId="36">#REF!</definedName>
    <definedName name="big" localSheetId="8">#REF!</definedName>
    <definedName name="big">#REF!</definedName>
    <definedName name="BIKMAS" localSheetId="35">'[4]שמ"מ מ"ה'!#REF!</definedName>
    <definedName name="BIKMAS" localSheetId="36">'[4]שמ"מ מ"ה'!#REF!</definedName>
    <definedName name="BIKMAS" localSheetId="8">'[4]שמ"מ מ"ה'!#REF!</definedName>
    <definedName name="BIKMAS" localSheetId="41">'[5]שמ"מ מ"ה'!#REF!</definedName>
    <definedName name="BIKMAS">'[4]שמ"מ מ"ה'!#REF!</definedName>
    <definedName name="BIKPCHAT" localSheetId="35">'[4]שמ"מ מ"ה'!#REF!</definedName>
    <definedName name="BIKPCHAT" localSheetId="36">'[4]שמ"מ מ"ה'!#REF!</definedName>
    <definedName name="BIKPCHAT" localSheetId="8">'[4]שמ"מ מ"ה'!#REF!</definedName>
    <definedName name="BIKPCHAT" localSheetId="41">'[5]שמ"מ מ"ה'!#REF!</definedName>
    <definedName name="BIKPCHAT">'[4]שמ"מ מ"ה'!#REF!</definedName>
    <definedName name="bin_value">'[14]Pricing Models'!$H$12</definedName>
    <definedName name="Bonus" localSheetId="35">#REF!</definedName>
    <definedName name="Bonus" localSheetId="36">#REF!</definedName>
    <definedName name="Bonus" localSheetId="8">#REF!</definedName>
    <definedName name="Bonus">#REF!</definedName>
    <definedName name="bs_value">'[14]Pricing Models'!$M$12</definedName>
    <definedName name="bv" localSheetId="35">#REF!</definedName>
    <definedName name="bv" localSheetId="36">#REF!</definedName>
    <definedName name="bv" localSheetId="8">#REF!</definedName>
    <definedName name="bv">#REF!</definedName>
    <definedName name="bv_act" localSheetId="35">#REF!</definedName>
    <definedName name="bv_act" localSheetId="36">#REF!</definedName>
    <definedName name="bv_act" localSheetId="8">#REF!</definedName>
    <definedName name="bv_act">#REF!</definedName>
    <definedName name="bv_pas" localSheetId="35">#REF!</definedName>
    <definedName name="bv_pas" localSheetId="36">#REF!</definedName>
    <definedName name="bv_pas" localSheetId="8">#REF!</definedName>
    <definedName name="bv_pas">#REF!</definedName>
    <definedName name="calculations" localSheetId="35">#REF!</definedName>
    <definedName name="calculations" localSheetId="36">#REF!</definedName>
    <definedName name="calculations" localSheetId="8">#REF!</definedName>
    <definedName name="calculations">#REF!</definedName>
    <definedName name="cancel" localSheetId="35">[15]עזר!#REF!</definedName>
    <definedName name="cancel" localSheetId="36">[15]עזר!#REF!</definedName>
    <definedName name="cancel" localSheetId="8">[15]עזר!#REF!</definedName>
    <definedName name="cancel">[15]עזר!#REF!</definedName>
    <definedName name="CANE_ASP" localSheetId="35">#REF!</definedName>
    <definedName name="CANE_ASP" localSheetId="36">#REF!</definedName>
    <definedName name="CANE_ASP" localSheetId="8">#REF!</definedName>
    <definedName name="CANE_ASP">#REF!</definedName>
    <definedName name="capital" localSheetId="35">#REF!</definedName>
    <definedName name="capital" localSheetId="36">#REF!</definedName>
    <definedName name="capital" localSheetId="8">#REF!</definedName>
    <definedName name="capital">#REF!</definedName>
    <definedName name="car_account">'[16]נתונים על הרכבים'!$A:$B</definedName>
    <definedName name="car_kilometers">'[16]קמ"ש סגירה'!$F:$G</definedName>
    <definedName name="cards_selections">'[13]general ledger'!$E$3:$E$460</definedName>
    <definedName name="cash" localSheetId="43" hidden="1">{"'imprdescending'!$A$1:$D$1608"}</definedName>
    <definedName name="cash" localSheetId="7">#REF!</definedName>
    <definedName name="cash" localSheetId="35" hidden="1">{"'imprdescending'!$A$1:$D$1608"}</definedName>
    <definedName name="cash" localSheetId="36" hidden="1">{"'imprdescending'!$A$1:$D$1608"}</definedName>
    <definedName name="cash" hidden="1">{"'imprdescending'!$A$1:$D$1608"}</definedName>
    <definedName name="cashflow" localSheetId="8">'[17]Consolidation '!#REF!</definedName>
    <definedName name="cashflow">'[17]Consolidation '!#REF!</definedName>
    <definedName name="cbt">'[11]c.b.t'!$C$5:$I$69,'[11]c.b.t'!$C$71:$I$121,'[11]c.b.t'!$C$126:$I$162</definedName>
    <definedName name="CHARTOFACCOUNTSID1">[10]CRITERIA1!$B$3</definedName>
    <definedName name="CHARTOFACCOUNTSID10">[10]CRITERIA10!$B$3</definedName>
    <definedName name="CHARTOFACCOUNTSID11">[10]CRITERIA11!$B$3</definedName>
    <definedName name="CHARTOFACCOUNTSID2">[10]CRITERIA2!$B$3</definedName>
    <definedName name="CHARTOFACCOUNTSID3">[10]CRITERIA3!$B$3</definedName>
    <definedName name="CHARTOFACCOUNTSID4">[10]CRITERIA4!$B$3</definedName>
    <definedName name="CHARTOFACCOUNTSID5">[10]CRITERIA5!$B$3</definedName>
    <definedName name="CHARTOFACCOUNTSID6">[10]CRITERIA6!$B$3</definedName>
    <definedName name="CHARTOFACCOUNTSID7">[10]CRITERIA7!$B$3</definedName>
    <definedName name="CHARTOFACCOUNTSID8">[10]CRITERIA8!$B$3</definedName>
    <definedName name="CHARTOFACCOUNTSID9">[10]CRITERIA9!$B$3</definedName>
    <definedName name="code" localSheetId="35">#REF!</definedName>
    <definedName name="code" localSheetId="36">#REF!</definedName>
    <definedName name="code" localSheetId="8">#REF!</definedName>
    <definedName name="code">#REF!</definedName>
    <definedName name="Code." localSheetId="35">#REF!</definedName>
    <definedName name="Code." localSheetId="36">#REF!</definedName>
    <definedName name="Code." localSheetId="8">#REF!</definedName>
    <definedName name="Code.">#REF!</definedName>
    <definedName name="code2" localSheetId="35">'[8]Temp 2'!#REF!</definedName>
    <definedName name="code2" localSheetId="36">'[8]Temp 2'!#REF!</definedName>
    <definedName name="code2" localSheetId="8">'[8]Temp 2'!#REF!</definedName>
    <definedName name="code2">'[8]Temp 2'!#REF!</definedName>
    <definedName name="CoLe" localSheetId="35">[18]Assumptions!#REF!</definedName>
    <definedName name="CoLe" localSheetId="36">[18]Assumptions!#REF!</definedName>
    <definedName name="CoLe" localSheetId="8">[18]Assumptions!#REF!</definedName>
    <definedName name="CoLe">[18]Assumptions!#REF!</definedName>
    <definedName name="Companylist">'[19]File Setup'!$A$5:$B$11</definedName>
    <definedName name="Companyname" localSheetId="43">[20]Cover!$A$13</definedName>
    <definedName name="Companyname" localSheetId="35">#REF!</definedName>
    <definedName name="Companyname" localSheetId="36">#REF!</definedName>
    <definedName name="Companyname" localSheetId="40">[21]Cover!$A$13</definedName>
    <definedName name="Companyname" localSheetId="44">[21]Cover!$A$13</definedName>
    <definedName name="Companyname" localSheetId="41">[20]Cover!$A$13</definedName>
    <definedName name="Companyname" localSheetId="42">[22]Cover!$A$13</definedName>
    <definedName name="Companyname">'Master Data (do not print)'!$B$13</definedName>
    <definedName name="Compare1">[23]Cover!$J$17</definedName>
    <definedName name="CompareDATE">'Master Data (do not print)'!$B$20</definedName>
    <definedName name="con_pas" localSheetId="35">#REF!</definedName>
    <definedName name="con_pas" localSheetId="36">#REF!</definedName>
    <definedName name="con_pas" localSheetId="8">#REF!</definedName>
    <definedName name="con_pas">#REF!</definedName>
    <definedName name="CONDEN" localSheetId="35">#REF!</definedName>
    <definedName name="CONDEN" localSheetId="36">#REF!</definedName>
    <definedName name="CONDEN" localSheetId="8">#REF!</definedName>
    <definedName name="CONDEN">#REF!</definedName>
    <definedName name="CONNECTSTRING1">[10]CRITERIA1!$B$10</definedName>
    <definedName name="CONNECTSTRING10">[10]CRITERIA10!$B$10</definedName>
    <definedName name="CONNECTSTRING11">[10]CRITERIA11!$B$10</definedName>
    <definedName name="CONNECTSTRING2">[10]CRITERIA2!$B$10</definedName>
    <definedName name="CONNECTSTRING3">[10]CRITERIA3!$B$10</definedName>
    <definedName name="CONNECTSTRING4">[10]CRITERIA4!$B$10</definedName>
    <definedName name="CONNECTSTRING5">[10]CRITERIA5!$B$10</definedName>
    <definedName name="CONNECTSTRING6">[10]CRITERIA6!$B$10</definedName>
    <definedName name="CONNECTSTRING7">[10]CRITERIA7!$B$10</definedName>
    <definedName name="CONNECTSTRING8">[10]CRITERIA8!$B$10</definedName>
    <definedName name="CONNECTSTRING9">[10]CRITERIA9!$B$10</definedName>
    <definedName name="cost" localSheetId="35">#REF!</definedName>
    <definedName name="cost" localSheetId="36">#REF!</definedName>
    <definedName name="cost" localSheetId="8">#REF!</definedName>
    <definedName name="cost">#REF!</definedName>
    <definedName name="cov_act" localSheetId="35">#REF!</definedName>
    <definedName name="cov_act" localSheetId="36">#REF!</definedName>
    <definedName name="cov_act" localSheetId="8">#REF!</definedName>
    <definedName name="cov_act">#REF!</definedName>
    <definedName name="CREATESUMMARYJNLS1">[10]CRITERIA1!$B$35</definedName>
    <definedName name="CREATESUMMARYJNLS10">[10]CRITERIA10!$B$35</definedName>
    <definedName name="CREATESUMMARYJNLS11">[10]CRITERIA11!$B$35</definedName>
    <definedName name="CREATESUMMARYJNLS2">[10]CRITERIA2!$B$35</definedName>
    <definedName name="CREATESUMMARYJNLS3">[10]CRITERIA3!$B$35</definedName>
    <definedName name="CREATESUMMARYJNLS4">[10]CRITERIA4!$B$35</definedName>
    <definedName name="CREATESUMMARYJNLS5">[10]CRITERIA5!$B$35</definedName>
    <definedName name="CREATESUMMARYJNLS6">[10]CRITERIA6!$B$35</definedName>
    <definedName name="CREATESUMMARYJNLS7">[10]CRITERIA7!$B$35</definedName>
    <definedName name="CREATESUMMARYJNLS8">[10]CRITERIA8!$B$35</definedName>
    <definedName name="CREATESUMMARYJNLS9">[10]CRITERIA9!$B$35</definedName>
    <definedName name="_xlnm.Criteria" localSheetId="35">#REF!</definedName>
    <definedName name="_xlnm.Criteria" localSheetId="36">#REF!</definedName>
    <definedName name="_xlnm.Criteria" localSheetId="8">#REF!</definedName>
    <definedName name="_xlnm.Criteria">#REF!</definedName>
    <definedName name="Criteria_MI" localSheetId="35">#REF!</definedName>
    <definedName name="Criteria_MI" localSheetId="36">#REF!</definedName>
    <definedName name="Criteria_MI" localSheetId="8">#REF!</definedName>
    <definedName name="Criteria_MI">#REF!</definedName>
    <definedName name="CRITERIACOLUMN1">[10]CRITERIA1!$B$22</definedName>
    <definedName name="CRITERIACOLUMN10">[10]CRITERIA10!$B$22</definedName>
    <definedName name="CRITERIACOLUMN11">[10]CRITERIA11!$B$22</definedName>
    <definedName name="CRITERIACOLUMN2">[10]CRITERIA2!$B$22</definedName>
    <definedName name="CRITERIACOLUMN3">[10]CRITERIA3!$B$22</definedName>
    <definedName name="CRITERIACOLUMN4">[10]CRITERIA4!$B$22</definedName>
    <definedName name="CRITERIACOLUMN5">[10]CRITERIA5!$B$22</definedName>
    <definedName name="CRITERIACOLUMN6">[10]CRITERIA6!$B$22</definedName>
    <definedName name="CRITERIACOLUMN7">[10]CRITERIA7!$B$22</definedName>
    <definedName name="CRITERIACOLUMN8">[10]CRITERIA8!$B$22</definedName>
    <definedName name="CRITERIACOLUMN9">[10]CRITERIA9!$B$22</definedName>
    <definedName name="CURR" localSheetId="8">[24]shar!#REF!</definedName>
    <definedName name="CURR">[24]shar!#REF!</definedName>
    <definedName name="DAC" localSheetId="41">'[1]טורים 98'!$A$1:$AY$145</definedName>
    <definedName name="DAC">'[2]טורים 98'!$A$1:$AY$145</definedName>
    <definedName name="DAT">[25]Cover!$D$19</definedName>
    <definedName name="dat_bv" localSheetId="35">#REF!</definedName>
    <definedName name="dat_bv" localSheetId="36">#REF!</definedName>
    <definedName name="dat_bv" localSheetId="8">#REF!</definedName>
    <definedName name="dat_bv">#REF!</definedName>
    <definedName name="dat_nv" localSheetId="35">#REF!</definedName>
    <definedName name="dat_nv" localSheetId="36">#REF!</definedName>
    <definedName name="dat_nv" localSheetId="8">#REF!</definedName>
    <definedName name="dat_nv">#REF!</definedName>
    <definedName name="_xlnm.Database" localSheetId="35">[26]TRAVEL96!#REF!</definedName>
    <definedName name="_xlnm.Database" localSheetId="36">[26]TRAVEL96!#REF!</definedName>
    <definedName name="_xlnm.Database" localSheetId="8">[26]TRAVEL96!#REF!</definedName>
    <definedName name="_xlnm.Database" localSheetId="41">[27]TRAVEL96!#REF!</definedName>
    <definedName name="_xlnm.Database">[26]TRAVEL96!#REF!</definedName>
    <definedName name="Database_MI" localSheetId="8">[26]TRAVEL96!#REF!</definedName>
    <definedName name="Database_MI" localSheetId="41">[27]TRAVEL96!#REF!</definedName>
    <definedName name="Database_MI">[26]TRAVEL96!#REF!</definedName>
    <definedName name="DATE" localSheetId="43">#REF!</definedName>
    <definedName name="DATE" localSheetId="35">#REF!</definedName>
    <definedName name="DATE" localSheetId="36">#REF!</definedName>
    <definedName name="DATE" localSheetId="40">[21]Cover!$D$19</definedName>
    <definedName name="DATE" localSheetId="44">[21]Cover!$D$19</definedName>
    <definedName name="DATE" localSheetId="41">#REF!</definedName>
    <definedName name="DATE" localSheetId="42">[22]Cover!$D$19</definedName>
    <definedName name="DATE">'Master Data (do not print)'!$B$19</definedName>
    <definedName name="datee" localSheetId="35">#REF!</definedName>
    <definedName name="datee" localSheetId="36">#REF!</definedName>
    <definedName name="datee" localSheetId="8">#REF!</definedName>
    <definedName name="datee">#REF!</definedName>
    <definedName name="DBNAME1">[10]CRITERIA1!$B$11</definedName>
    <definedName name="DBNAME10">[10]CRITERIA10!$B$11</definedName>
    <definedName name="DBNAME11">[10]CRITERIA11!$B$11</definedName>
    <definedName name="DBNAME2">[10]CRITERIA2!$B$11</definedName>
    <definedName name="DBNAME3">[10]CRITERIA3!$B$11</definedName>
    <definedName name="DBNAME4">[10]CRITERIA4!$B$11</definedName>
    <definedName name="DBNAME5">[10]CRITERIA5!$B$11</definedName>
    <definedName name="DBNAME6">[10]CRITERIA6!$B$11</definedName>
    <definedName name="DBNAME7">[10]CRITERIA7!$B$11</definedName>
    <definedName name="DBNAME8">[10]CRITERIA8!$B$11</definedName>
    <definedName name="DBNAME9">[10]CRITERIA9!$B$11</definedName>
    <definedName name="DBUSERNAME1">[10]CRITERIA1!$B$9</definedName>
    <definedName name="DBUSERNAME10">[10]CRITERIA10!$B$9</definedName>
    <definedName name="DBUSERNAME11">[10]CRITERIA11!$B$9</definedName>
    <definedName name="DBUSERNAME2">[10]CRITERIA2!$B$9</definedName>
    <definedName name="DBUSERNAME3">[10]CRITERIA3!$B$9</definedName>
    <definedName name="DBUSERNAME4">[10]CRITERIA4!$B$9</definedName>
    <definedName name="DBUSERNAME5">[10]CRITERIA5!$B$9</definedName>
    <definedName name="DBUSERNAME6">[10]CRITERIA6!$B$9</definedName>
    <definedName name="DBUSERNAME7">[10]CRITERIA7!$B$9</definedName>
    <definedName name="DBUSERNAME8">[10]CRITERIA8!$B$9</definedName>
    <definedName name="DBUSERNAME9">[10]CRITERIA9!$B$9</definedName>
    <definedName name="DELETELOGICTYPE1">[10]CRITERIA1!$B$19</definedName>
    <definedName name="DELETELOGICTYPE10">[10]CRITERIA10!$B$19</definedName>
    <definedName name="DELETELOGICTYPE11">[10]CRITERIA11!$B$19</definedName>
    <definedName name="DELETELOGICTYPE2">[10]CRITERIA2!$B$19</definedName>
    <definedName name="DELETELOGICTYPE3">[10]CRITERIA3!$B$19</definedName>
    <definedName name="DELETELOGICTYPE4">[10]CRITERIA4!$B$19</definedName>
    <definedName name="DELETELOGICTYPE5">[10]CRITERIA5!$B$19</definedName>
    <definedName name="DELETELOGICTYPE6">[10]CRITERIA6!$B$19</definedName>
    <definedName name="DELETELOGICTYPE7">[10]CRITERIA7!$B$19</definedName>
    <definedName name="DELETELOGICTYPE8">[10]CRITERIA8!$B$19</definedName>
    <definedName name="DELETELOGICTYPE9">[10]CRITERIA9!$B$19</definedName>
    <definedName name="DEP" localSheetId="35">#REF!</definedName>
    <definedName name="DEP" localSheetId="36">#REF!</definedName>
    <definedName name="DEP" localSheetId="8">#REF!</definedName>
    <definedName name="DEP">#REF!</definedName>
    <definedName name="deposit_interest">'[28]פקדונות וניירות ערך'!$L$12</definedName>
    <definedName name="Discount" localSheetId="35">#REF!</definedName>
    <definedName name="Discount" localSheetId="36">#REF!</definedName>
    <definedName name="Discount" localSheetId="8">#REF!</definedName>
    <definedName name="Discount">#REF!</definedName>
    <definedName name="Discount2" localSheetId="35">#REF!</definedName>
    <definedName name="Discount2" localSheetId="36">#REF!</definedName>
    <definedName name="Discount2" localSheetId="8">#REF!</definedName>
    <definedName name="Discount2">#REF!</definedName>
    <definedName name="display" localSheetId="13">[29]!display</definedName>
    <definedName name="display" localSheetId="14">[29]!display</definedName>
    <definedName name="display" localSheetId="8">[29]!display</definedName>
    <definedName name="display">[29]!display</definedName>
    <definedName name="div" localSheetId="35">#REF!</definedName>
    <definedName name="div" localSheetId="36">#REF!</definedName>
    <definedName name="div" localSheetId="8">#REF!</definedName>
    <definedName name="div">#REF!</definedName>
    <definedName name="DO" localSheetId="41">'[1]טורים 98'!$CL$50</definedName>
    <definedName name="DO">'[2]טורים 98'!$CL$50</definedName>
    <definedName name="dolar3.98" localSheetId="8">[30]הרכבה!#REF!</definedName>
    <definedName name="dolar3.98">[30]הרכבה!#REF!</definedName>
    <definedName name="dolaravg" localSheetId="35">#REF!</definedName>
    <definedName name="dolaravg" localSheetId="36">#REF!</definedName>
    <definedName name="dolaravg" localSheetId="8">#REF!</definedName>
    <definedName name="dolaravg">#REF!</definedName>
    <definedName name="dolaravg0399" localSheetId="35">#REF!</definedName>
    <definedName name="dolaravg0399" localSheetId="36">#REF!</definedName>
    <definedName name="dolaravg0399" localSheetId="8">#REF!</definedName>
    <definedName name="dolaravg0399">#REF!</definedName>
    <definedName name="dolaravg998" localSheetId="35">#REF!</definedName>
    <definedName name="dolaravg998" localSheetId="36">#REF!</definedName>
    <definedName name="dolaravg998" localSheetId="8">#REF!</definedName>
    <definedName name="dolaravg998">#REF!</definedName>
    <definedName name="dolarend">[31]מדדים!$E$29</definedName>
    <definedName name="dolarend0399" localSheetId="35">#REF!</definedName>
    <definedName name="dolarend0399" localSheetId="36">#REF!</definedName>
    <definedName name="dolarend0399" localSheetId="8">#REF!</definedName>
    <definedName name="dolarend0399">#REF!</definedName>
    <definedName name="dolarend0998" localSheetId="35">#REF!</definedName>
    <definedName name="dolarend0998" localSheetId="36">#REF!</definedName>
    <definedName name="dolarend0998" localSheetId="8">#REF!</definedName>
    <definedName name="dolarend0998">#REF!</definedName>
    <definedName name="dolarend1298" localSheetId="35">#REF!</definedName>
    <definedName name="dolarend1298" localSheetId="36">#REF!</definedName>
    <definedName name="dolarend1298" localSheetId="8">#REF!</definedName>
    <definedName name="dolarend1298">#REF!</definedName>
    <definedName name="DOLLAR" localSheetId="35">#REF!</definedName>
    <definedName name="DOLLAR" localSheetId="36">#REF!</definedName>
    <definedName name="DOLLAR" localSheetId="8">#REF!</definedName>
    <definedName name="DOLLAR">#REF!</definedName>
    <definedName name="Dollar95">'[32]Income Statement'!$C$25</definedName>
    <definedName name="dollar96">'[32]Income Statement'!$G$25</definedName>
    <definedName name="dollarend900">[33]מדדים!$C$41</definedName>
    <definedName name="DPR" localSheetId="41">'[1]טורים 98'!$A$250:$AX$336</definedName>
    <definedName name="DPR">'[2]טורים 98'!$A$250:$AX$336</definedName>
    <definedName name="DPS" localSheetId="41">'[1]טורים 98'!$A$154:$AX$249</definedName>
    <definedName name="DPS">'[2]טורים 98'!$A$154:$AX$249</definedName>
    <definedName name="Dream" localSheetId="35">#REF!</definedName>
    <definedName name="Dream" localSheetId="36">#REF!</definedName>
    <definedName name="Dream" localSheetId="8">#REF!</definedName>
    <definedName name="Dream">#REF!</definedName>
    <definedName name="DRM" localSheetId="41">'[1]טורים 98'!$GT$89</definedName>
    <definedName name="DRM">'[2]טורים 98'!$GT$89</definedName>
    <definedName name="DT" localSheetId="35">#REF!</definedName>
    <definedName name="DT" localSheetId="36">#REF!</definedName>
    <definedName name="DT" localSheetId="8">#REF!</definedName>
    <definedName name="DT">#REF!</definedName>
    <definedName name="DTMDA" localSheetId="35">#REF!</definedName>
    <definedName name="DTMDA" localSheetId="36">#REF!</definedName>
    <definedName name="DTMDA" localSheetId="8">#REF!</definedName>
    <definedName name="DTMDA">#REF!</definedName>
    <definedName name="EDOM" localSheetId="41">'[1]טורים 98'!$GT$166</definedName>
    <definedName name="EDOM">'[2]טורים 98'!$GT$166</definedName>
    <definedName name="EH" localSheetId="43">{"סעיף",0,"Auto","Auto",""}</definedName>
    <definedName name="EH" localSheetId="35">{"סעיף",0,"Auto","Auto",""}</definedName>
    <definedName name="EH" localSheetId="36">{"סעיף",0,"Auto","Auto",""}</definedName>
    <definedName name="EH">{"סעיף",0,"Auto","Auto",""}</definedName>
    <definedName name="email_gkm" localSheetId="8">#REF!</definedName>
    <definedName name="email_gkm">#REF!</definedName>
    <definedName name="Embeded_Player___Player_licence___CMG" localSheetId="8">'[18]Revenue detailed Projection'!#REF!</definedName>
    <definedName name="Embeded_Player___Player_licence___CMG">'[18]Revenue detailed Projection'!#REF!</definedName>
    <definedName name="Embeded_Player___Player_licence___Ericsson___global" localSheetId="8">'[18]Revenue detailed Projection'!#REF!</definedName>
    <definedName name="Embeded_Player___Player_licence___Ericsson___global">'[18]Revenue detailed Projection'!#REF!</definedName>
    <definedName name="Embeded_Player___Player_licence___Ericsson_Italy" localSheetId="8">'[18]Revenue detailed Projection'!#REF!</definedName>
    <definedName name="Embeded_Player___Player_licence___Ericsson_Italy">'[18]Revenue detailed Projection'!#REF!</definedName>
    <definedName name="Embeded_Player___Player_licence___Ericsson_Spain" localSheetId="8">'[18]Revenue detailed Projection'!#REF!</definedName>
    <definedName name="Embeded_Player___Player_licence___Ericsson_Spain">'[18]Revenue detailed Projection'!#REF!</definedName>
    <definedName name="Embeded_Player___Player_licence___Excem_France" localSheetId="8">'[18]Revenue detailed Projection'!#REF!</definedName>
    <definedName name="Embeded_Player___Player_licence___Excem_France">'[18]Revenue detailed Projection'!#REF!</definedName>
    <definedName name="Embeded_Player___Player_licence___Excem_Spain" localSheetId="8">'[18]Revenue detailed Projection'!#REF!</definedName>
    <definedName name="Embeded_Player___Player_licence___Excem_Spain">'[18]Revenue detailed Projection'!#REF!</definedName>
    <definedName name="Embeded_Player___Player_licence___Mitsui__BSI" localSheetId="8">'[18]Revenue detailed Projection'!#REF!</definedName>
    <definedName name="Embeded_Player___Player_licence___Mitsui__BSI">'[18]Revenue detailed Projection'!#REF!</definedName>
    <definedName name="Embeded_Player___Player_licence___Other_1" localSheetId="8">'[18]Revenue detailed Projection'!#REF!</definedName>
    <definedName name="Embeded_Player___Player_licence___Other_1">'[18]Revenue detailed Projection'!#REF!</definedName>
    <definedName name="Embeded_Player___Player_licence___Other_2" localSheetId="8">'[18]Revenue detailed Projection'!#REF!</definedName>
    <definedName name="Embeded_Player___Player_licence___Other_2">'[18]Revenue detailed Projection'!#REF!</definedName>
    <definedName name="Embeded_Player___Player_licence___Other_3" localSheetId="8">'[18]Revenue detailed Projection'!#REF!</definedName>
    <definedName name="Embeded_Player___Player_licence___Other_3">'[18]Revenue detailed Projection'!#REF!</definedName>
    <definedName name="Embeded_Player___Player_licence___SchlumbergerSema" localSheetId="8">'[18]Revenue detailed Projection'!#REF!</definedName>
    <definedName name="Embeded_Player___Player_licence___SchlumbergerSema">'[18]Revenue detailed Projection'!#REF!</definedName>
    <definedName name="Embeded_Player___Player_licence___Sony__NSBCE" localSheetId="8">'[18]Revenue detailed Projection'!#REF!</definedName>
    <definedName name="Embeded_Player___Player_licence___Sony__NSBCE">'[18]Revenue detailed Projection'!#REF!</definedName>
    <definedName name="Embeded_Player___Player_licence___Technomen" localSheetId="8">'[18]Revenue detailed Projection'!#REF!</definedName>
    <definedName name="Embeded_Player___Player_licence___Technomen">'[18]Revenue detailed Projection'!#REF!</definedName>
    <definedName name="Embeded_Player___Player_licence___Unisys" localSheetId="8">'[18]Revenue detailed Projection'!#REF!</definedName>
    <definedName name="Embeded_Player___Player_licence___Unisys">'[18]Revenue detailed Projection'!#REF!</definedName>
    <definedName name="Embeded_Player___set_up___CMG" localSheetId="8">'[18]Revenue detailed Projection'!#REF!</definedName>
    <definedName name="Embeded_Player___set_up___CMG">'[18]Revenue detailed Projection'!#REF!</definedName>
    <definedName name="Embeded_Player___set_up___Ericsson___global" localSheetId="8">'[18]Revenue detailed Projection'!#REF!</definedName>
    <definedName name="Embeded_Player___set_up___Ericsson___global">'[18]Revenue detailed Projection'!#REF!</definedName>
    <definedName name="Embeded_Player___set_up___Ericsson_Italy" localSheetId="8">'[18]Revenue detailed Projection'!#REF!</definedName>
    <definedName name="Embeded_Player___set_up___Ericsson_Italy">'[18]Revenue detailed Projection'!#REF!</definedName>
    <definedName name="Embeded_Player___set_up___Ericsson_Spain" localSheetId="8">'[18]Revenue detailed Projection'!#REF!</definedName>
    <definedName name="Embeded_Player___set_up___Ericsson_Spain">'[18]Revenue detailed Projection'!#REF!</definedName>
    <definedName name="Embeded_Player___set_up___Excem_France" localSheetId="8">'[18]Revenue detailed Projection'!#REF!</definedName>
    <definedName name="Embeded_Player___set_up___Excem_France">'[18]Revenue detailed Projection'!#REF!</definedName>
    <definedName name="Embeded_Player___set_up___Excem_Spain" localSheetId="8">'[18]Revenue detailed Projection'!#REF!</definedName>
    <definedName name="Embeded_Player___set_up___Excem_Spain">'[18]Revenue detailed Projection'!#REF!</definedName>
    <definedName name="Embeded_Player___set_up___Mitsui__BSI" localSheetId="8">'[18]Revenue detailed Projection'!#REF!</definedName>
    <definedName name="Embeded_Player___set_up___Mitsui__BSI">'[18]Revenue detailed Projection'!#REF!</definedName>
    <definedName name="Embeded_Player___set_up___Other_1" localSheetId="8">'[18]Revenue detailed Projection'!#REF!</definedName>
    <definedName name="Embeded_Player___set_up___Other_1">'[18]Revenue detailed Projection'!#REF!</definedName>
    <definedName name="Embeded_Player___set_up___Other_2" localSheetId="8">'[18]Revenue detailed Projection'!#REF!</definedName>
    <definedName name="Embeded_Player___set_up___Other_2">'[18]Revenue detailed Projection'!#REF!</definedName>
    <definedName name="Embeded_Player___set_up___Other_3" localSheetId="8">'[18]Revenue detailed Projection'!#REF!</definedName>
    <definedName name="Embeded_Player___set_up___Other_3">'[18]Revenue detailed Projection'!#REF!</definedName>
    <definedName name="Embeded_Player___set_up___SchlumbergerSema" localSheetId="8">'[18]Revenue detailed Projection'!#REF!</definedName>
    <definedName name="Embeded_Player___set_up___SchlumbergerSema">'[18]Revenue detailed Projection'!#REF!</definedName>
    <definedName name="Embeded_Player___set_up___Sony__NSBCE" localSheetId="8">'[18]Revenue detailed Projection'!#REF!</definedName>
    <definedName name="Embeded_Player___set_up___Sony__NSBCE">'[18]Revenue detailed Projection'!#REF!</definedName>
    <definedName name="Embeded_Player___set_up___Technomen" localSheetId="8">'[18]Revenue detailed Projection'!#REF!</definedName>
    <definedName name="Embeded_Player___set_up___Technomen">'[18]Revenue detailed Projection'!#REF!</definedName>
    <definedName name="Embeded_Player___set_up___Unisys" localSheetId="8">'[18]Revenue detailed Projection'!#REF!</definedName>
    <definedName name="Embeded_Player___set_up___Unisys">'[18]Revenue detailed Projection'!#REF!</definedName>
    <definedName name="endofdoh" localSheetId="7">#REF!</definedName>
    <definedName name="endofdoh" localSheetId="35">#REF!</definedName>
    <definedName name="endofdoh" localSheetId="36">#REF!</definedName>
    <definedName name="endofdoh" localSheetId="8">#REF!</definedName>
    <definedName name="endofdoh">#REF!</definedName>
    <definedName name="Entry_Level_ASP" localSheetId="35">#REF!</definedName>
    <definedName name="Entry_Level_ASP" localSheetId="36">#REF!</definedName>
    <definedName name="Entry_Level_ASP" localSheetId="8">#REF!</definedName>
    <definedName name="Entry_Level_ASP">#REF!</definedName>
    <definedName name="Entry_Level_Monthly_Sales_Division" localSheetId="35">#REF!</definedName>
    <definedName name="Entry_Level_Monthly_Sales_Division" localSheetId="36">#REF!</definedName>
    <definedName name="Entry_Level_Monthly_Sales_Division" localSheetId="8">#REF!</definedName>
    <definedName name="Entry_Level_Monthly_Sales_Division">#REF!</definedName>
    <definedName name="Entry_Level_Subs.Monthly_Sales_Division" localSheetId="35">#REF!</definedName>
    <definedName name="Entry_Level_Subs.Monthly_Sales_Division" localSheetId="36">#REF!</definedName>
    <definedName name="Entry_Level_Subs.Monthly_Sales_Division" localSheetId="8">#REF!</definedName>
    <definedName name="Entry_Level_Subs.Monthly_Sales_Division">#REF!</definedName>
    <definedName name="Entry_Level_Subscription_ASP" localSheetId="35">#REF!</definedName>
    <definedName name="Entry_Level_Subscription_ASP" localSheetId="36">#REF!</definedName>
    <definedName name="Entry_Level_Subscription_ASP" localSheetId="8">#REF!</definedName>
    <definedName name="Entry_Level_Subscription_ASP">#REF!</definedName>
    <definedName name="exch96">'[34]תזרים מזומנים'!$L$4</definedName>
    <definedName name="_xlnm.Extract" localSheetId="8">[26]TRAVEL96!#REF!</definedName>
    <definedName name="_xlnm.Extract" localSheetId="41">[27]TRAVEL96!#REF!</definedName>
    <definedName name="_xlnm.Extract">[26]TRAVEL96!#REF!</definedName>
    <definedName name="Extract_MI" localSheetId="8">[26]TRAVEL96!#REF!</definedName>
    <definedName name="Extract_MI" localSheetId="41">[27]TRAVEL96!#REF!</definedName>
    <definedName name="Extract_MI">[26]TRAVEL96!#REF!</definedName>
    <definedName name="Far_East_ASP" localSheetId="35">#REF!</definedName>
    <definedName name="Far_East_ASP" localSheetId="36">#REF!</definedName>
    <definedName name="Far_East_ASP" localSheetId="8">#REF!</definedName>
    <definedName name="Far_East_ASP">#REF!</definedName>
    <definedName name="Far_East_Monthly_Sales_Division" localSheetId="35">#REF!</definedName>
    <definedName name="Far_East_Monthly_Sales_Division" localSheetId="36">#REF!</definedName>
    <definedName name="Far_East_Monthly_Sales_Division" localSheetId="8">#REF!</definedName>
    <definedName name="Far_East_Monthly_Sales_Division">#REF!</definedName>
    <definedName name="fas_123" localSheetId="35">#REF!</definedName>
    <definedName name="fas_123" localSheetId="36">#REF!</definedName>
    <definedName name="fas_123" localSheetId="8">#REF!</definedName>
    <definedName name="fas_123">#REF!</definedName>
    <definedName name="FFAPPCOLNAME1_1">[10]CRITERIA1!$F$1</definedName>
    <definedName name="FFAPPCOLNAME1_10">[10]CRITERIA10!$F$1</definedName>
    <definedName name="FFAPPCOLNAME1_11">[10]CRITERIA11!$F$1</definedName>
    <definedName name="FFAPPCOLNAME1_2">[10]CRITERIA2!$F$1</definedName>
    <definedName name="FFAPPCOLNAME1_3">[10]CRITERIA3!$F$1</definedName>
    <definedName name="FFAPPCOLNAME1_4">[10]CRITERIA4!$F$1</definedName>
    <definedName name="FFAPPCOLNAME1_5">[10]CRITERIA5!$F$1</definedName>
    <definedName name="FFAPPCOLNAME1_6">[10]CRITERIA6!$F$1</definedName>
    <definedName name="FFAPPCOLNAME1_7">[10]CRITERIA7!$F$1</definedName>
    <definedName name="FFAPPCOLNAME1_8">[10]CRITERIA8!$F$1</definedName>
    <definedName name="FFAPPCOLNAME1_9">[10]CRITERIA9!$F$1</definedName>
    <definedName name="FFAPPCOLNAME2_1">[10]CRITERIA1!$F$2</definedName>
    <definedName name="FFAPPCOLNAME2_10">[10]CRITERIA10!$F$2</definedName>
    <definedName name="FFAPPCOLNAME2_11">[10]CRITERIA11!$F$2</definedName>
    <definedName name="FFAPPCOLNAME2_2">[10]CRITERIA2!$F$2</definedName>
    <definedName name="FFAPPCOLNAME2_3">[10]CRITERIA3!$F$2</definedName>
    <definedName name="FFAPPCOLNAME2_4">[10]CRITERIA4!$F$2</definedName>
    <definedName name="FFAPPCOLNAME2_5">[10]CRITERIA5!$F$2</definedName>
    <definedName name="FFAPPCOLNAME2_6">[10]CRITERIA6!$F$2</definedName>
    <definedName name="FFAPPCOLNAME2_7">[10]CRITERIA7!$F$2</definedName>
    <definedName name="FFAPPCOLNAME2_8">[10]CRITERIA8!$F$2</definedName>
    <definedName name="FFAPPCOLNAME2_9">[10]CRITERIA9!$F$2</definedName>
    <definedName name="FFAPPCOLNAME3_1">[10]CRITERIA1!$F$3</definedName>
    <definedName name="FFAPPCOLNAME3_10">[10]CRITERIA10!$F$3</definedName>
    <definedName name="FFAPPCOLNAME3_11">[10]CRITERIA11!$F$3</definedName>
    <definedName name="FFAPPCOLNAME3_2">[10]CRITERIA2!$F$3</definedName>
    <definedName name="FFAPPCOLNAME3_3">[10]CRITERIA3!$F$3</definedName>
    <definedName name="FFAPPCOLNAME3_4">[10]CRITERIA4!$F$3</definedName>
    <definedName name="FFAPPCOLNAME3_5">[10]CRITERIA5!$F$3</definedName>
    <definedName name="FFAPPCOLNAME3_6">[10]CRITERIA6!$F$3</definedName>
    <definedName name="FFAPPCOLNAME3_7">[10]CRITERIA7!$F$3</definedName>
    <definedName name="FFAPPCOLNAME3_8">[10]CRITERIA8!$F$3</definedName>
    <definedName name="FFAPPCOLNAME3_9">[10]CRITERIA9!$F$3</definedName>
    <definedName name="FFAPPCOLNAME4_1">[10]CRITERIA1!$F$4</definedName>
    <definedName name="FFAPPCOLNAME4_10">[10]CRITERIA10!$F$4</definedName>
    <definedName name="FFAPPCOLNAME4_11">[10]CRITERIA11!$F$4</definedName>
    <definedName name="FFAPPCOLNAME4_2">[10]CRITERIA2!$F$4</definedName>
    <definedName name="FFAPPCOLNAME4_3">[10]CRITERIA3!$F$4</definedName>
    <definedName name="FFAPPCOLNAME4_4">[10]CRITERIA4!$F$4</definedName>
    <definedName name="FFAPPCOLNAME4_5">[10]CRITERIA5!$F$4</definedName>
    <definedName name="FFAPPCOLNAME4_6">[10]CRITERIA6!$F$4</definedName>
    <definedName name="FFAPPCOLNAME4_7">[10]CRITERIA7!$F$4</definedName>
    <definedName name="FFAPPCOLNAME4_8">[10]CRITERIA8!$F$4</definedName>
    <definedName name="FFAPPCOLNAME4_9">[10]CRITERIA9!$F$4</definedName>
    <definedName name="FFAPPCOLNAME5_1">[10]CRITERIA1!$F$5</definedName>
    <definedName name="FFAPPCOLNAME5_10">[10]CRITERIA10!$F$5</definedName>
    <definedName name="FFAPPCOLNAME5_11">[10]CRITERIA11!$F$5</definedName>
    <definedName name="FFAPPCOLNAME5_2">[10]CRITERIA2!$F$5</definedName>
    <definedName name="FFAPPCOLNAME5_3">[10]CRITERIA3!$F$5</definedName>
    <definedName name="FFAPPCOLNAME5_4">[10]CRITERIA4!$F$5</definedName>
    <definedName name="FFAPPCOLNAME5_5">[10]CRITERIA5!$F$5</definedName>
    <definedName name="FFAPPCOLNAME5_6">[10]CRITERIA6!$F$5</definedName>
    <definedName name="FFAPPCOLNAME5_7">[10]CRITERIA7!$F$5</definedName>
    <definedName name="FFAPPCOLNAME5_8">[10]CRITERIA8!$F$5</definedName>
    <definedName name="FFAPPCOLNAME5_9">[10]CRITERIA9!$F$5</definedName>
    <definedName name="FFAPPCOLNAME6_1">[10]CRITERIA1!$F$6</definedName>
    <definedName name="FFAPPCOLNAME6_10">[10]CRITERIA10!$F$6</definedName>
    <definedName name="FFAPPCOLNAME6_11">[10]CRITERIA11!$F$6</definedName>
    <definedName name="FFAPPCOLNAME6_2">[10]CRITERIA2!$F$6</definedName>
    <definedName name="FFAPPCOLNAME6_3">[10]CRITERIA3!$F$6</definedName>
    <definedName name="FFAPPCOLNAME6_4">[10]CRITERIA4!$F$6</definedName>
    <definedName name="FFAPPCOLNAME6_5">[10]CRITERIA5!$F$6</definedName>
    <definedName name="FFAPPCOLNAME6_6">[10]CRITERIA6!$F$6</definedName>
    <definedName name="FFAPPCOLNAME6_7">[10]CRITERIA7!$F$6</definedName>
    <definedName name="FFAPPCOLNAME6_8">[10]CRITERIA8!$F$6</definedName>
    <definedName name="FFAPPCOLNAME6_9">[10]CRITERIA9!$F$6</definedName>
    <definedName name="FFAPPCOLNAME7_1">[10]CRITERIA1!$F$7</definedName>
    <definedName name="FFAPPCOLNAME7_10">[10]CRITERIA10!$F$7</definedName>
    <definedName name="FFAPPCOLNAME7_11">[10]CRITERIA11!$F$7</definedName>
    <definedName name="FFAPPCOLNAME7_2">[10]CRITERIA2!$F$7</definedName>
    <definedName name="FFAPPCOLNAME7_3">[10]CRITERIA3!$F$7</definedName>
    <definedName name="FFAPPCOLNAME7_4">[10]CRITERIA4!$F$7</definedName>
    <definedName name="FFAPPCOLNAME7_5">[10]CRITERIA5!$F$7</definedName>
    <definedName name="FFAPPCOLNAME7_6">[10]CRITERIA6!$F$7</definedName>
    <definedName name="FFAPPCOLNAME7_7">[10]CRITERIA7!$F$7</definedName>
    <definedName name="FFAPPCOLNAME7_8">[10]CRITERIA8!$F$7</definedName>
    <definedName name="FFAPPCOLNAME7_9">[10]CRITERIA9!$F$7</definedName>
    <definedName name="FFSEGMENT1_1">[10]CRITERIA1!$D$1</definedName>
    <definedName name="FFSEGMENT1_10">[10]CRITERIA10!$D$1</definedName>
    <definedName name="FFSEGMENT1_11">[10]CRITERIA11!$D$1</definedName>
    <definedName name="FFSEGMENT1_2">[10]CRITERIA2!$D$1</definedName>
    <definedName name="FFSEGMENT1_3">[10]CRITERIA3!$D$1</definedName>
    <definedName name="FFSEGMENT1_4">[10]CRITERIA4!$D$1</definedName>
    <definedName name="FFSEGMENT1_5">[10]CRITERIA5!$D$1</definedName>
    <definedName name="FFSEGMENT1_6">[10]CRITERIA6!$D$1</definedName>
    <definedName name="FFSEGMENT1_7">[10]CRITERIA7!$D$1</definedName>
    <definedName name="FFSEGMENT1_8">[10]CRITERIA8!$D$1</definedName>
    <definedName name="FFSEGMENT1_9">[10]CRITERIA9!$D$1</definedName>
    <definedName name="FFSEGMENT2_1">[10]CRITERIA1!$D$2</definedName>
    <definedName name="FFSEGMENT2_10">[10]CRITERIA10!$D$2</definedName>
    <definedName name="FFSEGMENT2_11">[10]CRITERIA11!$D$2</definedName>
    <definedName name="FFSEGMENT2_2">[10]CRITERIA2!$D$2</definedName>
    <definedName name="FFSEGMENT2_3">[10]CRITERIA3!$D$2</definedName>
    <definedName name="FFSEGMENT2_4">[10]CRITERIA4!$D$2</definedName>
    <definedName name="FFSEGMENT2_5">[10]CRITERIA5!$D$2</definedName>
    <definedName name="FFSEGMENT2_6">[10]CRITERIA6!$D$2</definedName>
    <definedName name="FFSEGMENT2_7">[10]CRITERIA7!$D$2</definedName>
    <definedName name="FFSEGMENT2_8">[10]CRITERIA8!$D$2</definedName>
    <definedName name="FFSEGMENT2_9">[10]CRITERIA9!$D$2</definedName>
    <definedName name="FFSEGMENT3_1">[10]CRITERIA1!$D$3</definedName>
    <definedName name="FFSEGMENT3_10">[10]CRITERIA10!$D$3</definedName>
    <definedName name="FFSEGMENT3_11">[10]CRITERIA11!$D$3</definedName>
    <definedName name="FFSEGMENT3_2">[10]CRITERIA2!$D$3</definedName>
    <definedName name="FFSEGMENT3_3">[10]CRITERIA3!$D$3</definedName>
    <definedName name="FFSEGMENT3_4">[10]CRITERIA4!$D$3</definedName>
    <definedName name="FFSEGMENT3_5">[10]CRITERIA5!$D$3</definedName>
    <definedName name="FFSEGMENT3_6">[10]CRITERIA6!$D$3</definedName>
    <definedName name="FFSEGMENT3_7">[10]CRITERIA7!$D$3</definedName>
    <definedName name="FFSEGMENT3_8">[10]CRITERIA8!$D$3</definedName>
    <definedName name="FFSEGMENT3_9">[10]CRITERIA9!$D$3</definedName>
    <definedName name="FFSEGMENT4_1">[10]CRITERIA1!$D$4</definedName>
    <definedName name="FFSEGMENT4_10">[10]CRITERIA10!$D$4</definedName>
    <definedName name="FFSEGMENT4_11">[10]CRITERIA11!$D$4</definedName>
    <definedName name="FFSEGMENT4_2">[10]CRITERIA2!$D$4</definedName>
    <definedName name="FFSEGMENT4_3">[10]CRITERIA3!$D$4</definedName>
    <definedName name="FFSEGMENT4_4">[10]CRITERIA4!$D$4</definedName>
    <definedName name="FFSEGMENT4_5">[10]CRITERIA5!$D$4</definedName>
    <definedName name="FFSEGMENT4_6">[10]CRITERIA6!$D$4</definedName>
    <definedName name="FFSEGMENT4_7">[10]CRITERIA7!$D$4</definedName>
    <definedName name="FFSEGMENT4_8">[10]CRITERIA8!$D$4</definedName>
    <definedName name="FFSEGMENT4_9">[10]CRITERIA9!$D$4</definedName>
    <definedName name="FFSEGMENT5_1">[10]CRITERIA1!$D$5</definedName>
    <definedName name="FFSEGMENT5_10">[10]CRITERIA10!$D$5</definedName>
    <definedName name="FFSEGMENT5_11">[10]CRITERIA11!$D$5</definedName>
    <definedName name="FFSEGMENT5_2">[10]CRITERIA2!$D$5</definedName>
    <definedName name="FFSEGMENT5_3">[10]CRITERIA3!$D$5</definedName>
    <definedName name="FFSEGMENT5_4">[10]CRITERIA4!$D$5</definedName>
    <definedName name="FFSEGMENT5_5">[10]CRITERIA5!$D$5</definedName>
    <definedName name="FFSEGMENT5_6">[10]CRITERIA6!$D$5</definedName>
    <definedName name="FFSEGMENT5_7">[10]CRITERIA7!$D$5</definedName>
    <definedName name="FFSEGMENT5_8">[10]CRITERIA8!$D$5</definedName>
    <definedName name="FFSEGMENT5_9">[10]CRITERIA9!$D$5</definedName>
    <definedName name="FFSEGMENT6_1">[10]CRITERIA1!$D$6</definedName>
    <definedName name="FFSEGMENT6_10">[10]CRITERIA10!$D$6</definedName>
    <definedName name="FFSEGMENT6_11">[10]CRITERIA11!$D$6</definedName>
    <definedName name="FFSEGMENT6_2">[10]CRITERIA2!$D$6</definedName>
    <definedName name="FFSEGMENT6_3">[10]CRITERIA3!$D$6</definedName>
    <definedName name="FFSEGMENT6_4">[10]CRITERIA4!$D$6</definedName>
    <definedName name="FFSEGMENT6_5">[10]CRITERIA5!$D$6</definedName>
    <definedName name="FFSEGMENT6_6">[10]CRITERIA6!$D$6</definedName>
    <definedName name="FFSEGMENT6_7">[10]CRITERIA7!$D$6</definedName>
    <definedName name="FFSEGMENT6_8">[10]CRITERIA8!$D$6</definedName>
    <definedName name="FFSEGMENT6_9">[10]CRITERIA9!$D$6</definedName>
    <definedName name="FFSEGMENT7_1">[10]CRITERIA1!$D$7</definedName>
    <definedName name="FFSEGMENT7_10">[10]CRITERIA10!$D$7</definedName>
    <definedName name="FFSEGMENT7_11">[10]CRITERIA11!$D$7</definedName>
    <definedName name="FFSEGMENT7_2">[10]CRITERIA2!$D$7</definedName>
    <definedName name="FFSEGMENT7_3">[10]CRITERIA3!$D$7</definedName>
    <definedName name="FFSEGMENT7_4">[10]CRITERIA4!$D$7</definedName>
    <definedName name="FFSEGMENT7_5">[10]CRITERIA5!$D$7</definedName>
    <definedName name="FFSEGMENT7_6">[10]CRITERIA6!$D$7</definedName>
    <definedName name="FFSEGMENT7_7">[10]CRITERIA7!$D$7</definedName>
    <definedName name="FFSEGMENT7_8">[10]CRITERIA8!$D$7</definedName>
    <definedName name="FFSEGMENT7_9">[10]CRITERIA9!$D$7</definedName>
    <definedName name="FFSEGSEPARATOR1">[10]CRITERIA1!$B$17</definedName>
    <definedName name="FFSEGSEPARATOR10">[10]CRITERIA10!$B$17</definedName>
    <definedName name="FFSEGSEPARATOR11">[10]CRITERIA11!$B$17</definedName>
    <definedName name="FFSEGSEPARATOR2">[10]CRITERIA2!$B$17</definedName>
    <definedName name="FFSEGSEPARATOR3">[10]CRITERIA3!$B$17</definedName>
    <definedName name="FFSEGSEPARATOR4">[10]CRITERIA4!$B$17</definedName>
    <definedName name="FFSEGSEPARATOR5">[10]CRITERIA5!$B$17</definedName>
    <definedName name="FFSEGSEPARATOR6">[10]CRITERIA6!$B$17</definedName>
    <definedName name="FFSEGSEPARATOR7">[10]CRITERIA7!$B$17</definedName>
    <definedName name="FFSEGSEPARATOR8">[10]CRITERIA8!$B$17</definedName>
    <definedName name="FFSEGSEPARATOR9">[10]CRITERIA9!$B$17</definedName>
    <definedName name="FIELDNAMECOLUMN1">[10]CRITERIA1!$B$26</definedName>
    <definedName name="FIELDNAMECOLUMN10">[10]CRITERIA10!$B$26</definedName>
    <definedName name="FIELDNAMECOLUMN11">[10]CRITERIA11!$B$26</definedName>
    <definedName name="FIELDNAMECOLUMN2">[10]CRITERIA2!$B$26</definedName>
    <definedName name="FIELDNAMECOLUMN3">[10]CRITERIA3!$B$26</definedName>
    <definedName name="FIELDNAMECOLUMN4">[10]CRITERIA4!$B$26</definedName>
    <definedName name="FIELDNAMECOLUMN5">[10]CRITERIA5!$B$26</definedName>
    <definedName name="FIELDNAMECOLUMN6">[10]CRITERIA6!$B$26</definedName>
    <definedName name="FIELDNAMECOLUMN7">[10]CRITERIA7!$B$26</definedName>
    <definedName name="FIELDNAMECOLUMN8">[10]CRITERIA8!$B$26</definedName>
    <definedName name="FIELDNAMECOLUMN9">[10]CRITERIA9!$B$26</definedName>
    <definedName name="FIELDNAMEROW1">[10]CRITERIA1!$B$25</definedName>
    <definedName name="FIELDNAMEROW10">[10]CRITERIA10!$B$25</definedName>
    <definedName name="FIELDNAMEROW11">[10]CRITERIA11!$B$25</definedName>
    <definedName name="FIELDNAMEROW2">[10]CRITERIA2!$B$25</definedName>
    <definedName name="FIELDNAMEROW3">[10]CRITERIA3!$B$25</definedName>
    <definedName name="FIELDNAMEROW4">[10]CRITERIA4!$B$25</definedName>
    <definedName name="FIELDNAMEROW5">[10]CRITERIA5!$B$25</definedName>
    <definedName name="FIELDNAMEROW6">[10]CRITERIA6!$B$25</definedName>
    <definedName name="FIELDNAMEROW7">[10]CRITERIA7!$B$25</definedName>
    <definedName name="FIELDNAMEROW8">[10]CRITERIA8!$B$25</definedName>
    <definedName name="FIELDNAMEROW9">[10]CRITERIA9!$B$25</definedName>
    <definedName name="finsum2" localSheetId="35">#REF!+#REF!+#REF!</definedName>
    <definedName name="finsum2" localSheetId="36">#REF!+#REF!+#REF!</definedName>
    <definedName name="finsum2" localSheetId="8">#REF!+#REF!+#REF!</definedName>
    <definedName name="finsum2">#REF!+#REF!+#REF!</definedName>
    <definedName name="FIRSTDATAROW1">[10]CRITERIA1!$B$27</definedName>
    <definedName name="FIRSTDATAROW10">[10]CRITERIA10!$B$27</definedName>
    <definedName name="FIRSTDATAROW11">[10]CRITERIA11!$B$27</definedName>
    <definedName name="FIRSTDATAROW2">[10]CRITERIA2!$B$27</definedName>
    <definedName name="FIRSTDATAROW3">[10]CRITERIA3!$B$27</definedName>
    <definedName name="FIRSTDATAROW4">[10]CRITERIA4!$B$27</definedName>
    <definedName name="FIRSTDATAROW5">[10]CRITERIA5!$B$27</definedName>
    <definedName name="FIRSTDATAROW6">[10]CRITERIA6!$B$27</definedName>
    <definedName name="FIRSTDATAROW7">[10]CRITERIA7!$B$27</definedName>
    <definedName name="FIRSTDATAROW8">[10]CRITERIA8!$B$27</definedName>
    <definedName name="FIRSTDATAROW9">[10]CRITERIA9!$B$27</definedName>
    <definedName name="fix" localSheetId="35">#REF!</definedName>
    <definedName name="fix" localSheetId="36">#REF!</definedName>
    <definedName name="fix" localSheetId="8">#REF!</definedName>
    <definedName name="fix" localSheetId="41">#REF!</definedName>
    <definedName name="fix">#REF!</definedName>
    <definedName name="FNDNAM1">[10]CRITERIA1!$B$12</definedName>
    <definedName name="FNDNAM10">[10]CRITERIA10!$B$12</definedName>
    <definedName name="FNDNAM11">[10]CRITERIA11!$B$12</definedName>
    <definedName name="FNDNAM2">[10]CRITERIA2!$B$12</definedName>
    <definedName name="FNDNAM3">[10]CRITERIA3!$B$12</definedName>
    <definedName name="FNDNAM4">[10]CRITERIA4!$B$12</definedName>
    <definedName name="FNDNAM5">[10]CRITERIA5!$B$12</definedName>
    <definedName name="FNDNAM6">[10]CRITERIA6!$B$12</definedName>
    <definedName name="FNDNAM7">[10]CRITERIA7!$B$12</definedName>
    <definedName name="FNDNAM8">[10]CRITERIA8!$B$12</definedName>
    <definedName name="FNDNAM9">[10]CRITERIA9!$B$12</definedName>
    <definedName name="FNDUSERID1">[10]CRITERIA1!$B$15</definedName>
    <definedName name="FNDUSERID10">[10]CRITERIA10!$B$15</definedName>
    <definedName name="FNDUSERID11">[10]CRITERIA11!$B$15</definedName>
    <definedName name="FNDUSERID2">[10]CRITERIA2!$B$15</definedName>
    <definedName name="FNDUSERID3">[10]CRITERIA3!$B$15</definedName>
    <definedName name="FNDUSERID4">[10]CRITERIA4!$B$15</definedName>
    <definedName name="FNDUSERID5">[10]CRITERIA5!$B$15</definedName>
    <definedName name="FNDUSERID6">[10]CRITERIA6!$B$15</definedName>
    <definedName name="FNDUSERID7">[10]CRITERIA7!$B$15</definedName>
    <definedName name="FNDUSERID8">[10]CRITERIA8!$B$15</definedName>
    <definedName name="FNDUSERID9">[10]CRITERIA9!$B$15</definedName>
    <definedName name="Full_CANE_ASP" localSheetId="35">#REF!</definedName>
    <definedName name="Full_CANE_ASP" localSheetId="36">#REF!</definedName>
    <definedName name="Full_CANE_ASP" localSheetId="8">#REF!</definedName>
    <definedName name="Full_CANE_ASP">#REF!</definedName>
    <definedName name="Full_CANE_Monthly_Sales_Division" localSheetId="35">#REF!</definedName>
    <definedName name="Full_CANE_Monthly_Sales_Division" localSheetId="36">#REF!</definedName>
    <definedName name="Full_CANE_Monthly_Sales_Division" localSheetId="8">#REF!</definedName>
    <definedName name="Full_CANE_Monthly_Sales_Division">#REF!</definedName>
    <definedName name="Full_CANE_Subs.Monthly_Sales_Division" localSheetId="35">#REF!</definedName>
    <definedName name="Full_CANE_Subs.Monthly_Sales_Division" localSheetId="36">#REF!</definedName>
    <definedName name="Full_CANE_Subs.Monthly_Sales_Division" localSheetId="8">#REF!</definedName>
    <definedName name="Full_CANE_Subs.Monthly_Sales_Division">#REF!</definedName>
    <definedName name="Full_CANE_Subscription_ASP" localSheetId="35">#REF!</definedName>
    <definedName name="Full_CANE_Subscription_ASP" localSheetId="36">#REF!</definedName>
    <definedName name="Full_CANE_Subscription_ASP" localSheetId="8">#REF!</definedName>
    <definedName name="Full_CANE_Subscription_ASP">#REF!</definedName>
    <definedName name="FUNCTIONALCURRENCY1">[10]CRITERIA1!$B$33</definedName>
    <definedName name="FUNCTIONALCURRENCY10">[10]CRITERIA10!$B$33</definedName>
    <definedName name="FUNCTIONALCURRENCY11">[10]CRITERIA11!$B$33</definedName>
    <definedName name="FUNCTIONALCURRENCY2">[10]CRITERIA2!$B$33</definedName>
    <definedName name="FUNCTIONALCURRENCY3">[10]CRITERIA3!$B$33</definedName>
    <definedName name="FUNCTIONALCURRENCY4">[10]CRITERIA4!$B$33</definedName>
    <definedName name="FUNCTIONALCURRENCY5">[10]CRITERIA5!$B$33</definedName>
    <definedName name="FUNCTIONALCURRENCY6">[10]CRITERIA6!$B$33</definedName>
    <definedName name="FUNCTIONALCURRENCY7">[10]CRITERIA7!$B$33</definedName>
    <definedName name="FUNCTIONALCURRENCY8">[10]CRITERIA8!$B$33</definedName>
    <definedName name="FUNCTIONALCURRENCY9">[10]CRITERIA9!$B$33</definedName>
    <definedName name="GC" localSheetId="41">'[1]טורים 98'!$GT$62</definedName>
    <definedName name="GC">'[2]טורים 98'!$GT$62</definedName>
    <definedName name="GCM" localSheetId="41">'[1]טורים 98'!$HD$64</definedName>
    <definedName name="GCM">'[2]טורים 98'!$HD$64</definedName>
    <definedName name="GCT" localSheetId="41">'[1]טורים 98'!$GW$69</definedName>
    <definedName name="GCT">'[2]טורים 98'!$GW$69</definedName>
    <definedName name="generic_month">'[13]general ledger'!$F$3:$F$460</definedName>
    <definedName name="goodwill">[35]השקעות!$AJ$21:$AJ$31,[35]השקעות!$AI$21:$AI$27,[35]השקעות!$AH$22:$AH$27,[35]השקעות!$AG$21:$AG$31,[35]השקעות!$AF$21:$AF$31,[35]השקעות!$AC$21:$AC$27,[35]השקעות!$AA$21:$AA$28,[35]השקעות!$Z$21:$Z$31,[35]השקעות!$W$21:$W$23,[35]השקעות!$W$27,[35]השקעות!$AH$36,[35]השקעות!$AI$36</definedName>
    <definedName name="GPROTOKL">'[6]ער"ז דוח מס:מיעוט'!$L$141:$BS$528</definedName>
    <definedName name="gross" localSheetId="35">#REF!</definedName>
    <definedName name="gross" localSheetId="36">#REF!</definedName>
    <definedName name="gross" localSheetId="8">#REF!</definedName>
    <definedName name="gross">#REF!</definedName>
    <definedName name="GWYUID1">[10]CRITERIA1!$B$13</definedName>
    <definedName name="GWYUID10">[10]CRITERIA10!$B$13</definedName>
    <definedName name="GWYUID11">[10]CRITERIA11!$B$13</definedName>
    <definedName name="GWYUID2">[10]CRITERIA2!$B$13</definedName>
    <definedName name="GWYUID3">[10]CRITERIA3!$B$13</definedName>
    <definedName name="GWYUID4">[10]CRITERIA4!$B$13</definedName>
    <definedName name="GWYUID5">[10]CRITERIA5!$B$13</definedName>
    <definedName name="GWYUID6">[10]CRITERIA6!$B$13</definedName>
    <definedName name="GWYUID7">[10]CRITERIA7!$B$13</definedName>
    <definedName name="GWYUID8">[10]CRITERIA8!$B$13</definedName>
    <definedName name="GWYUID9">[10]CRITERIA9!$B$13</definedName>
    <definedName name="H" localSheetId="41">'[1]טורים 98'!$HJ$247</definedName>
    <definedName name="H">'[2]טורים 98'!$HJ$247</definedName>
    <definedName name="HD_HATSARA" localSheetId="35">#REF!</definedName>
    <definedName name="HD_HATSARA" localSheetId="36">#REF!</definedName>
    <definedName name="HD_HATSARA" localSheetId="8">#REF!</definedName>
    <definedName name="HD_HATSARA">#REF!</definedName>
    <definedName name="HD_PROTOCOL" localSheetId="35">#REF!</definedName>
    <definedName name="HD_PROTOCOL" localSheetId="36">#REF!</definedName>
    <definedName name="HD_PROTOCOL" localSheetId="8">#REF!</definedName>
    <definedName name="HD_PROTOCOL">#REF!</definedName>
    <definedName name="HM_HATSARA" localSheetId="35">#REF!</definedName>
    <definedName name="HM_HATSARA" localSheetId="36">#REF!</definedName>
    <definedName name="HM_HATSARA" localSheetId="8">#REF!</definedName>
    <definedName name="HM_HATSARA">#REF!</definedName>
    <definedName name="HM_PROTOCOL" localSheetId="35">#REF!</definedName>
    <definedName name="HM_PROTOCOL" localSheetId="36">#REF!</definedName>
    <definedName name="HM_PROTOCOL" localSheetId="8">#REF!</definedName>
    <definedName name="HM_PROTOCOL">#REF!</definedName>
    <definedName name="HTML_CodePage" hidden="1">1252</definedName>
    <definedName name="HTML_Control" localSheetId="43" hidden="1">{"'imprdescending'!$A$1:$D$1608"}</definedName>
    <definedName name="HTML_Control" localSheetId="35" hidden="1">{"'imprdescending'!$A$1:$D$1608"}</definedName>
    <definedName name="HTML_Control" localSheetId="36" hidden="1">{"'imprdescending'!$A$1:$D$1608"}</definedName>
    <definedName name="HTML_Control" hidden="1">{"'imprdescending'!$A$1:$D$1608"}</definedName>
    <definedName name="HTML_Description" hidden="1">"CONFIDENTIAL - FOR INTERNAL GEOCITIES USE ONLY"</definedName>
    <definedName name="HTML_Email" hidden="1">"ebishop@geocities.com"</definedName>
    <definedName name="HTML_Header" hidden="1">"Page Detail Banner Impressions Weekly Report - Week 4/20 - 4/26 - Impressions Descending"</definedName>
    <definedName name="HTML_LastUpdate" hidden="1">"4/28/98"</definedName>
    <definedName name="HTML_LineAfter" hidden="1">FALSE</definedName>
    <definedName name="HTML_LineBefore" hidden="1">FALSE</definedName>
    <definedName name="HTML_Name" hidden="1">"Elise Bishop"</definedName>
    <definedName name="HTML_OBDlg2" hidden="1">TRUE</definedName>
    <definedName name="HTML_OBDlg4" hidden="1">TRUE</definedName>
    <definedName name="HTML_OS" hidden="1">0</definedName>
    <definedName name="HTML_PathFile" hidden="1">"C:\Cognos\Impromptu Reports\pagedetail042698impr.htm"</definedName>
    <definedName name="HTML_Title" hidden="1">"Page Detail Weekly Report - Impressions"</definedName>
    <definedName name="Hub_PV_Proj" localSheetId="8">#REF!</definedName>
    <definedName name="Hub_PV_Proj">#REF!</definedName>
    <definedName name="Hub_PV_Proj2" localSheetId="35">#REF!</definedName>
    <definedName name="Hub_PV_Proj2" localSheetId="36">#REF!</definedName>
    <definedName name="Hub_PV_Proj2" localSheetId="8">#REF!</definedName>
    <definedName name="Hub_PV_Proj2">#REF!</definedName>
    <definedName name="IMPORTDFF1">[10]CRITERIA1!$B$36</definedName>
    <definedName name="IMPORTDFF10">[10]CRITERIA10!$B$36</definedName>
    <definedName name="IMPORTDFF11">[10]CRITERIA11!$B$36</definedName>
    <definedName name="IMPORTDFF2">[10]CRITERIA2!$B$36</definedName>
    <definedName name="IMPORTDFF3">[10]CRITERIA3!$B$36</definedName>
    <definedName name="IMPORTDFF4">[10]CRITERIA4!$B$36</definedName>
    <definedName name="IMPORTDFF5">[10]CRITERIA5!$B$36</definedName>
    <definedName name="IMPORTDFF6">[10]CRITERIA6!$B$36</definedName>
    <definedName name="IMPORTDFF7">[10]CRITERIA7!$B$36</definedName>
    <definedName name="IMPORTDFF8">[10]CRITERIA8!$B$36</definedName>
    <definedName name="IMPORTDFF9">[10]CRITERIA9!$B$36</definedName>
    <definedName name="INC_LTD" localSheetId="35">#REF!</definedName>
    <definedName name="INC_LTD" localSheetId="36">#REF!</definedName>
    <definedName name="INC_LTD" localSheetId="8">#REF!</definedName>
    <definedName name="INC_LTD">#REF!</definedName>
    <definedName name="INDE" localSheetId="35">#REF!</definedName>
    <definedName name="INDE" localSheetId="36">#REF!</definedName>
    <definedName name="INDE" localSheetId="8">#REF!</definedName>
    <definedName name="INDE">#REF!</definedName>
    <definedName name="index" localSheetId="35">#REF!</definedName>
    <definedName name="index" localSheetId="36">#REF!</definedName>
    <definedName name="index" localSheetId="8">#REF!</definedName>
    <definedName name="index" localSheetId="41">#REF!</definedName>
    <definedName name="index">#REF!</definedName>
    <definedName name="Inflation_Assump.1997" localSheetId="35">#REF!</definedName>
    <definedName name="Inflation_Assump.1997" localSheetId="36">#REF!</definedName>
    <definedName name="Inflation_Assump.1997" localSheetId="8">#REF!</definedName>
    <definedName name="Inflation_Assump.1997">#REF!</definedName>
    <definedName name="Inflation_Assump.1998" localSheetId="35">#REF!</definedName>
    <definedName name="Inflation_Assump.1998" localSheetId="36">#REF!</definedName>
    <definedName name="Inflation_Assump.1998" localSheetId="8">#REF!</definedName>
    <definedName name="Inflation_Assump.1998">#REF!</definedName>
    <definedName name="Inflation_Assump.1999" localSheetId="35">#REF!</definedName>
    <definedName name="Inflation_Assump.1999" localSheetId="36">#REF!</definedName>
    <definedName name="Inflation_Assump.1999" localSheetId="8">#REF!</definedName>
    <definedName name="Inflation_Assump.1999">#REF!</definedName>
    <definedName name="Inflation_Assump.2000" localSheetId="35">#REF!</definedName>
    <definedName name="Inflation_Assump.2000" localSheetId="36">#REF!</definedName>
    <definedName name="Inflation_Assump.2000" localSheetId="8">#REF!</definedName>
    <definedName name="Inflation_Assump.2000">#REF!</definedName>
    <definedName name="Inflation_Assump.2001" localSheetId="35">#REF!</definedName>
    <definedName name="Inflation_Assump.2001" localSheetId="36">#REF!</definedName>
    <definedName name="Inflation_Assump.2001" localSheetId="8">#REF!</definedName>
    <definedName name="Inflation_Assump.2001">#REF!</definedName>
    <definedName name="Inflation_Assump.2002" localSheetId="35">#REF!</definedName>
    <definedName name="Inflation_Assump.2002" localSheetId="36">#REF!</definedName>
    <definedName name="Inflation_Assump.2002" localSheetId="8">#REF!</definedName>
    <definedName name="Inflation_Assump.2002">#REF!</definedName>
    <definedName name="Interest_rates_on_creditory_account" localSheetId="35">#REF!</definedName>
    <definedName name="Interest_rates_on_creditory_account" localSheetId="36">#REF!</definedName>
    <definedName name="Interest_rates_on_creditory_account" localSheetId="8">#REF!</definedName>
    <definedName name="Interest_rates_on_creditory_account">#REF!</definedName>
    <definedName name="Interest_rates_on_debitory_account" localSheetId="35">#REF!</definedName>
    <definedName name="Interest_rates_on_debitory_account" localSheetId="36">#REF!</definedName>
    <definedName name="Interest_rates_on_debitory_account" localSheetId="8">#REF!</definedName>
    <definedName name="Interest_rates_on_debitory_account">#REF!</definedName>
    <definedName name="Israli_Monthly_Base_salaries" localSheetId="35">#REF!</definedName>
    <definedName name="Israli_Monthly_Base_salaries" localSheetId="36">#REF!</definedName>
    <definedName name="Israli_Monthly_Base_salaries" localSheetId="8">#REF!</definedName>
    <definedName name="Israli_Monthly_Base_salaries">#REF!</definedName>
    <definedName name="LABELTEXTCOLUMN1">[10]CRITERIA1!$B$24</definedName>
    <definedName name="LABELTEXTCOLUMN10">[10]CRITERIA10!$B$24</definedName>
    <definedName name="LABELTEXTCOLUMN11">[10]CRITERIA11!$B$24</definedName>
    <definedName name="LABELTEXTCOLUMN2">[10]CRITERIA2!$B$24</definedName>
    <definedName name="LABELTEXTCOLUMN3">[10]CRITERIA3!$B$24</definedName>
    <definedName name="LABELTEXTCOLUMN4">[10]CRITERIA4!$B$24</definedName>
    <definedName name="LABELTEXTCOLUMN5">[10]CRITERIA5!$B$24</definedName>
    <definedName name="LABELTEXTCOLUMN6">[10]CRITERIA6!$B$24</definedName>
    <definedName name="LABELTEXTCOLUMN7">[10]CRITERIA7!$B$24</definedName>
    <definedName name="LABELTEXTCOLUMN8">[10]CRITERIA8!$B$24</definedName>
    <definedName name="LABELTEXTCOLUMN9">[10]CRITERIA9!$B$24</definedName>
    <definedName name="LABELTEXTROW1">[10]CRITERIA1!$B$23</definedName>
    <definedName name="LABELTEXTROW10">[10]CRITERIA10!$B$23</definedName>
    <definedName name="LABELTEXTROW11">[10]CRITERIA11!$B$23</definedName>
    <definedName name="LABELTEXTROW2">[10]CRITERIA2!$B$23</definedName>
    <definedName name="LABELTEXTROW3">[10]CRITERIA3!$B$23</definedName>
    <definedName name="LABELTEXTROW4">[10]CRITERIA4!$B$23</definedName>
    <definedName name="LABELTEXTROW5">[10]CRITERIA5!$B$23</definedName>
    <definedName name="LABELTEXTROW6">[10]CRITERIA6!$B$23</definedName>
    <definedName name="LABELTEXTROW7">[10]CRITERIA7!$B$23</definedName>
    <definedName name="LABELTEXTROW8">[10]CRITERIA8!$B$23</definedName>
    <definedName name="LABELTEXTROW9">[10]CRITERIA9!$B$23</definedName>
    <definedName name="LIABIL" localSheetId="35">#REF!</definedName>
    <definedName name="LIABIL" localSheetId="36">#REF!</definedName>
    <definedName name="LIABIL" localSheetId="8">#REF!</definedName>
    <definedName name="LIABIL">#REF!</definedName>
    <definedName name="LLL">'[6]ער"ז דוח מס:מיעוט'!$L$9:$BS$651</definedName>
    <definedName name="Log" localSheetId="35">#REF!</definedName>
    <definedName name="Log" localSheetId="36">#REF!</definedName>
    <definedName name="Log" localSheetId="8">#REF!</definedName>
    <definedName name="Log">#REF!</definedName>
    <definedName name="LTD_INC" localSheetId="35">#REF!</definedName>
    <definedName name="LTD_INC" localSheetId="36">#REF!</definedName>
    <definedName name="LTD_INC" localSheetId="8">#REF!</definedName>
    <definedName name="LTD_INC">#REF!</definedName>
    <definedName name="m" localSheetId="35">'[36]Consolidation '!#REF!</definedName>
    <definedName name="m" localSheetId="36">'[36]Consolidation '!#REF!</definedName>
    <definedName name="m" localSheetId="8">'[36]Consolidation '!#REF!</definedName>
    <definedName name="m">'[36]Consolidation '!#REF!</definedName>
    <definedName name="M00Revenue" localSheetId="35">#REF!</definedName>
    <definedName name="M00Revenue" localSheetId="36">#REF!</definedName>
    <definedName name="M00Revenue" localSheetId="8">#REF!</definedName>
    <definedName name="M00Revenue">#REF!</definedName>
    <definedName name="M01Revenue" localSheetId="35">#REF!</definedName>
    <definedName name="M01Revenue" localSheetId="36">#REF!</definedName>
    <definedName name="M01Revenue" localSheetId="8">#REF!</definedName>
    <definedName name="M01Revenue">#REF!</definedName>
    <definedName name="M98Revenue" localSheetId="35">#REF!</definedName>
    <definedName name="M98Revenue" localSheetId="36">#REF!</definedName>
    <definedName name="M98Revenue" localSheetId="8">#REF!</definedName>
    <definedName name="M98Revenue">#REF!</definedName>
    <definedName name="M99Revenue" localSheetId="35">#REF!</definedName>
    <definedName name="M99Revenue" localSheetId="36">#REF!</definedName>
    <definedName name="M99Revenue" localSheetId="8">#REF!</definedName>
    <definedName name="M99Revenue">#REF!</definedName>
    <definedName name="madadbegin" localSheetId="35">#REF!</definedName>
    <definedName name="madadbegin" localSheetId="36">#REF!</definedName>
    <definedName name="madadbegin" localSheetId="8">#REF!</definedName>
    <definedName name="madadbegin">#REF!</definedName>
    <definedName name="maddbefor" localSheetId="35">#REF!</definedName>
    <definedName name="maddbefor" localSheetId="36">#REF!</definedName>
    <definedName name="maddbefor" localSheetId="8">#REF!</definedName>
    <definedName name="maddbefor">#REF!</definedName>
    <definedName name="MAIN" localSheetId="41">'[1]טורים 98'!$GT$15</definedName>
    <definedName name="MAIN">'[2]טורים 98'!$GT$15</definedName>
    <definedName name="manufacturing" localSheetId="35">#REF!</definedName>
    <definedName name="manufacturing" localSheetId="36">#REF!</definedName>
    <definedName name="manufacturing" localSheetId="8">#REF!</definedName>
    <definedName name="manufacturing">#REF!</definedName>
    <definedName name="max_accounts" localSheetId="35">#REF!</definedName>
    <definedName name="max_accounts" localSheetId="36">#REF!</definedName>
    <definedName name="max_accounts" localSheetId="8">#REF!</definedName>
    <definedName name="max_accounts">#REF!</definedName>
    <definedName name="MDA" localSheetId="35">#REF!</definedName>
    <definedName name="MDA" localSheetId="36">#REF!</definedName>
    <definedName name="MDA" localSheetId="8">#REF!</definedName>
    <definedName name="MDA">#REF!</definedName>
    <definedName name="ME" localSheetId="35">#REF!</definedName>
    <definedName name="ME" localSheetId="36">#REF!</definedName>
    <definedName name="ME" localSheetId="8">#REF!</definedName>
    <definedName name="ME">#REF!</definedName>
    <definedName name="MENU" localSheetId="35">#REF!</definedName>
    <definedName name="MENU" localSheetId="36">#REF!</definedName>
    <definedName name="MENU" localSheetId="8">#REF!</definedName>
    <definedName name="MENU">#REF!</definedName>
    <definedName name="MERKZ" localSheetId="41">'[1]טורים 98'!$GT$120</definedName>
    <definedName name="MERKZ">'[2]טורים 98'!$GT$120</definedName>
    <definedName name="Mid_Level_ASP" localSheetId="35">#REF!</definedName>
    <definedName name="Mid_Level_ASP" localSheetId="36">#REF!</definedName>
    <definedName name="Mid_Level_ASP" localSheetId="8">#REF!</definedName>
    <definedName name="Mid_Level_ASP">#REF!</definedName>
    <definedName name="Mid_Level_Monthly_Sales_Division" localSheetId="35">#REF!</definedName>
    <definedName name="Mid_Level_Monthly_Sales_Division" localSheetId="36">#REF!</definedName>
    <definedName name="Mid_Level_Monthly_Sales_Division" localSheetId="8">#REF!</definedName>
    <definedName name="Mid_Level_Monthly_Sales_Division">#REF!</definedName>
    <definedName name="MIMUN_" localSheetId="35">#REF!</definedName>
    <definedName name="MIMUN_" localSheetId="36">#REF!</definedName>
    <definedName name="MIMUN_" localSheetId="8">#REF!</definedName>
    <definedName name="MIMUN_">#REF!</definedName>
    <definedName name="MIMUNNIS" localSheetId="35">#REF!</definedName>
    <definedName name="MIMUNNIS" localSheetId="36">#REF!</definedName>
    <definedName name="MIMUNNIS" localSheetId="8">#REF!</definedName>
    <definedName name="MIMUNNIS">#REF!</definedName>
    <definedName name="Misc." localSheetId="35">#REF!</definedName>
    <definedName name="Misc." localSheetId="36">#REF!</definedName>
    <definedName name="Misc." localSheetId="8">#REF!</definedName>
    <definedName name="Misc.">#REF!</definedName>
    <definedName name="MIUT" localSheetId="35">#REF!</definedName>
    <definedName name="MIUT" localSheetId="36">#REF!</definedName>
    <definedName name="MIUT" localSheetId="8">#REF!</definedName>
    <definedName name="MIUT">#REF!</definedName>
    <definedName name="month_of_report" localSheetId="35">'[13]Actual Monthly I &amp; E'!#REF!</definedName>
    <definedName name="month_of_report" localSheetId="36">'[13]Actual Monthly I &amp; E'!#REF!</definedName>
    <definedName name="month_of_report" localSheetId="8">'[13]Actual Monthly I &amp; E'!#REF!</definedName>
    <definedName name="month_of_report">'[13]Actual Monthly I &amp; E'!#REF!</definedName>
    <definedName name="MTMT04" localSheetId="35">[24]shar!#REF!</definedName>
    <definedName name="MTMT04" localSheetId="36">[24]shar!#REF!</definedName>
    <definedName name="MTMT04" localSheetId="8">[24]shar!#REF!</definedName>
    <definedName name="MTMT04">[24]shar!#REF!</definedName>
    <definedName name="MTMT06" localSheetId="35">[24]shar!#REF!</definedName>
    <definedName name="MTMT06" localSheetId="36">[24]shar!#REF!</definedName>
    <definedName name="MTMT06" localSheetId="8">[24]shar!#REF!</definedName>
    <definedName name="MTMT06">[24]shar!#REF!</definedName>
    <definedName name="MTMT12" localSheetId="35">[24]shar!#REF!</definedName>
    <definedName name="MTMT12" localSheetId="36">[24]shar!#REF!</definedName>
    <definedName name="MTMT12" localSheetId="8">[24]shar!#REF!</definedName>
    <definedName name="MTMT12">[24]shar!#REF!</definedName>
    <definedName name="MTMT14" localSheetId="8">[24]shar!#REF!</definedName>
    <definedName name="MTMT14">[24]shar!#REF!</definedName>
    <definedName name="MTMT16" localSheetId="8">[24]shar!#REF!</definedName>
    <definedName name="MTMT16">[24]shar!#REF!</definedName>
    <definedName name="name_Conflict" localSheetId="43" hidden="1">{"'imprdescending'!$A$1:$D$1608"}</definedName>
    <definedName name="name_Conflict" localSheetId="35" hidden="1">{"'imprdescending'!$A$1:$D$1608"}</definedName>
    <definedName name="name_Conflict" localSheetId="36" hidden="1">{"'imprdescending'!$A$1:$D$1608"}</definedName>
    <definedName name="name_Conflict" hidden="1">{"'imprdescending'!$A$1:$D$1608"}</definedName>
    <definedName name="NIAROT" localSheetId="41">'[1]טורים 98'!$GT$145</definedName>
    <definedName name="NIAROT">'[2]טורים 98'!$GT$145</definedName>
    <definedName name="NIARTA" localSheetId="8">'[4]שמ"מ מ"ה'!#REF!</definedName>
    <definedName name="NIARTA" localSheetId="41">'[5]שמ"מ מ"ה'!#REF!</definedName>
    <definedName name="NIARTA">'[4]שמ"מ מ"ה'!#REF!</definedName>
    <definedName name="NIATA" localSheetId="8">'[4]שמ"מ מ"ה'!#REF!</definedName>
    <definedName name="NIATA" localSheetId="41">'[5]שמ"מ מ"ה'!#REF!</definedName>
    <definedName name="NIATA">'[4]שמ"מ מ"ה'!#REF!</definedName>
    <definedName name="NIS" localSheetId="41">'[1]טורים 98'!$BQ$1:$CR$333</definedName>
    <definedName name="NIS">'[2]טורים 98'!$BQ$1:$CR$333</definedName>
    <definedName name="NIS_1" localSheetId="35">#REF!</definedName>
    <definedName name="NIS_1" localSheetId="36">#REF!</definedName>
    <definedName name="NIS_1" localSheetId="8">#REF!</definedName>
    <definedName name="NIS_1">#REF!</definedName>
    <definedName name="NIS_10" localSheetId="35">#REF!</definedName>
    <definedName name="NIS_10" localSheetId="36">#REF!</definedName>
    <definedName name="NIS_10" localSheetId="8">#REF!</definedName>
    <definedName name="NIS_10">#REF!</definedName>
    <definedName name="NIS_2" localSheetId="35">#REF!</definedName>
    <definedName name="NIS_2" localSheetId="36">#REF!</definedName>
    <definedName name="NIS_2" localSheetId="8">#REF!</definedName>
    <definedName name="NIS_2">#REF!</definedName>
    <definedName name="NIS_3" localSheetId="35">#REF!</definedName>
    <definedName name="NIS_3" localSheetId="36">#REF!</definedName>
    <definedName name="NIS_3" localSheetId="8">#REF!</definedName>
    <definedName name="NIS_3">#REF!</definedName>
    <definedName name="NIS_4" localSheetId="35">#REF!</definedName>
    <definedName name="NIS_4" localSheetId="36">#REF!</definedName>
    <definedName name="NIS_4" localSheetId="8">#REF!</definedName>
    <definedName name="NIS_4">#REF!</definedName>
    <definedName name="NIS_5" localSheetId="35">#REF!</definedName>
    <definedName name="NIS_5" localSheetId="36">#REF!</definedName>
    <definedName name="NIS_5" localSheetId="8">#REF!</definedName>
    <definedName name="NIS_5">#REF!</definedName>
    <definedName name="NIS_6" localSheetId="35">#REF!</definedName>
    <definedName name="NIS_6" localSheetId="36">#REF!</definedName>
    <definedName name="NIS_6" localSheetId="8">#REF!</definedName>
    <definedName name="NIS_6">#REF!</definedName>
    <definedName name="NIS_7" localSheetId="35">#REF!</definedName>
    <definedName name="NIS_7" localSheetId="36">#REF!</definedName>
    <definedName name="NIS_7" localSheetId="8">#REF!</definedName>
    <definedName name="NIS_7">#REF!</definedName>
    <definedName name="NIS_8" localSheetId="35">#REF!</definedName>
    <definedName name="NIS_8" localSheetId="36">#REF!</definedName>
    <definedName name="NIS_8" localSheetId="8">#REF!</definedName>
    <definedName name="NIS_8">#REF!</definedName>
    <definedName name="NIS_9" localSheetId="35">#REF!</definedName>
    <definedName name="NIS_9" localSheetId="36">#REF!</definedName>
    <definedName name="NIS_9" localSheetId="8">#REF!</definedName>
    <definedName name="NIS_9">#REF!</definedName>
    <definedName name="no" localSheetId="35">[15]עזר!#REF!</definedName>
    <definedName name="no" localSheetId="36">[15]עזר!#REF!</definedName>
    <definedName name="no" localSheetId="8">[15]עזר!#REF!</definedName>
    <definedName name="no">[15]עזר!#REF!</definedName>
    <definedName name="NOOFFFSEGMENTS1">[10]CRITERIA1!$B$18</definedName>
    <definedName name="NOOFFFSEGMENTS10">[10]CRITERIA10!$B$18</definedName>
    <definedName name="NOOFFFSEGMENTS11">[10]CRITERIA11!$B$18</definedName>
    <definedName name="NOOFFFSEGMENTS2">[10]CRITERIA2!$B$18</definedName>
    <definedName name="NOOFFFSEGMENTS3">[10]CRITERIA3!$B$18</definedName>
    <definedName name="NOOFFFSEGMENTS4">[10]CRITERIA4!$B$18</definedName>
    <definedName name="NOOFFFSEGMENTS5">[10]CRITERIA5!$B$18</definedName>
    <definedName name="NOOFFFSEGMENTS6">[10]CRITERIA6!$B$18</definedName>
    <definedName name="NOOFFFSEGMENTS7">[10]CRITERIA7!$B$18</definedName>
    <definedName name="NOOFFFSEGMENTS8">[10]CRITERIA8!$B$18</definedName>
    <definedName name="NOOFFFSEGMENTS9">[10]CRITERIA9!$B$18</definedName>
    <definedName name="notes" localSheetId="8">'[37]העמסת הוצאות משותפות'!#REF!</definedName>
    <definedName name="notes">'[37]העמסת הוצאות משותפות'!#REF!</definedName>
    <definedName name="notes_con">'[12]דוח מתכונת הגשה מאוחד'!$H$80:$L$168</definedName>
    <definedName name="NUMBEROFDETAILFIELDS1">[10]CRITERIA1!$B$29</definedName>
    <definedName name="NUMBEROFDETAILFIELDS10">[10]CRITERIA10!$B$29</definedName>
    <definedName name="NUMBEROFDETAILFIELDS11">[10]CRITERIA11!$B$29</definedName>
    <definedName name="NUMBEROFDETAILFIELDS2">[10]CRITERIA2!$B$29</definedName>
    <definedName name="NUMBEROFDETAILFIELDS3">[10]CRITERIA3!$B$29</definedName>
    <definedName name="NUMBEROFDETAILFIELDS4">[10]CRITERIA4!$B$29</definedName>
    <definedName name="NUMBEROFDETAILFIELDS5">[10]CRITERIA5!$B$29</definedName>
    <definedName name="NUMBEROFDETAILFIELDS6">[10]CRITERIA6!$B$29</definedName>
    <definedName name="NUMBEROFDETAILFIELDS7">[10]CRITERIA7!$B$29</definedName>
    <definedName name="NUMBEROFDETAILFIELDS8">[10]CRITERIA8!$B$29</definedName>
    <definedName name="NUMBEROFDETAILFIELDS9">[10]CRITERIA9!$B$29</definedName>
    <definedName name="NUMBEROFHEADERFIELDS1">[10]CRITERIA1!$B$28</definedName>
    <definedName name="NUMBEROFHEADERFIELDS10">[10]CRITERIA10!$B$28</definedName>
    <definedName name="NUMBEROFHEADERFIELDS11">[10]CRITERIA11!$B$28</definedName>
    <definedName name="NUMBEROFHEADERFIELDS2">[10]CRITERIA2!$B$28</definedName>
    <definedName name="NUMBEROFHEADERFIELDS3">[10]CRITERIA3!$B$28</definedName>
    <definedName name="NUMBEROFHEADERFIELDS4">[10]CRITERIA4!$B$28</definedName>
    <definedName name="NUMBEROFHEADERFIELDS5">[10]CRITERIA5!$B$28</definedName>
    <definedName name="NUMBEROFHEADERFIELDS6">[10]CRITERIA6!$B$28</definedName>
    <definedName name="NUMBEROFHEADERFIELDS7">[10]CRITERIA7!$B$28</definedName>
    <definedName name="NUMBEROFHEADERFIELDS8">[10]CRITERIA8!$B$28</definedName>
    <definedName name="NUMBEROFHEADERFIELDS9">[10]CRITERIA9!$B$28</definedName>
    <definedName name="nv" localSheetId="35">#REF!</definedName>
    <definedName name="nv" localSheetId="36">#REF!</definedName>
    <definedName name="nv" localSheetId="8">#REF!</definedName>
    <definedName name="nv">#REF!</definedName>
    <definedName name="nv_act" localSheetId="35">#REF!</definedName>
    <definedName name="nv_act" localSheetId="36">#REF!</definedName>
    <definedName name="nv_act" localSheetId="8">#REF!</definedName>
    <definedName name="nv_act">#REF!</definedName>
    <definedName name="nv_pas" localSheetId="35">#REF!</definedName>
    <definedName name="nv_pas" localSheetId="36">#REF!</definedName>
    <definedName name="nv_pas" localSheetId="8">#REF!</definedName>
    <definedName name="nv_pas">#REF!</definedName>
    <definedName name="OD" localSheetId="35">#REF!</definedName>
    <definedName name="OD" localSheetId="36">#REF!</definedName>
    <definedName name="OD" localSheetId="8">#REF!</definedName>
    <definedName name="OD" localSheetId="41">#REF!</definedName>
    <definedName name="OD">#REF!</definedName>
    <definedName name="Oem_Dealers_Qauntity" localSheetId="35">#REF!</definedName>
    <definedName name="Oem_Dealers_Qauntity" localSheetId="36">#REF!</definedName>
    <definedName name="Oem_Dealers_Qauntity" localSheetId="8">#REF!</definedName>
    <definedName name="Oem_Dealers_Qauntity">#REF!</definedName>
    <definedName name="OMG" localSheetId="35">#REF!</definedName>
    <definedName name="OMG" localSheetId="36">#REF!</definedName>
    <definedName name="OMG" localSheetId="8">#REF!</definedName>
    <definedName name="OMG" localSheetId="41">#REF!</definedName>
    <definedName name="OMG">#REF!</definedName>
    <definedName name="open_balance">'[16]קמ"ש פתיחה'!$A:$C</definedName>
    <definedName name="open_file" localSheetId="13">[29]!open_file</definedName>
    <definedName name="open_file" localSheetId="14">[29]!open_file</definedName>
    <definedName name="open_file" localSheetId="8">[29]!open_file</definedName>
    <definedName name="open_file">[29]!open_file</definedName>
    <definedName name="P_and_L" localSheetId="35">#REF!</definedName>
    <definedName name="P_and_L" localSheetId="36">#REF!</definedName>
    <definedName name="P_and_L" localSheetId="8">#REF!</definedName>
    <definedName name="P_and_L">#REF!</definedName>
    <definedName name="PAS" localSheetId="35">#REF!</definedName>
    <definedName name="PAS" localSheetId="36">#REF!</definedName>
    <definedName name="PAS" localSheetId="8">#REF!</definedName>
    <definedName name="PAS">#REF!</definedName>
    <definedName name="PAS_SH" localSheetId="35">#REF!</definedName>
    <definedName name="PAS_SH" localSheetId="36">#REF!</definedName>
    <definedName name="PAS_SH" localSheetId="8">#REF!</definedName>
    <definedName name="PAS_SH">#REF!</definedName>
    <definedName name="PASIV" localSheetId="35">#REF!</definedName>
    <definedName name="PASIV" localSheetId="36">#REF!</definedName>
    <definedName name="PASIV" localSheetId="8">#REF!</definedName>
    <definedName name="PASIV">#REF!</definedName>
    <definedName name="PASMAD" localSheetId="41">'[1]טורים 98'!$FC$152:$GH$245</definedName>
    <definedName name="PASMAD">'[2]טורים 98'!$FC$152:$GH$245</definedName>
    <definedName name="PERIODSETNAME1">[10]CRITERIA1!$B$4</definedName>
    <definedName name="PERIODSETNAME10">[10]CRITERIA10!$B$4</definedName>
    <definedName name="PERIODSETNAME11">[10]CRITERIA11!$B$4</definedName>
    <definedName name="PERIODSETNAME2">[10]CRITERIA2!$B$4</definedName>
    <definedName name="PERIODSETNAME3">[10]CRITERIA3!$B$4</definedName>
    <definedName name="PERIODSETNAME4">[10]CRITERIA4!$B$4</definedName>
    <definedName name="PERIODSETNAME5">[10]CRITERIA5!$B$4</definedName>
    <definedName name="PERIODSETNAME6">[10]CRITERIA6!$B$4</definedName>
    <definedName name="PERIODSETNAME7">[10]CRITERIA7!$B$4</definedName>
    <definedName name="PERIODSETNAME8">[10]CRITERIA8!$B$4</definedName>
    <definedName name="PERIODSETNAME9">[10]CRITERIA9!$B$4</definedName>
    <definedName name="pk" localSheetId="35">#REF!</definedName>
    <definedName name="pk" localSheetId="36">#REF!</definedName>
    <definedName name="pk" localSheetId="8">#REF!</definedName>
    <definedName name="pk">#REF!</definedName>
    <definedName name="pkudot" localSheetId="35">#REF!</definedName>
    <definedName name="pkudot" localSheetId="36">#REF!</definedName>
    <definedName name="pkudot" localSheetId="8">#REF!</definedName>
    <definedName name="pkudot">#REF!</definedName>
    <definedName name="PL" localSheetId="35">#REF!</definedName>
    <definedName name="PL" localSheetId="36">#REF!</definedName>
    <definedName name="PL" localSheetId="8">#REF!</definedName>
    <definedName name="PL">#REF!</definedName>
    <definedName name="PL_con">'[12]דוח מתכונת הגשה מאוחד'!$I$45:$M$78</definedName>
    <definedName name="PL_Solo">'[12]דוח מתכונת הגשה סולו ישראל'!$I$79:$M$167</definedName>
    <definedName name="PLMAD" localSheetId="41">'[1]טורים 98'!$FC$250:$GH$333</definedName>
    <definedName name="PLMAD">'[2]טורים 98'!$FC$250:$GH$333</definedName>
    <definedName name="PN" localSheetId="35">#REF!</definedName>
    <definedName name="PN" localSheetId="36">#REF!</definedName>
    <definedName name="PN" localSheetId="8">#REF!</definedName>
    <definedName name="PN">#REF!</definedName>
    <definedName name="pn_bv" localSheetId="35">#REF!</definedName>
    <definedName name="pn_bv" localSheetId="36">#REF!</definedName>
    <definedName name="pn_bv" localSheetId="8">#REF!</definedName>
    <definedName name="pn_bv">#REF!</definedName>
    <definedName name="pn_con" localSheetId="35">#REF!</definedName>
    <definedName name="pn_con" localSheetId="36">#REF!</definedName>
    <definedName name="pn_con" localSheetId="8">#REF!</definedName>
    <definedName name="pn_con">#REF!</definedName>
    <definedName name="pn_nv" localSheetId="35">#REF!</definedName>
    <definedName name="pn_nv" localSheetId="36">#REF!</definedName>
    <definedName name="pn_nv" localSheetId="8">#REF!</definedName>
    <definedName name="pn_nv">#REF!</definedName>
    <definedName name="pn_proform" localSheetId="35">#REF!</definedName>
    <definedName name="pn_proform" localSheetId="36">#REF!</definedName>
    <definedName name="pn_proform" localSheetId="8">#REF!</definedName>
    <definedName name="pn_proform">#REF!</definedName>
    <definedName name="POSTERRORSTOSUSP1">[10]CRITERIA1!$B$34</definedName>
    <definedName name="POSTERRORSTOSUSP10">[10]CRITERIA10!$B$34</definedName>
    <definedName name="POSTERRORSTOSUSP11">[10]CRITERIA11!$B$34</definedName>
    <definedName name="POSTERRORSTOSUSP2">[10]CRITERIA2!$B$34</definedName>
    <definedName name="POSTERRORSTOSUSP3">[10]CRITERIA3!$B$34</definedName>
    <definedName name="POSTERRORSTOSUSP4">[10]CRITERIA4!$B$34</definedName>
    <definedName name="POSTERRORSTOSUSP5">[10]CRITERIA5!$B$34</definedName>
    <definedName name="POSTERRORSTOSUSP6">[10]CRITERIA6!$B$34</definedName>
    <definedName name="POSTERRORSTOSUSP7">[10]CRITERIA7!$B$34</definedName>
    <definedName name="POSTERRORSTOSUSP8">[10]CRITERIA8!$B$34</definedName>
    <definedName name="POSTERRORSTOSUSP9">[10]CRITERIA9!$B$34</definedName>
    <definedName name="pr_2003" localSheetId="35">#REF!</definedName>
    <definedName name="pr_2003" localSheetId="36">#REF!</definedName>
    <definedName name="pr_2003" localSheetId="8">#REF!</definedName>
    <definedName name="pr_2003">#REF!</definedName>
    <definedName name="price" localSheetId="35">#REF!</definedName>
    <definedName name="price" localSheetId="36">#REF!</definedName>
    <definedName name="price" localSheetId="8">#REF!</definedName>
    <definedName name="price">#REF!</definedName>
    <definedName name="print_2003" localSheetId="35">#REF!</definedName>
    <definedName name="print_2003" localSheetId="36">#REF!</definedName>
    <definedName name="print_2003" localSheetId="8">#REF!</definedName>
    <definedName name="print_2003">#REF!</definedName>
    <definedName name="print_2004" localSheetId="35">#REF!</definedName>
    <definedName name="print_2004" localSheetId="36">#REF!</definedName>
    <definedName name="print_2004" localSheetId="8">#REF!</definedName>
    <definedName name="print_2004">#REF!</definedName>
    <definedName name="print_2005" localSheetId="35">#REF!</definedName>
    <definedName name="print_2005" localSheetId="36">#REF!</definedName>
    <definedName name="print_2005" localSheetId="8">#REF!</definedName>
    <definedName name="print_2005">#REF!</definedName>
    <definedName name="_xlnm.Print_Area" localSheetId="43">'1235'!$A$1:$I$71</definedName>
    <definedName name="_xlnm.Print_Area" localSheetId="12">AE!$A$1:$I$59</definedName>
    <definedName name="_xlnm.Print_Area" localSheetId="2">BS!$A$1:$D$49</definedName>
    <definedName name="_xlnm.Print_Area" localSheetId="4">CF!$A$1:$F$43</definedName>
    <definedName name="_xlnm.Print_Area" localSheetId="7">Equity!$A$1:$Q$21</definedName>
    <definedName name="_xlnm.Print_Area" localSheetId="11">'GMBH P&amp;L 12.2022'!$A$1:$I$80</definedName>
    <definedName name="_xlnm.Print_Area" localSheetId="14">'GMBH P&amp;L 12.2022 (2)'!$A$1:$I$79</definedName>
    <definedName name="_xlnm.Print_Area" localSheetId="0">'Master Data (do not print)'!$A$1:$C$28</definedName>
    <definedName name="_xlnm.Print_Area" localSheetId="5">NotesBS!$A$1:$D$65</definedName>
    <definedName name="_xlnm.Print_Area" localSheetId="6">'NotesP&amp;L'!$A$1:$G$64</definedName>
    <definedName name="_xlnm.Print_Area" localSheetId="3">'P&amp;L'!$A$1:$I$40</definedName>
    <definedName name="_xlnm.Print_Area" localSheetId="8">SAP!$A$1:$L$65</definedName>
    <definedName name="_xlnm.Print_Area" localSheetId="9">'SAP DRAFT'!$A$1:$O$351</definedName>
    <definedName name="_xlnm.Print_Area" localSheetId="41">'מו"פ - נספח'!$B$1:$E$15</definedName>
    <definedName name="Print_Area_MI" localSheetId="35">#REF!</definedName>
    <definedName name="Print_Area_MI" localSheetId="36">#REF!</definedName>
    <definedName name="Print_Area_MI" localSheetId="8">#REF!</definedName>
    <definedName name="Print_Area_MI" localSheetId="41">#REF!</definedName>
    <definedName name="Print_Area_MI">#REF!</definedName>
    <definedName name="_xlnm.Print_Titles" localSheetId="5">NotesBS!$1:$3</definedName>
    <definedName name="_xlnm.Print_Titles" localSheetId="6">'NotesP&amp;L'!$1:$2</definedName>
    <definedName name="print2001" localSheetId="35">#REF!</definedName>
    <definedName name="print2001" localSheetId="36">#REF!</definedName>
    <definedName name="print2001" localSheetId="8">#REF!</definedName>
    <definedName name="print2001">#REF!</definedName>
    <definedName name="print2003" localSheetId="35">#REF!</definedName>
    <definedName name="print2003" localSheetId="36">#REF!</definedName>
    <definedName name="print2003" localSheetId="8">#REF!</definedName>
    <definedName name="print2003">#REF!</definedName>
    <definedName name="print2004" localSheetId="35">#REF!</definedName>
    <definedName name="print2004" localSheetId="36">#REF!</definedName>
    <definedName name="print2004" localSheetId="8">#REF!</definedName>
    <definedName name="print2004">#REF!</definedName>
    <definedName name="print2005" localSheetId="35">#REF!</definedName>
    <definedName name="print2005" localSheetId="36">#REF!</definedName>
    <definedName name="print2005" localSheetId="8">#REF!</definedName>
    <definedName name="print2005">#REF!</definedName>
    <definedName name="PRN" localSheetId="35">#REF!</definedName>
    <definedName name="PRN" localSheetId="36">#REF!</definedName>
    <definedName name="PRN" localSheetId="8">#REF!</definedName>
    <definedName name="PRN" localSheetId="41">#REF!</definedName>
    <definedName name="PRN">#REF!</definedName>
    <definedName name="PRND" localSheetId="35">#REF!</definedName>
    <definedName name="PRND" localSheetId="36">#REF!</definedName>
    <definedName name="PRND" localSheetId="8">#REF!</definedName>
    <definedName name="PRND" localSheetId="41">#REF!</definedName>
    <definedName name="PRND">#REF!</definedName>
    <definedName name="product" localSheetId="35">#REF!</definedName>
    <definedName name="product" localSheetId="36">#REF!</definedName>
    <definedName name="product" localSheetId="8">#REF!</definedName>
    <definedName name="product">#REF!</definedName>
    <definedName name="Production_exp._per_unit" localSheetId="35">#REF!</definedName>
    <definedName name="Production_exp._per_unit" localSheetId="36">#REF!</definedName>
    <definedName name="Production_exp._per_unit" localSheetId="8">#REF!</definedName>
    <definedName name="Production_exp._per_unit">#REF!</definedName>
    <definedName name="Proff._Services___CMG" localSheetId="35">'[18]Revenue detailed Projection'!#REF!</definedName>
    <definedName name="Proff._Services___CMG" localSheetId="36">'[18]Revenue detailed Projection'!#REF!</definedName>
    <definedName name="Proff._Services___CMG" localSheetId="8">'[18]Revenue detailed Projection'!#REF!</definedName>
    <definedName name="Proff._Services___CMG">'[18]Revenue detailed Projection'!#REF!</definedName>
    <definedName name="Proff._Services___Ericsson___global" localSheetId="35">'[18]Revenue detailed Projection'!#REF!</definedName>
    <definedName name="Proff._Services___Ericsson___global" localSheetId="36">'[18]Revenue detailed Projection'!#REF!</definedName>
    <definedName name="Proff._Services___Ericsson___global" localSheetId="8">'[18]Revenue detailed Projection'!#REF!</definedName>
    <definedName name="Proff._Services___Ericsson___global">'[18]Revenue detailed Projection'!#REF!</definedName>
    <definedName name="Proff._Services___Ericsson_Italy" localSheetId="35">'[18]Revenue detailed Projection'!#REF!</definedName>
    <definedName name="Proff._Services___Ericsson_Italy" localSheetId="36">'[18]Revenue detailed Projection'!#REF!</definedName>
    <definedName name="Proff._Services___Ericsson_Italy" localSheetId="8">'[18]Revenue detailed Projection'!#REF!</definedName>
    <definedName name="Proff._Services___Ericsson_Italy">'[18]Revenue detailed Projection'!#REF!</definedName>
    <definedName name="Proff._Services___Ericsson_Spain" localSheetId="35">'[18]Revenue detailed Projection'!#REF!</definedName>
    <definedName name="Proff._Services___Ericsson_Spain" localSheetId="36">'[18]Revenue detailed Projection'!#REF!</definedName>
    <definedName name="Proff._Services___Ericsson_Spain" localSheetId="8">'[18]Revenue detailed Projection'!#REF!</definedName>
    <definedName name="Proff._Services___Ericsson_Spain">'[18]Revenue detailed Projection'!#REF!</definedName>
    <definedName name="Proff._Services___Excem_France" localSheetId="8">'[18]Revenue detailed Projection'!#REF!</definedName>
    <definedName name="Proff._Services___Excem_France">'[18]Revenue detailed Projection'!#REF!</definedName>
    <definedName name="Proff._Services___Excem_Spain" localSheetId="8">'[18]Revenue detailed Projection'!#REF!</definedName>
    <definedName name="Proff._Services___Excem_Spain">'[18]Revenue detailed Projection'!#REF!</definedName>
    <definedName name="Proff._Services___Mitsui__BSI" localSheetId="8">'[18]Revenue detailed Projection'!#REF!</definedName>
    <definedName name="Proff._Services___Mitsui__BSI">'[18]Revenue detailed Projection'!#REF!</definedName>
    <definedName name="Proff._Services___Other_1" localSheetId="8">'[18]Revenue detailed Projection'!#REF!</definedName>
    <definedName name="Proff._Services___Other_1">'[18]Revenue detailed Projection'!#REF!</definedName>
    <definedName name="Proff._Services___Other_2" localSheetId="8">'[18]Revenue detailed Projection'!#REF!</definedName>
    <definedName name="Proff._Services___Other_2">'[18]Revenue detailed Projection'!#REF!</definedName>
    <definedName name="Proff._Services___Other_3" localSheetId="8">'[18]Revenue detailed Projection'!#REF!</definedName>
    <definedName name="Proff._Services___Other_3">'[18]Revenue detailed Projection'!#REF!</definedName>
    <definedName name="Proff._Services___SchlumbergerSema" localSheetId="8">'[18]Revenue detailed Projection'!#REF!</definedName>
    <definedName name="Proff._Services___SchlumbergerSema">'[18]Revenue detailed Projection'!#REF!</definedName>
    <definedName name="Proff._Services___Sony__NSBCE" localSheetId="8">'[18]Revenue detailed Projection'!#REF!</definedName>
    <definedName name="Proff._Services___Sony__NSBCE">'[18]Revenue detailed Projection'!#REF!</definedName>
    <definedName name="Proff._Services___Technomen" localSheetId="8">'[18]Revenue detailed Projection'!#REF!</definedName>
    <definedName name="Proff._Services___Technomen">'[18]Revenue detailed Projection'!#REF!</definedName>
    <definedName name="Proff._Services___Unisys" localSheetId="8">'[18]Revenue detailed Projection'!#REF!</definedName>
    <definedName name="Proff._Services___Unisys">'[18]Revenue detailed Projection'!#REF!</definedName>
    <definedName name="PROFIT" localSheetId="35">#REF!</definedName>
    <definedName name="PROFIT" localSheetId="36">#REF!</definedName>
    <definedName name="PROFIT" localSheetId="8">#REF!</definedName>
    <definedName name="PROFIT">#REF!</definedName>
    <definedName name="Project1" localSheetId="8">'[38]Xtend 8dig Budget Code (Short)'!#REF!</definedName>
    <definedName name="Project1">'[38]Xtend 8dig Budget Code (Short)'!#REF!</definedName>
    <definedName name="project4" localSheetId="8">'[38]Xtend 8dig Budget Code (Short)'!#REF!</definedName>
    <definedName name="project4">'[38]Xtend 8dig Budget Code (Short)'!#REF!</definedName>
    <definedName name="purchase_assets">'[28]מעגל רכוש קבוע'!$L$11</definedName>
    <definedName name="PWאקטיב" localSheetId="35">#REF!</definedName>
    <definedName name="PWאקטיב" localSheetId="36">#REF!</definedName>
    <definedName name="PWאקטיב" localSheetId="8">#REF!</definedName>
    <definedName name="PWאקטיב">#REF!</definedName>
    <definedName name="PWפאסיב" localSheetId="35">#REF!</definedName>
    <definedName name="PWפאסיב" localSheetId="36">#REF!</definedName>
    <definedName name="PWפאסיב" localSheetId="8">#REF!</definedName>
    <definedName name="PWפאסיב">#REF!</definedName>
    <definedName name="PWרוח" localSheetId="35">#REF!</definedName>
    <definedName name="PWרוח" localSheetId="36">#REF!</definedName>
    <definedName name="PWרוח" localSheetId="8">#REF!</definedName>
    <definedName name="PWרוח">#REF!</definedName>
    <definedName name="QRevenue" localSheetId="35">#REF!</definedName>
    <definedName name="QRevenue" localSheetId="36">#REF!</definedName>
    <definedName name="QRevenue" localSheetId="8">#REF!</definedName>
    <definedName name="QRevenue">#REF!</definedName>
    <definedName name="Quarterly_Inflation" localSheetId="35">#REF!</definedName>
    <definedName name="Quarterly_Inflation" localSheetId="36">#REF!</definedName>
    <definedName name="Quarterly_Inflation" localSheetId="8">#REF!</definedName>
    <definedName name="Quarterly_Inflation">#REF!</definedName>
    <definedName name="rate" localSheetId="35">'[8]Temp 2'!#REF!</definedName>
    <definedName name="rate" localSheetId="36">'[8]Temp 2'!#REF!</definedName>
    <definedName name="rate" localSheetId="8">'[8]Temp 2'!#REF!</definedName>
    <definedName name="rate">'[8]Temp 2'!#REF!</definedName>
    <definedName name="rate2" localSheetId="35">'[8]Temp 2'!#REF!</definedName>
    <definedName name="rate2" localSheetId="36">'[8]Temp 2'!#REF!</definedName>
    <definedName name="rate2" localSheetId="8">'[8]Temp 2'!#REF!</definedName>
    <definedName name="rate2">'[8]Temp 2'!#REF!</definedName>
    <definedName name="RECON" localSheetId="35">#REF!</definedName>
    <definedName name="RECON" localSheetId="36">#REF!</definedName>
    <definedName name="RECON" localSheetId="8">#REF!</definedName>
    <definedName name="RECON">#REF!</definedName>
    <definedName name="_xlnm.Recorder" localSheetId="35">#REF!</definedName>
    <definedName name="_xlnm.Recorder" localSheetId="36">#REF!</definedName>
    <definedName name="_xlnm.Recorder" localSheetId="8">#REF!</definedName>
    <definedName name="_xlnm.Recorder">#REF!</definedName>
    <definedName name="Reps" localSheetId="35">#REF!</definedName>
    <definedName name="Reps" localSheetId="36">#REF!</definedName>
    <definedName name="Reps" localSheetId="8">#REF!</definedName>
    <definedName name="Reps">#REF!</definedName>
    <definedName name="RESPONSIBILITYAPPLICATIONID1">[10]CRITERIA1!$B$7</definedName>
    <definedName name="RESPONSIBILITYAPPLICATIONID10">[10]CRITERIA10!$B$7</definedName>
    <definedName name="RESPONSIBILITYAPPLICATIONID11">[10]CRITERIA11!$B$7</definedName>
    <definedName name="RESPONSIBILITYAPPLICATIONID2">[10]CRITERIA2!$B$7</definedName>
    <definedName name="RESPONSIBILITYAPPLICATIONID3">[10]CRITERIA3!$B$7</definedName>
    <definedName name="RESPONSIBILITYAPPLICATIONID4">[10]CRITERIA4!$B$7</definedName>
    <definedName name="RESPONSIBILITYAPPLICATIONID5">[10]CRITERIA5!$B$7</definedName>
    <definedName name="RESPONSIBILITYAPPLICATIONID6">[10]CRITERIA6!$B$7</definedName>
    <definedName name="RESPONSIBILITYAPPLICATIONID7">[10]CRITERIA7!$B$7</definedName>
    <definedName name="RESPONSIBILITYAPPLICATIONID8">[10]CRITERIA8!$B$7</definedName>
    <definedName name="RESPONSIBILITYAPPLICATIONID9">[10]CRITERIA9!$B$7</definedName>
    <definedName name="RESPONSIBILITYID1">[10]CRITERIA1!$B$8</definedName>
    <definedName name="RESPONSIBILITYID10">[10]CRITERIA10!$B$8</definedName>
    <definedName name="RESPONSIBILITYID11">[10]CRITERIA11!$B$8</definedName>
    <definedName name="RESPONSIBILITYID2">[10]CRITERIA2!$B$8</definedName>
    <definedName name="RESPONSIBILITYID3">[10]CRITERIA3!$B$8</definedName>
    <definedName name="RESPONSIBILITYID4">[10]CRITERIA4!$B$8</definedName>
    <definedName name="RESPONSIBILITYID5">[10]CRITERIA5!$B$8</definedName>
    <definedName name="RESPONSIBILITYID6">[10]CRITERIA6!$B$8</definedName>
    <definedName name="RESPONSIBILITYID7">[10]CRITERIA7!$B$8</definedName>
    <definedName name="RESPONSIBILITYID8">[10]CRITERIA8!$B$8</definedName>
    <definedName name="RESPONSIBILITYID9">[10]CRITERIA9!$B$8</definedName>
    <definedName name="RESPONSIBILITYNAME1">[10]CRITERIA1!$B$6</definedName>
    <definedName name="RESPONSIBILITYNAME10">[10]CRITERIA10!$B$6</definedName>
    <definedName name="RESPONSIBILITYNAME11">[10]CRITERIA11!$B$6</definedName>
    <definedName name="RESPONSIBILITYNAME2">[10]CRITERIA2!$B$6</definedName>
    <definedName name="RESPONSIBILITYNAME3">[10]CRITERIA3!$B$6</definedName>
    <definedName name="RESPONSIBILITYNAME4">[10]CRITERIA4!$B$6</definedName>
    <definedName name="RESPONSIBILITYNAME5">[10]CRITERIA5!$B$6</definedName>
    <definedName name="RESPONSIBILITYNAME6">[10]CRITERIA6!$B$6</definedName>
    <definedName name="RESPONSIBILITYNAME7">[10]CRITERIA7!$B$6</definedName>
    <definedName name="RESPONSIBILITYNAME8">[10]CRITERIA8!$B$6</definedName>
    <definedName name="RESPONSIBILITYNAME9">[10]CRITERIA9!$B$6</definedName>
    <definedName name="REUT" localSheetId="43">{"סעיף",0,"Auto","Auto",""}</definedName>
    <definedName name="REUT" localSheetId="35">{"סעיף",0,"Auto","Auto",""}</definedName>
    <definedName name="REUT" localSheetId="36">{"סעיף",0,"Auto","Auto",""}</definedName>
    <definedName name="REUT">{"סעיף",0,"Auto","Auto",""}</definedName>
    <definedName name="REV" localSheetId="8">#REF!</definedName>
    <definedName name="REV">#REF!</definedName>
    <definedName name="REV_SH" localSheetId="35">#REF!</definedName>
    <definedName name="REV_SH" localSheetId="36">#REF!</definedName>
    <definedName name="REV_SH" localSheetId="8">#REF!</definedName>
    <definedName name="REV_SH">#REF!</definedName>
    <definedName name="REVAH" localSheetId="35">#REF!</definedName>
    <definedName name="REVAH" localSheetId="36">#REF!</definedName>
    <definedName name="REVAH" localSheetId="8">#REF!</definedName>
    <definedName name="REVAH">#REF!</definedName>
    <definedName name="Revah_merged" localSheetId="35">#REF!</definedName>
    <definedName name="Revah_merged" localSheetId="36">#REF!</definedName>
    <definedName name="Revah_merged" localSheetId="8">#REF!</definedName>
    <definedName name="Revah_merged">#REF!</definedName>
    <definedName name="rfr" localSheetId="35">#REF!</definedName>
    <definedName name="rfr" localSheetId="36">#REF!</definedName>
    <definedName name="rfr" localSheetId="8">#REF!</definedName>
    <definedName name="rfr">#REF!</definedName>
    <definedName name="RIVIN_ALIS" localSheetId="41">'[1]טורים 98'!$AL$423:$BG$509</definedName>
    <definedName name="RIVIN_ALIS">'[2]טורים 98'!$AL$423:$BG$509</definedName>
    <definedName name="RIVON_BANOT" localSheetId="41">'[1]טורים 98'!$A$338:$AP$421</definedName>
    <definedName name="RIVON_BANOT">'[2]טורים 98'!$A$338:$AP$421</definedName>
    <definedName name="RIVON_MEUCHAD" localSheetId="41">'[1]טורים 98'!$A$423:$AU$509</definedName>
    <definedName name="RIVON_MEUCHAD">'[2]טורים 98'!$A$423:$AU$509</definedName>
    <definedName name="RIVON_MEUCHAD2" localSheetId="41">'[1]טורים 98'!$A$423:$AJ$508</definedName>
    <definedName name="RIVON_MEUCHAD2">'[2]טורים 98'!$A$423:$AJ$508</definedName>
    <definedName name="RN" localSheetId="35">#REF!</definedName>
    <definedName name="RN" localSheetId="36">#REF!</definedName>
    <definedName name="RN" localSheetId="8">#REF!</definedName>
    <definedName name="RN">#REF!</definedName>
    <definedName name="round" localSheetId="35">#REF!</definedName>
    <definedName name="round" localSheetId="36">#REF!</definedName>
    <definedName name="round" localSheetId="8">#REF!</definedName>
    <definedName name="round">#REF!</definedName>
    <definedName name="rows_array" localSheetId="43">{"סעיף",0,"Auto","Auto",""}</definedName>
    <definedName name="rows_array" localSheetId="35">{"סעיף",0,"Auto","Auto",""}</definedName>
    <definedName name="rows_array" localSheetId="36">{"סעיף",0,"Auto","Auto",""}</definedName>
    <definedName name="rows_array">{"סעיף",0,"Auto","Auto",""}</definedName>
    <definedName name="rows_array00" localSheetId="43">{"סעיף",0,"Auto","Auto",""}</definedName>
    <definedName name="rows_array00" localSheetId="35">{"סעיף",0,"Auto","Auto",""}</definedName>
    <definedName name="rows_array00" localSheetId="36">{"סעיף",0,"Auto","Auto",""}</definedName>
    <definedName name="rows_array00">{"סעיף",0,"Auto","Auto",""}</definedName>
    <definedName name="rowsa" localSheetId="43">{"סעיף",0,"Auto","Auto",""}</definedName>
    <definedName name="rowsa" localSheetId="35">{"סעיף",0,"Auto","Auto",""}</definedName>
    <definedName name="rowsa" localSheetId="36">{"סעיף",0,"Auto","Auto",""}</definedName>
    <definedName name="rowsa">{"סעיף",0,"Auto","Auto",""}</definedName>
    <definedName name="ROWSTOUPLOAD1">[10]CRITERIA1!$B$20</definedName>
    <definedName name="ROWSTOUPLOAD10">[10]CRITERIA10!$B$20</definedName>
    <definedName name="ROWSTOUPLOAD11">[10]CRITERIA11!$B$20</definedName>
    <definedName name="ROWSTOUPLOAD2">[10]CRITERIA2!$B$20</definedName>
    <definedName name="ROWSTOUPLOAD3">[10]CRITERIA3!$B$20</definedName>
    <definedName name="ROWSTOUPLOAD4">[10]CRITERIA4!$B$20</definedName>
    <definedName name="ROWSTOUPLOAD5">[10]CRITERIA5!$B$20</definedName>
    <definedName name="ROWSTOUPLOAD6">[10]CRITERIA6!$B$20</definedName>
    <definedName name="ROWSTOUPLOAD7">[10]CRITERIA7!$B$20</definedName>
    <definedName name="ROWSTOUPLOAD8">[10]CRITERIA8!$B$20</definedName>
    <definedName name="ROWSTOUPLOAD9">[10]CRITERIA9!$B$20</definedName>
    <definedName name="SAC" localSheetId="41">'[1]טורים 98'!$AZ$1:$CX$151</definedName>
    <definedName name="SAC">'[2]טורים 98'!$AZ$1:$CX$151</definedName>
    <definedName name="Sales.GA" localSheetId="35">#REF!</definedName>
    <definedName name="Sales.GA" localSheetId="36">#REF!</definedName>
    <definedName name="Sales.GA" localSheetId="8">#REF!</definedName>
    <definedName name="Sales.GA">#REF!</definedName>
    <definedName name="Sales_Level" localSheetId="35">#REF!</definedName>
    <definedName name="Sales_Level" localSheetId="36">#REF!</definedName>
    <definedName name="Sales_Level" localSheetId="8">#REF!</definedName>
    <definedName name="Sales_Level">#REF!</definedName>
    <definedName name="SEbase" localSheetId="35">#REF!</definedName>
    <definedName name="SEbase" localSheetId="36">#REF!</definedName>
    <definedName name="SEbase" localSheetId="8">#REF!</definedName>
    <definedName name="SEbase">#REF!</definedName>
    <definedName name="selecting_touch">"לחצן 4"</definedName>
    <definedName name="SETOFBOOKSID1">[10]CRITERIA1!$B$1</definedName>
    <definedName name="SETOFBOOKSID10">[10]CRITERIA10!$B$1</definedName>
    <definedName name="SETOFBOOKSID11">[10]CRITERIA11!$B$1</definedName>
    <definedName name="SETOFBOOKSID2">[10]CRITERIA2!$B$1</definedName>
    <definedName name="SETOFBOOKSID3">[10]CRITERIA3!$B$1</definedName>
    <definedName name="SETOFBOOKSID4">[10]CRITERIA4!$B$1</definedName>
    <definedName name="SETOFBOOKSID5">[10]CRITERIA5!$B$1</definedName>
    <definedName name="SETOFBOOKSID6">[10]CRITERIA6!$B$1</definedName>
    <definedName name="SETOFBOOKSID7">[10]CRITERIA7!$B$1</definedName>
    <definedName name="SETOFBOOKSID8">[10]CRITERIA8!$B$1</definedName>
    <definedName name="SETOFBOOKSID9">[10]CRITERIA9!$B$1</definedName>
    <definedName name="SETOFBOOKSNAME1">[10]CRITERIA1!$B$2</definedName>
    <definedName name="SETOFBOOKSNAME10">[10]CRITERIA10!$B$2</definedName>
    <definedName name="SETOFBOOKSNAME11">[10]CRITERIA11!$B$2</definedName>
    <definedName name="SETOFBOOKSNAME2">[10]CRITERIA2!$B$2</definedName>
    <definedName name="SETOFBOOKSNAME3">[10]CRITERIA3!$B$2</definedName>
    <definedName name="SETOFBOOKSNAME4">[10]CRITERIA4!$B$2</definedName>
    <definedName name="SETOFBOOKSNAME5">[10]CRITERIA5!$B$2</definedName>
    <definedName name="SETOFBOOKSNAME6">[10]CRITERIA6!$B$2</definedName>
    <definedName name="SETOFBOOKSNAME7">[10]CRITERIA7!$B$2</definedName>
    <definedName name="SETOFBOOKSNAME8">[10]CRITERIA8!$B$2</definedName>
    <definedName name="SETOFBOOKSNAME9">[10]CRITERIA9!$B$2</definedName>
    <definedName name="SMM" localSheetId="41">'[1]טורים 98'!$GT$20</definedName>
    <definedName name="SMM">'[2]טורים 98'!$GT$20</definedName>
    <definedName name="SPR" localSheetId="41">'[1]טורים 98'!$AZ$250:$CX$336</definedName>
    <definedName name="SPR">'[2]טורים 98'!$AZ$250:$CX$336</definedName>
    <definedName name="SPS" localSheetId="41">'[1]טורים 98'!$AZ$154:$CX$246</definedName>
    <definedName name="SPS">'[2]טורים 98'!$AZ$154:$CX$246</definedName>
    <definedName name="ss" localSheetId="35">#REF!</definedName>
    <definedName name="ss" localSheetId="36">#REF!</definedName>
    <definedName name="ss" localSheetId="8">#REF!</definedName>
    <definedName name="ss">#REF!</definedName>
    <definedName name="staff" localSheetId="35">#REF!</definedName>
    <definedName name="staff" localSheetId="36">#REF!</definedName>
    <definedName name="staff" localSheetId="8">#REF!</definedName>
    <definedName name="staff">#REF!</definedName>
    <definedName name="STARTJOURNALIMPORT1">[10]CRITERIA1!$B$21</definedName>
    <definedName name="STARTJOURNALIMPORT10">[10]CRITERIA10!$B$21</definedName>
    <definedName name="STARTJOURNALIMPORT11">[10]CRITERIA11!$B$21</definedName>
    <definedName name="STARTJOURNALIMPORT2">[10]CRITERIA2!$B$21</definedName>
    <definedName name="STARTJOURNALIMPORT3">[10]CRITERIA3!$B$21</definedName>
    <definedName name="STARTJOURNALIMPORT4">[10]CRITERIA4!$B$21</definedName>
    <definedName name="STARTJOURNALIMPORT5">[10]CRITERIA5!$B$21</definedName>
    <definedName name="STARTJOURNALIMPORT6">[10]CRITERIA6!$B$21</definedName>
    <definedName name="STARTJOURNALIMPORT7">[10]CRITERIA7!$B$21</definedName>
    <definedName name="STARTJOURNALIMPORT8">[10]CRITERIA8!$B$21</definedName>
    <definedName name="STARTJOURNALIMPORT9">[10]CRITERIA9!$B$21</definedName>
    <definedName name="strike" localSheetId="35">#REF!</definedName>
    <definedName name="strike" localSheetId="36">#REF!</definedName>
    <definedName name="strike" localSheetId="8">#REF!</definedName>
    <definedName name="strike">#REF!</definedName>
    <definedName name="T1_" localSheetId="8">'[4]שמ"מ מ"ה'!#REF!</definedName>
    <definedName name="T1_" localSheetId="41">'[5]שמ"מ מ"ה'!#REF!</definedName>
    <definedName name="T1_">'[4]שמ"מ מ"ה'!#REF!</definedName>
    <definedName name="T2_" localSheetId="8">'[4]שמ"מ מ"ה'!#REF!</definedName>
    <definedName name="T2_" localSheetId="41">'[5]שמ"מ מ"ה'!#REF!</definedName>
    <definedName name="T2_">'[4]שמ"מ מ"ה'!#REF!</definedName>
    <definedName name="T3_" localSheetId="8">'[4]שמ"מ מ"ה'!#REF!</definedName>
    <definedName name="T3_" localSheetId="41">'[5]שמ"מ מ"ה'!#REF!</definedName>
    <definedName name="T3_">'[4]שמ"מ מ"ה'!#REF!</definedName>
    <definedName name="T5_" localSheetId="8">'[4]שמ"מ מ"ה'!#REF!</definedName>
    <definedName name="T5_" localSheetId="41">'[5]שמ"מ מ"ה'!#REF!</definedName>
    <definedName name="T5_">'[4]שמ"מ מ"ה'!#REF!</definedName>
    <definedName name="T6_" localSheetId="8">'[4]שמ"מ מ"ה'!#REF!</definedName>
    <definedName name="T6_" localSheetId="41">'[5]שמ"מ מ"ה'!#REF!</definedName>
    <definedName name="T6_">'[4]שמ"מ מ"ה'!#REF!</definedName>
    <definedName name="TABDOL" localSheetId="35">#REF!</definedName>
    <definedName name="TABDOL" localSheetId="36">#REF!</definedName>
    <definedName name="TABDOL" localSheetId="8">#REF!</definedName>
    <definedName name="TABDOL">#REF!</definedName>
    <definedName name="TABLA" localSheetId="35">#REF!</definedName>
    <definedName name="TABLA" localSheetId="36">#REF!</definedName>
    <definedName name="TABLA" localSheetId="8">#REF!</definedName>
    <definedName name="TABLA">#REF!</definedName>
    <definedName name="TABLE" localSheetId="41">#REF!</definedName>
    <definedName name="table">'[39]מ.ב.'!$A$3:$H$93</definedName>
    <definedName name="TableName">"Dummy"</definedName>
    <definedName name="TB" localSheetId="8">'[40]TB 2012'!#REF!</definedName>
    <definedName name="TB">'[40]TB 2012'!#REF!</definedName>
    <definedName name="temp" localSheetId="43">{"סעיף",0,"Auto","Auto",""}</definedName>
    <definedName name="temp" localSheetId="35">{"סעיף",0,"Auto","Auto",""}</definedName>
    <definedName name="temp" localSheetId="36">{"סעיף",0,"Auto","Auto",""}</definedName>
    <definedName name="temp">{"סעיף",0,"Auto","Auto",""}</definedName>
    <definedName name="temp1" localSheetId="43">{"חובה","SUM(חובה)","YNNNN",FALSE}</definedName>
    <definedName name="temp1" localSheetId="35">{"חובה","SUM(חובה)","YNNNN",FALSE}</definedName>
    <definedName name="temp1" localSheetId="36">{"חובה","SUM(חובה)","YNNNN",FALSE}</definedName>
    <definedName name="temp1">{"חובה","SUM(חובה)","YNNNN",FALSE}</definedName>
    <definedName name="TEMPLATENUMBER1">[10]CRITERIA1!$B$32</definedName>
    <definedName name="TEMPLATENUMBER10">[10]CRITERIA10!$B$32</definedName>
    <definedName name="TEMPLATENUMBER11">[10]CRITERIA11!$B$32</definedName>
    <definedName name="TEMPLATENUMBER2">[10]CRITERIA2!$B$32</definedName>
    <definedName name="TEMPLATENUMBER3">[10]CRITERIA3!$B$32</definedName>
    <definedName name="TEMPLATENUMBER4">[10]CRITERIA4!$B$32</definedName>
    <definedName name="TEMPLATENUMBER5">[10]CRITERIA5!$B$32</definedName>
    <definedName name="TEMPLATENUMBER6">[10]CRITERIA6!$B$32</definedName>
    <definedName name="TEMPLATENUMBER7">[10]CRITERIA7!$B$32</definedName>
    <definedName name="TEMPLATENUMBER8">[10]CRITERIA8!$B$32</definedName>
    <definedName name="TEMPLATENUMBER9">[10]CRITERIA9!$B$32</definedName>
    <definedName name="TEMPLATESTYLE1">[10]CRITERIA1!$B$31</definedName>
    <definedName name="TEMPLATESTYLE10">[10]CRITERIA10!$B$31</definedName>
    <definedName name="TEMPLATESTYLE11">[10]CRITERIA11!$B$31</definedName>
    <definedName name="TEMPLATESTYLE2">[10]CRITERIA2!$B$31</definedName>
    <definedName name="TEMPLATESTYLE3">[10]CRITERIA3!$B$31</definedName>
    <definedName name="TEMPLATESTYLE4">[10]CRITERIA4!$B$31</definedName>
    <definedName name="TEMPLATESTYLE5">[10]CRITERIA5!$B$31</definedName>
    <definedName name="TEMPLATESTYLE6">[10]CRITERIA6!$B$31</definedName>
    <definedName name="TEMPLATESTYLE7">[10]CRITERIA7!$B$31</definedName>
    <definedName name="TEMPLATESTYLE8">[10]CRITERIA8!$B$31</definedName>
    <definedName name="TEMPLATESTYLE9">[10]CRITERIA9!$B$31</definedName>
    <definedName name="TEMPLATETYPE1">[10]CRITERIA1!$B$30</definedName>
    <definedName name="TEMPLATETYPE10">[10]CRITERIA10!$B$30</definedName>
    <definedName name="TEMPLATETYPE11">[10]CRITERIA11!$B$30</definedName>
    <definedName name="TEMPLATETYPE2">[10]CRITERIA2!$B$30</definedName>
    <definedName name="TEMPLATETYPE3">[10]CRITERIA3!$B$30</definedName>
    <definedName name="TEMPLATETYPE4">[10]CRITERIA4!$B$30</definedName>
    <definedName name="TEMPLATETYPE5">[10]CRITERIA5!$B$30</definedName>
    <definedName name="TEMPLATETYPE6">[10]CRITERIA6!$B$30</definedName>
    <definedName name="TEMPLATETYPE7">[10]CRITERIA7!$B$30</definedName>
    <definedName name="TEMPLATETYPE8">[10]CRITERIA8!$B$30</definedName>
    <definedName name="TEMPLATETYPE9">[10]CRITERIA9!$B$30</definedName>
    <definedName name="term" localSheetId="35">#REF!</definedName>
    <definedName name="term" localSheetId="36">#REF!</definedName>
    <definedName name="term" localSheetId="8">#REF!</definedName>
    <definedName name="term">#REF!</definedName>
    <definedName name="TF3_E" localSheetId="35">#REF!</definedName>
    <definedName name="TF3_E" localSheetId="36">#REF!</definedName>
    <definedName name="TF3_E" localSheetId="8">#REF!</definedName>
    <definedName name="TF3_E" localSheetId="41">#REF!</definedName>
    <definedName name="TF3_E">#REF!</definedName>
    <definedName name="TF3M" localSheetId="35">#REF!</definedName>
    <definedName name="TF3M" localSheetId="36">#REF!</definedName>
    <definedName name="TF3M" localSheetId="8">#REF!</definedName>
    <definedName name="TF3M" localSheetId="41">#REF!</definedName>
    <definedName name="TF3M">#REF!</definedName>
    <definedName name="TF4_E" localSheetId="35">#REF!</definedName>
    <definedName name="TF4_E" localSheetId="36">#REF!</definedName>
    <definedName name="TF4_E" localSheetId="8">#REF!</definedName>
    <definedName name="TF4_E" localSheetId="41">#REF!</definedName>
    <definedName name="TF4_E">#REF!</definedName>
    <definedName name="TF6_HD" localSheetId="35">#REF!</definedName>
    <definedName name="TF6_HD" localSheetId="36">#REF!</definedName>
    <definedName name="TF6_HD" localSheetId="8">#REF!</definedName>
    <definedName name="TF6_HD">#REF!</definedName>
    <definedName name="TF7_E" localSheetId="35">#REF!</definedName>
    <definedName name="TF7_E" localSheetId="36">#REF!</definedName>
    <definedName name="TF7_E" localSheetId="8">#REF!</definedName>
    <definedName name="TF7_E">#REF!</definedName>
    <definedName name="TF7_HD" localSheetId="35">#REF!</definedName>
    <definedName name="TF7_HD" localSheetId="36">#REF!</definedName>
    <definedName name="TF7_HD" localSheetId="8">#REF!</definedName>
    <definedName name="TF7_HD">#REF!</definedName>
    <definedName name="TF71_E" localSheetId="35">#REF!</definedName>
    <definedName name="TF71_E" localSheetId="36">#REF!</definedName>
    <definedName name="TF71_E" localSheetId="8">#REF!</definedName>
    <definedName name="TF71_E">#REF!</definedName>
    <definedName name="TF71_HD" localSheetId="35">#REF!</definedName>
    <definedName name="TF71_HD" localSheetId="36">#REF!</definedName>
    <definedName name="TF71_HD" localSheetId="8">#REF!</definedName>
    <definedName name="TF71_HD">#REF!</definedName>
    <definedName name="TF71M" localSheetId="35">#REF!</definedName>
    <definedName name="TF71M" localSheetId="36">#REF!</definedName>
    <definedName name="TF71M" localSheetId="8">#REF!</definedName>
    <definedName name="TF71M">#REF!</definedName>
    <definedName name="TF72_E" localSheetId="35">#REF!</definedName>
    <definedName name="TF72_E" localSheetId="36">#REF!</definedName>
    <definedName name="TF72_E" localSheetId="8">#REF!</definedName>
    <definedName name="TF72_E">#REF!</definedName>
    <definedName name="TF72_HD" localSheetId="35">#REF!</definedName>
    <definedName name="TF72_HD" localSheetId="36">#REF!</definedName>
    <definedName name="TF72_HD" localSheetId="8">#REF!</definedName>
    <definedName name="TF72_HD">#REF!</definedName>
    <definedName name="TF72M" localSheetId="35">#REF!</definedName>
    <definedName name="TF72M" localSheetId="36">#REF!</definedName>
    <definedName name="TF72M" localSheetId="8">#REF!</definedName>
    <definedName name="TF72M">#REF!</definedName>
    <definedName name="TF73_E" localSheetId="35">#REF!</definedName>
    <definedName name="TF73_E" localSheetId="36">#REF!</definedName>
    <definedName name="TF73_E" localSheetId="8">#REF!</definedName>
    <definedName name="TF73_E">#REF!</definedName>
    <definedName name="TF73_HD" localSheetId="35">#REF!</definedName>
    <definedName name="TF73_HD" localSheetId="36">#REF!</definedName>
    <definedName name="TF73_HD" localSheetId="8">#REF!</definedName>
    <definedName name="TF73_HD">#REF!</definedName>
    <definedName name="TF73M" localSheetId="35">#REF!</definedName>
    <definedName name="TF73M" localSheetId="36">#REF!</definedName>
    <definedName name="TF73M" localSheetId="8">#REF!</definedName>
    <definedName name="TF73M">#REF!</definedName>
    <definedName name="TF74_E" localSheetId="35">#REF!</definedName>
    <definedName name="TF74_E" localSheetId="36">#REF!</definedName>
    <definedName name="TF74_E" localSheetId="8">#REF!</definedName>
    <definedName name="TF74_E">#REF!</definedName>
    <definedName name="TF74_HD" localSheetId="35">#REF!</definedName>
    <definedName name="TF74_HD" localSheetId="36">#REF!</definedName>
    <definedName name="TF74_HD" localSheetId="8">#REF!</definedName>
    <definedName name="TF74_HD">#REF!</definedName>
    <definedName name="TF74M" localSheetId="35">#REF!</definedName>
    <definedName name="TF74M" localSheetId="36">#REF!</definedName>
    <definedName name="TF74M" localSheetId="8">#REF!</definedName>
    <definedName name="TF74M">#REF!</definedName>
    <definedName name="TF7M" localSheetId="35">#REF!</definedName>
    <definedName name="TF7M" localSheetId="36">#REF!</definedName>
    <definedName name="TF7M" localSheetId="8">#REF!</definedName>
    <definedName name="TF7M">#REF!</definedName>
    <definedName name="titel" localSheetId="35">#REF!</definedName>
    <definedName name="titel" localSheetId="36">#REF!</definedName>
    <definedName name="titel" localSheetId="8">#REF!</definedName>
    <definedName name="titel">#REF!</definedName>
    <definedName name="Total_bonuses_USA" localSheetId="35">#REF!</definedName>
    <definedName name="Total_bonuses_USA" localSheetId="36">#REF!</definedName>
    <definedName name="Total_bonuses_USA" localSheetId="8">#REF!</definedName>
    <definedName name="Total_bonuses_USA">#REF!</definedName>
    <definedName name="Total_commission_USA" localSheetId="35">#REF!</definedName>
    <definedName name="Total_commission_USA" localSheetId="36">#REF!</definedName>
    <definedName name="Total_commission_USA" localSheetId="8">#REF!</definedName>
    <definedName name="Total_commission_USA">#REF!</definedName>
    <definedName name="Total_Israel_Salaries_costs" localSheetId="35">#REF!</definedName>
    <definedName name="Total_Israel_Salaries_costs" localSheetId="36">#REF!</definedName>
    <definedName name="Total_Israel_Salaries_costs" localSheetId="8">#REF!</definedName>
    <definedName name="Total_Israel_Salaries_costs">#REF!</definedName>
    <definedName name="Transcoder_server_no._of_instalations___CMG" localSheetId="35">'[18]Revenue detailed Projection'!#REF!</definedName>
    <definedName name="Transcoder_server_no._of_instalations___CMG" localSheetId="36">'[18]Revenue detailed Projection'!#REF!</definedName>
    <definedName name="Transcoder_server_no._of_instalations___CMG" localSheetId="8">'[18]Revenue detailed Projection'!#REF!</definedName>
    <definedName name="Transcoder_server_no._of_instalations___CMG">'[18]Revenue detailed Projection'!#REF!</definedName>
    <definedName name="Transcoder_server_no._of_instalations___Ericsson___global" localSheetId="35">'[18]Revenue detailed Projection'!#REF!</definedName>
    <definedName name="Transcoder_server_no._of_instalations___Ericsson___global" localSheetId="36">'[18]Revenue detailed Projection'!#REF!</definedName>
    <definedName name="Transcoder_server_no._of_instalations___Ericsson___global" localSheetId="8">'[18]Revenue detailed Projection'!#REF!</definedName>
    <definedName name="Transcoder_server_no._of_instalations___Ericsson___global">'[18]Revenue detailed Projection'!#REF!</definedName>
    <definedName name="Transcoder_server_no._of_instalations___Ericsson_Italy" localSheetId="35">'[18]Revenue detailed Projection'!#REF!</definedName>
    <definedName name="Transcoder_server_no._of_instalations___Ericsson_Italy" localSheetId="36">'[18]Revenue detailed Projection'!#REF!</definedName>
    <definedName name="Transcoder_server_no._of_instalations___Ericsson_Italy" localSheetId="8">'[18]Revenue detailed Projection'!#REF!</definedName>
    <definedName name="Transcoder_server_no._of_instalations___Ericsson_Italy">'[18]Revenue detailed Projection'!#REF!</definedName>
    <definedName name="Transcoder_server_no._of_instalations___Ericsson_Spain" localSheetId="35">'[18]Revenue detailed Projection'!#REF!</definedName>
    <definedName name="Transcoder_server_no._of_instalations___Ericsson_Spain" localSheetId="36">'[18]Revenue detailed Projection'!#REF!</definedName>
    <definedName name="Transcoder_server_no._of_instalations___Ericsson_Spain" localSheetId="8">'[18]Revenue detailed Projection'!#REF!</definedName>
    <definedName name="Transcoder_server_no._of_instalations___Ericsson_Spain">'[18]Revenue detailed Projection'!#REF!</definedName>
    <definedName name="Transcoder_server_no._of_instalations___Excem_France" localSheetId="8">'[18]Revenue detailed Projection'!#REF!</definedName>
    <definedName name="Transcoder_server_no._of_instalations___Excem_France">'[18]Revenue detailed Projection'!#REF!</definedName>
    <definedName name="Transcoder_server_no._of_instalations___Excem_Spain" localSheetId="8">'[18]Revenue detailed Projection'!#REF!</definedName>
    <definedName name="Transcoder_server_no._of_instalations___Excem_Spain">'[18]Revenue detailed Projection'!#REF!</definedName>
    <definedName name="Transcoder_server_no._of_instalations___Mitsui__BSI" localSheetId="8">'[18]Revenue detailed Projection'!#REF!</definedName>
    <definedName name="Transcoder_server_no._of_instalations___Mitsui__BSI">'[18]Revenue detailed Projection'!#REF!</definedName>
    <definedName name="Transcoder_server_no._of_instalations___Other_1" localSheetId="8">'[18]Revenue detailed Projection'!#REF!</definedName>
    <definedName name="Transcoder_server_no._of_instalations___Other_1">'[18]Revenue detailed Projection'!#REF!</definedName>
    <definedName name="Transcoder_server_no._of_instalations___Other_2" localSheetId="8">'[18]Revenue detailed Projection'!#REF!</definedName>
    <definedName name="Transcoder_server_no._of_instalations___Other_2">'[18]Revenue detailed Projection'!#REF!</definedName>
    <definedName name="Transcoder_server_no._of_instalations___Other_3" localSheetId="8">'[18]Revenue detailed Projection'!#REF!</definedName>
    <definedName name="Transcoder_server_no._of_instalations___Other_3">'[18]Revenue detailed Projection'!#REF!</definedName>
    <definedName name="Transcoder_server_no._of_instalations___SchlumbergerSema" localSheetId="8">'[18]Revenue detailed Projection'!#REF!</definedName>
    <definedName name="Transcoder_server_no._of_instalations___SchlumbergerSema">'[18]Revenue detailed Projection'!#REF!</definedName>
    <definedName name="Transcoder_server_no._of_instalations___Sony__NSBCE" localSheetId="8">'[18]Revenue detailed Projection'!#REF!</definedName>
    <definedName name="Transcoder_server_no._of_instalations___Sony__NSBCE">'[18]Revenue detailed Projection'!#REF!</definedName>
    <definedName name="Transcoder_server_no._of_instalations___Technomen" localSheetId="8">'[18]Revenue detailed Projection'!#REF!</definedName>
    <definedName name="Transcoder_server_no._of_instalations___Technomen">'[18]Revenue detailed Projection'!#REF!</definedName>
    <definedName name="Transcoder_server_no._of_instalations___Unisys" localSheetId="8">'[18]Revenue detailed Projection'!#REF!</definedName>
    <definedName name="Transcoder_server_no._of_instalations___Unisys">'[18]Revenue detailed Projection'!#REF!</definedName>
    <definedName name="Transcoder_server_no._of_units___CMG" localSheetId="8">'[18]Revenue detailed Projection'!#REF!</definedName>
    <definedName name="Transcoder_server_no._of_units___CMG">'[18]Revenue detailed Projection'!#REF!</definedName>
    <definedName name="Transcoder_server_no._of_units___Ericsson___global" localSheetId="8">'[18]Revenue detailed Projection'!#REF!</definedName>
    <definedName name="Transcoder_server_no._of_units___Ericsson___global">'[18]Revenue detailed Projection'!#REF!</definedName>
    <definedName name="Transcoder_server_no._of_units___Ericsson_Italy" localSheetId="8">'[18]Revenue detailed Projection'!#REF!</definedName>
    <definedName name="Transcoder_server_no._of_units___Ericsson_Italy">'[18]Revenue detailed Projection'!#REF!</definedName>
    <definedName name="Transcoder_server_no._of_units___Ericsson_Spain" localSheetId="8">'[18]Revenue detailed Projection'!#REF!</definedName>
    <definedName name="Transcoder_server_no._of_units___Ericsson_Spain">'[18]Revenue detailed Projection'!#REF!</definedName>
    <definedName name="Transcoder_server_no._of_units___Excem_France" localSheetId="8">'[18]Revenue detailed Projection'!#REF!</definedName>
    <definedName name="Transcoder_server_no._of_units___Excem_France">'[18]Revenue detailed Projection'!#REF!</definedName>
    <definedName name="Transcoder_server_no._of_units___Excem_Spain" localSheetId="8">'[18]Revenue detailed Projection'!#REF!</definedName>
    <definedName name="Transcoder_server_no._of_units___Excem_Spain">'[18]Revenue detailed Projection'!#REF!</definedName>
    <definedName name="Transcoder_server_no._of_units___Mitsui__BSI" localSheetId="8">'[18]Revenue detailed Projection'!#REF!</definedName>
    <definedName name="Transcoder_server_no._of_units___Mitsui__BSI">'[18]Revenue detailed Projection'!#REF!</definedName>
    <definedName name="Transcoder_server_no._of_units___Other_1" localSheetId="8">'[18]Revenue detailed Projection'!#REF!</definedName>
    <definedName name="Transcoder_server_no._of_units___Other_1">'[18]Revenue detailed Projection'!#REF!</definedName>
    <definedName name="Transcoder_server_no._of_units___Other_2" localSheetId="8">'[18]Revenue detailed Projection'!#REF!</definedName>
    <definedName name="Transcoder_server_no._of_units___Other_2">'[18]Revenue detailed Projection'!#REF!</definedName>
    <definedName name="Transcoder_server_no._of_units___Other_3" localSheetId="8">'[18]Revenue detailed Projection'!#REF!</definedName>
    <definedName name="Transcoder_server_no._of_units___Other_3">'[18]Revenue detailed Projection'!#REF!</definedName>
    <definedName name="Transcoder_server_no._of_units___SchlumbergerSema" localSheetId="8">'[18]Revenue detailed Projection'!#REF!</definedName>
    <definedName name="Transcoder_server_no._of_units___SchlumbergerSema">'[18]Revenue detailed Projection'!#REF!</definedName>
    <definedName name="Transcoder_server_no._of_units___Sony__NSBCE" localSheetId="8">'[18]Revenue detailed Projection'!#REF!</definedName>
    <definedName name="Transcoder_server_no._of_units___Sony__NSBCE">'[18]Revenue detailed Projection'!#REF!</definedName>
    <definedName name="Transcoder_server_no._of_units___Technomen" localSheetId="8">'[18]Revenue detailed Projection'!#REF!</definedName>
    <definedName name="Transcoder_server_no._of_units___Technomen">'[18]Revenue detailed Projection'!#REF!</definedName>
    <definedName name="Transcoder_server_no._of_units___Unisys" localSheetId="8">'[18]Revenue detailed Projection'!#REF!</definedName>
    <definedName name="Transcoder_server_no._of_units___Unisys">'[18]Revenue detailed Projection'!#REF!</definedName>
    <definedName name="trial_balance_active" localSheetId="35">#REF!</definedName>
    <definedName name="trial_balance_active" localSheetId="36">#REF!</definedName>
    <definedName name="trial_balance_active" localSheetId="8">#REF!</definedName>
    <definedName name="trial_balance_active">#REF!</definedName>
    <definedName name="trial_balance_p_l" localSheetId="35">#REF!</definedName>
    <definedName name="trial_balance_p_l" localSheetId="36">#REF!</definedName>
    <definedName name="trial_balance_p_l" localSheetId="8">#REF!</definedName>
    <definedName name="trial_balance_p_l">#REF!</definedName>
    <definedName name="trial_balance_passive" localSheetId="35">#REF!</definedName>
    <definedName name="trial_balance_passive" localSheetId="36">#REF!</definedName>
    <definedName name="trial_balance_passive" localSheetId="8">#REF!</definedName>
    <definedName name="trial_balance_passive">#REF!</definedName>
    <definedName name="TUR" localSheetId="35">#REF!</definedName>
    <definedName name="TUR" localSheetId="36">#REF!</definedName>
    <definedName name="TUR" localSheetId="8">#REF!</definedName>
    <definedName name="TUR">#REF!</definedName>
    <definedName name="Typical_travel_expense" localSheetId="35">#REF!</definedName>
    <definedName name="Typical_travel_expense" localSheetId="36">#REF!</definedName>
    <definedName name="Typical_travel_expense" localSheetId="8">#REF!</definedName>
    <definedName name="Typical_travel_expense">#REF!</definedName>
    <definedName name="Untitled" localSheetId="35">#REF!</definedName>
    <definedName name="Untitled" localSheetId="36">#REF!</definedName>
    <definedName name="Untitled" localSheetId="8">#REF!</definedName>
    <definedName name="Untitled">#REF!</definedName>
    <definedName name="USA_Inflation_Assumption" localSheetId="35">#REF!</definedName>
    <definedName name="USA_Inflation_Assumption" localSheetId="36">#REF!</definedName>
    <definedName name="USA_Inflation_Assumption" localSheetId="8">#REF!</definedName>
    <definedName name="USA_Inflation_Assumption">#REF!</definedName>
    <definedName name="USA_Recruiting_per_employee" localSheetId="35">#REF!</definedName>
    <definedName name="USA_Recruiting_per_employee" localSheetId="36">#REF!</definedName>
    <definedName name="USA_Recruiting_per_employee" localSheetId="8">#REF!</definedName>
    <definedName name="USA_Recruiting_per_employee">#REF!</definedName>
    <definedName name="usoft">'[3]U-SOFT'!$A$1:$D$97,'[3]U-SOFT'!$A$98:$D$122,'[3]U-SOFT'!$A$123:$D$197</definedName>
    <definedName name="Vacation" localSheetId="35">[41]Vacation!#REF!</definedName>
    <definedName name="Vacation" localSheetId="36">[41]Vacation!#REF!</definedName>
    <definedName name="Vacation" localSheetId="8">[41]Vacation!#REF!</definedName>
    <definedName name="Vacation">[41]Vacation!#REF!</definedName>
    <definedName name="val" localSheetId="43">{"חובה","SUM(חובה)","YNNNN",FALSE}</definedName>
    <definedName name="val" localSheetId="35">{"חובה","SUM(חובה)","YNNNN",FALSE}</definedName>
    <definedName name="val" localSheetId="36">{"חובה","SUM(חובה)","YNNNN",FALSE}</definedName>
    <definedName name="val">{"חובה","SUM(חובה)","YNNNN",FALSE}</definedName>
    <definedName name="values_array" localSheetId="43">{"חובה","SUM(חובה)","YNNNN",FALSE}</definedName>
    <definedName name="values_array" localSheetId="35">{"חובה","SUM(חובה)","YNNNN",FALSE}</definedName>
    <definedName name="values_array" localSheetId="36">{"חובה","SUM(חובה)","YNNNN",FALSE}</definedName>
    <definedName name="values_array">{"חובה","SUM(חובה)","YNNNN",FALSE}</definedName>
    <definedName name="values_array00" localSheetId="43">{"חובה","SUM(חובה)","YNNNN",FALSE}</definedName>
    <definedName name="values_array00" localSheetId="35">{"חובה","SUM(חובה)","YNNNN",FALSE}</definedName>
    <definedName name="values_array00" localSheetId="36">{"חובה","SUM(חובה)","YNNNN",FALSE}</definedName>
    <definedName name="values_array00">{"חובה","SUM(חובה)","YNNNN",FALSE}</definedName>
    <definedName name="VIM_Authoring_tool___Set_up_fee__training_Course____CMG" localSheetId="8">'[18]Revenue detailed Projection'!#REF!</definedName>
    <definedName name="VIM_Authoring_tool___Set_up_fee__training_Course____CMG">'[18]Revenue detailed Projection'!#REF!</definedName>
    <definedName name="VIM_Authoring_tool___Set_up_fee__training_Course____Ericsson___global" localSheetId="8">'[18]Revenue detailed Projection'!#REF!</definedName>
    <definedName name="VIM_Authoring_tool___Set_up_fee__training_Course____Ericsson___global">'[18]Revenue detailed Projection'!#REF!</definedName>
    <definedName name="VIM_Authoring_tool___Set_up_fee__training_Course____Ericsson_Italy" localSheetId="8">'[18]Revenue detailed Projection'!#REF!</definedName>
    <definedName name="VIM_Authoring_tool___Set_up_fee__training_Course____Ericsson_Italy">'[18]Revenue detailed Projection'!#REF!</definedName>
    <definedName name="VIM_Authoring_tool___Set_up_fee__training_Course____Ericsson_Spain" localSheetId="8">'[18]Revenue detailed Projection'!#REF!</definedName>
    <definedName name="VIM_Authoring_tool___Set_up_fee__training_Course____Ericsson_Spain">'[18]Revenue detailed Projection'!#REF!</definedName>
    <definedName name="VIM_Authoring_tool___Set_up_fee__training_Course____Excem_France" localSheetId="8">'[18]Revenue detailed Projection'!#REF!</definedName>
    <definedName name="VIM_Authoring_tool___Set_up_fee__training_Course____Excem_France">'[18]Revenue detailed Projection'!#REF!</definedName>
    <definedName name="VIM_Authoring_tool___Set_up_fee__training_Course____Excem_Spain" localSheetId="8">'[18]Revenue detailed Projection'!#REF!</definedName>
    <definedName name="VIM_Authoring_tool___Set_up_fee__training_Course____Excem_Spain">'[18]Revenue detailed Projection'!#REF!</definedName>
    <definedName name="VIM_Authoring_tool___Set_up_fee__training_Course____Mitsui__BSI" localSheetId="8">'[18]Revenue detailed Projection'!#REF!</definedName>
    <definedName name="VIM_Authoring_tool___Set_up_fee__training_Course____Mitsui__BSI">'[18]Revenue detailed Projection'!#REF!</definedName>
    <definedName name="VIM_Authoring_tool___Set_up_fee__training_Course____Other_1" localSheetId="8">'[18]Revenue detailed Projection'!#REF!</definedName>
    <definedName name="VIM_Authoring_tool___Set_up_fee__training_Course____Other_1">'[18]Revenue detailed Projection'!#REF!</definedName>
    <definedName name="VIM_Authoring_tool___Set_up_fee__training_Course____Other_2" localSheetId="8">'[18]Revenue detailed Projection'!#REF!</definedName>
    <definedName name="VIM_Authoring_tool___Set_up_fee__training_Course____Other_2">'[18]Revenue detailed Projection'!#REF!</definedName>
    <definedName name="VIM_Authoring_tool___Set_up_fee__training_Course____Other_3" localSheetId="8">'[18]Revenue detailed Projection'!#REF!</definedName>
    <definedName name="VIM_Authoring_tool___Set_up_fee__training_Course____Other_3">'[18]Revenue detailed Projection'!#REF!</definedName>
    <definedName name="VIM_Authoring_tool___Set_up_fee__training_Course____SchlumbergerSema" localSheetId="8">'[18]Revenue detailed Projection'!#REF!</definedName>
    <definedName name="VIM_Authoring_tool___Set_up_fee__training_Course____SchlumbergerSema">'[18]Revenue detailed Projection'!#REF!</definedName>
    <definedName name="VIM_Authoring_tool___Set_up_fee__training_Course____Sony__NSBCE" localSheetId="8">'[18]Revenue detailed Projection'!#REF!</definedName>
    <definedName name="VIM_Authoring_tool___Set_up_fee__training_Course____Sony__NSBCE">'[18]Revenue detailed Projection'!#REF!</definedName>
    <definedName name="VIM_Authoring_tool___Set_up_fee__training_Course____Technomen" localSheetId="8">'[18]Revenue detailed Projection'!#REF!</definedName>
    <definedName name="VIM_Authoring_tool___Set_up_fee__training_Course____Technomen">'[18]Revenue detailed Projection'!#REF!</definedName>
    <definedName name="VIM_Authoring_tool___Set_up_fee__training_Course____Unisys" localSheetId="8">'[18]Revenue detailed Projection'!#REF!</definedName>
    <definedName name="VIM_Authoring_tool___Set_up_fee__training_Course____Unisys">'[18]Revenue detailed Projection'!#REF!</definedName>
    <definedName name="VIM_Authoring_tool__royalties____Units___CMG" localSheetId="8">'[18]Revenue detailed Projection'!#REF!</definedName>
    <definedName name="VIM_Authoring_tool__royalties____Units___CMG">'[18]Revenue detailed Projection'!#REF!</definedName>
    <definedName name="VIM_Authoring_tool__royalties____Units___Ericsson___global" localSheetId="8">'[18]Revenue detailed Projection'!#REF!</definedName>
    <definedName name="VIM_Authoring_tool__royalties____Units___Ericsson___global">'[18]Revenue detailed Projection'!#REF!</definedName>
    <definedName name="VIM_Authoring_tool__royalties____Units___Ericsson_Italy" localSheetId="8">'[18]Revenue detailed Projection'!#REF!</definedName>
    <definedName name="VIM_Authoring_tool__royalties____Units___Ericsson_Italy">'[18]Revenue detailed Projection'!#REF!</definedName>
    <definedName name="VIM_Authoring_tool__royalties____Units___Ericsson_Spain" localSheetId="8">'[18]Revenue detailed Projection'!#REF!</definedName>
    <definedName name="VIM_Authoring_tool__royalties____Units___Ericsson_Spain">'[18]Revenue detailed Projection'!#REF!</definedName>
    <definedName name="VIM_Authoring_tool__royalties____Units___Excem_France" localSheetId="8">'[18]Revenue detailed Projection'!#REF!</definedName>
    <definedName name="VIM_Authoring_tool__royalties____Units___Excem_France">'[18]Revenue detailed Projection'!#REF!</definedName>
    <definedName name="VIM_Authoring_tool__royalties____Units___Excem_Spain" localSheetId="8">'[18]Revenue detailed Projection'!#REF!</definedName>
    <definedName name="VIM_Authoring_tool__royalties____Units___Excem_Spain">'[18]Revenue detailed Projection'!#REF!</definedName>
    <definedName name="VIM_Authoring_tool__royalties____Units___Mitsui__BSI" localSheetId="8">'[18]Revenue detailed Projection'!#REF!</definedName>
    <definedName name="VIM_Authoring_tool__royalties____Units___Mitsui__BSI">'[18]Revenue detailed Projection'!#REF!</definedName>
    <definedName name="VIM_Authoring_tool__royalties____Units___Other_1" localSheetId="8">'[18]Revenue detailed Projection'!#REF!</definedName>
    <definedName name="VIM_Authoring_tool__royalties____Units___Other_1">'[18]Revenue detailed Projection'!#REF!</definedName>
    <definedName name="VIM_Authoring_tool__royalties____Units___Other_2" localSheetId="8">'[18]Revenue detailed Projection'!#REF!</definedName>
    <definedName name="VIM_Authoring_tool__royalties____Units___Other_2">'[18]Revenue detailed Projection'!#REF!</definedName>
    <definedName name="VIM_Authoring_tool__royalties____Units___Other_3" localSheetId="8">'[18]Revenue detailed Projection'!#REF!</definedName>
    <definedName name="VIM_Authoring_tool__royalties____Units___Other_3">'[18]Revenue detailed Projection'!#REF!</definedName>
    <definedName name="VIM_Authoring_tool__royalties____Units___SchlumbergerSema" localSheetId="8">'[18]Revenue detailed Projection'!#REF!</definedName>
    <definedName name="VIM_Authoring_tool__royalties____Units___SchlumbergerSema">'[18]Revenue detailed Projection'!#REF!</definedName>
    <definedName name="VIM_Authoring_tool__royalties____Units___Sony__NSBCE" localSheetId="8">'[18]Revenue detailed Projection'!#REF!</definedName>
    <definedName name="VIM_Authoring_tool__royalties____Units___Sony__NSBCE">'[18]Revenue detailed Projection'!#REF!</definedName>
    <definedName name="VIM_Authoring_tool__royalties____Units___Technomen" localSheetId="8">'[18]Revenue detailed Projection'!#REF!</definedName>
    <definedName name="VIM_Authoring_tool__royalties____Units___Technomen">'[18]Revenue detailed Projection'!#REF!</definedName>
    <definedName name="VIM_Authoring_tool__royalties____Units___Unisys" localSheetId="8">'[18]Revenue detailed Projection'!#REF!</definedName>
    <definedName name="VIM_Authoring_tool__royalties____Units___Unisys">'[18]Revenue detailed Projection'!#REF!</definedName>
    <definedName name="VIMedia_Composer___Excem_France" localSheetId="8">'[18]Revenue detailed Projection'!#REF!</definedName>
    <definedName name="VIMedia_Composer___Excem_France">'[18]Revenue detailed Projection'!#REF!</definedName>
    <definedName name="VIMedia_Composer___Excem_Spain" localSheetId="8">'[18]Revenue detailed Projection'!#REF!</definedName>
    <definedName name="VIMedia_Composer___Excem_Spain">'[18]Revenue detailed Projection'!#REF!</definedName>
    <definedName name="VIMedia_Composer___Mitsui__BSI" localSheetId="8">'[18]Revenue detailed Projection'!#REF!</definedName>
    <definedName name="VIMedia_Composer___Mitsui__BSI">'[18]Revenue detailed Projection'!#REF!</definedName>
    <definedName name="VIMedia_Composer___Other_1" localSheetId="8">'[18]Revenue detailed Projection'!#REF!</definedName>
    <definedName name="VIMedia_Composer___Other_1">'[18]Revenue detailed Projection'!#REF!</definedName>
    <definedName name="VIMedia_Composer___Other_2" localSheetId="8">'[18]Revenue detailed Projection'!#REF!</definedName>
    <definedName name="VIMedia_Composer___Other_2">'[18]Revenue detailed Projection'!#REF!</definedName>
    <definedName name="VIMedia_Composer___Other_3" localSheetId="8">'[18]Revenue detailed Projection'!#REF!</definedName>
    <definedName name="VIMedia_Composer___Other_3">'[18]Revenue detailed Projection'!#REF!</definedName>
    <definedName name="VIMedia_Composer___Sony__NSBCE" localSheetId="8">'[18]Revenue detailed Projection'!#REF!</definedName>
    <definedName name="VIMedia_Composer___Sony__NSBCE">'[18]Revenue detailed Projection'!#REF!</definedName>
    <definedName name="VIMedia_Composer___Units___CMG" localSheetId="8">'[18]Revenue detailed Projection'!#REF!</definedName>
    <definedName name="VIMedia_Composer___Units___CMG">'[18]Revenue detailed Projection'!#REF!</definedName>
    <definedName name="VIMedia_Composer___Units___Ericsson___global" localSheetId="8">'[18]Revenue detailed Projection'!#REF!</definedName>
    <definedName name="VIMedia_Composer___Units___Ericsson___global">'[18]Revenue detailed Projection'!#REF!</definedName>
    <definedName name="VIMedia_Composer___Units___Ericsson_Italy" localSheetId="8">'[18]Revenue detailed Projection'!#REF!</definedName>
    <definedName name="VIMedia_Composer___Units___Ericsson_Italy">'[18]Revenue detailed Projection'!#REF!</definedName>
    <definedName name="VIMedia_Composer___Units___Ericsson_Spain" localSheetId="8">'[18]Revenue detailed Projection'!#REF!</definedName>
    <definedName name="VIMedia_Composer___Units___Ericsson_Spain">'[18]Revenue detailed Projection'!#REF!</definedName>
    <definedName name="VIMedia_Composer___Units___Excem_France" localSheetId="8">'[18]Revenue detailed Projection'!#REF!</definedName>
    <definedName name="VIMedia_Composer___Units___Excem_France">'[18]Revenue detailed Projection'!#REF!</definedName>
    <definedName name="VIMedia_Composer___Units___Excem_Spain" localSheetId="8">'[18]Revenue detailed Projection'!#REF!</definedName>
    <definedName name="VIMedia_Composer___Units___Excem_Spain">'[18]Revenue detailed Projection'!#REF!</definedName>
    <definedName name="VIMedia_Composer___Units___Mitsui__BSI" localSheetId="8">'[18]Revenue detailed Projection'!#REF!</definedName>
    <definedName name="VIMedia_Composer___Units___Mitsui__BSI">'[18]Revenue detailed Projection'!#REF!</definedName>
    <definedName name="VIMedia_Composer___Units___Other_1" localSheetId="8">'[18]Revenue detailed Projection'!#REF!</definedName>
    <definedName name="VIMedia_Composer___Units___Other_1">'[18]Revenue detailed Projection'!#REF!</definedName>
    <definedName name="VIMedia_Composer___Units___Other_2" localSheetId="8">'[18]Revenue detailed Projection'!#REF!</definedName>
    <definedName name="VIMedia_Composer___Units___Other_2">'[18]Revenue detailed Projection'!#REF!</definedName>
    <definedName name="VIMedia_Composer___Units___Other_3" localSheetId="8">'[18]Revenue detailed Projection'!#REF!</definedName>
    <definedName name="VIMedia_Composer___Units___Other_3">'[18]Revenue detailed Projection'!#REF!</definedName>
    <definedName name="VIMedia_Composer___Units___SchlumbergerSema" localSheetId="8">'[18]Revenue detailed Projection'!#REF!</definedName>
    <definedName name="VIMedia_Composer___Units___SchlumbergerSema">'[18]Revenue detailed Projection'!#REF!</definedName>
    <definedName name="VIMedia_Composer___Units___Sony__NSBCE" localSheetId="8">'[18]Revenue detailed Projection'!#REF!</definedName>
    <definedName name="VIMedia_Composer___Units___Sony__NSBCE">'[18]Revenue detailed Projection'!#REF!</definedName>
    <definedName name="VIMedia_Composer___Units___Technomen" localSheetId="8">'[18]Revenue detailed Projection'!#REF!</definedName>
    <definedName name="VIMedia_Composer___Units___Technomen">'[18]Revenue detailed Projection'!#REF!</definedName>
    <definedName name="VIMedia_Composer___Units___Unisys" localSheetId="8">'[18]Revenue detailed Projection'!#REF!</definedName>
    <definedName name="VIMedia_Composer___Units___Unisys">'[18]Revenue detailed Projection'!#REF!</definedName>
    <definedName name="VIMedia_Gateway___Excem_France" localSheetId="8">'[18]Revenue detailed Projection'!#REF!</definedName>
    <definedName name="VIMedia_Gateway___Excem_France">'[18]Revenue detailed Projection'!#REF!</definedName>
    <definedName name="VIMedia_Gateway___Excem_Spain" localSheetId="8">'[18]Revenue detailed Projection'!#REF!</definedName>
    <definedName name="VIMedia_Gateway___Excem_Spain">'[18]Revenue detailed Projection'!#REF!</definedName>
    <definedName name="VIMedia_Gateway___Mitsui__BSI" localSheetId="8">'[18]Revenue detailed Projection'!#REF!</definedName>
    <definedName name="VIMedia_Gateway___Mitsui__BSI">'[18]Revenue detailed Projection'!#REF!</definedName>
    <definedName name="VIMedia_Gateway___Other_1" localSheetId="8">'[18]Revenue detailed Projection'!#REF!</definedName>
    <definedName name="VIMedia_Gateway___Other_1">'[18]Revenue detailed Projection'!#REF!</definedName>
    <definedName name="VIMedia_Gateway___Other_2" localSheetId="8">'[18]Revenue detailed Projection'!#REF!</definedName>
    <definedName name="VIMedia_Gateway___Other_2">'[18]Revenue detailed Projection'!#REF!</definedName>
    <definedName name="VIMedia_Gateway___Other_3" localSheetId="8">'[18]Revenue detailed Projection'!#REF!</definedName>
    <definedName name="VIMedia_Gateway___Other_3">'[18]Revenue detailed Projection'!#REF!</definedName>
    <definedName name="VIMedia_Gateway___Sony__NSBCE" localSheetId="8">'[18]Revenue detailed Projection'!#REF!</definedName>
    <definedName name="VIMedia_Gateway___Sony__NSBCE">'[18]Revenue detailed Projection'!#REF!</definedName>
    <definedName name="vol" localSheetId="35">#REF!</definedName>
    <definedName name="vol" localSheetId="36">#REF!</definedName>
    <definedName name="vol" localSheetId="8">#REF!</definedName>
    <definedName name="vol">#REF!</definedName>
    <definedName name="wrn.דוח._.כספי." localSheetId="43" hidden="1">{"דוח כספי",#N/A,FALSE,"מאזנים";"דוח כספי",#N/A,FALSE,"דוח רוו""ה";"דוח כספי",#N/A,FALSE,"הון עצמי";"תזרים",#N/A,FALSE,"תזרים"}</definedName>
    <definedName name="wrn.דוח._.כספי." localSheetId="35" hidden="1">{"דוח כספי",#N/A,FALSE,"מאזנים";"דוח כספי",#N/A,FALSE,"דוח רוו""ה";"דוח כספי",#N/A,FALSE,"הון עצמי";"תזרים",#N/A,FALSE,"תזרים"}</definedName>
    <definedName name="wrn.דוח._.כספי." localSheetId="36" hidden="1">{"דוח כספי",#N/A,FALSE,"מאזנים";"דוח כספי",#N/A,FALSE,"דוח רוו""ה";"דוח כספי",#N/A,FALSE,"הון עצמי";"תזרים",#N/A,FALSE,"תזרים"}</definedName>
    <definedName name="wrn.דוח._.כספי." hidden="1">{"דוח כספי",#N/A,FALSE,"מאזנים";"דוח כספי",#N/A,FALSE,"דוח רוו""ה";"דוח כספי",#N/A,FALSE,"הון עצמי";"תזרים",#N/A,FALSE,"תזרים"}</definedName>
    <definedName name="wrn.דוח._.כספי._.בבלי." localSheetId="43" hidden="1">{"דוח כספי",#N/A,FALSE,"מאזנים";"דוח כספי בבלי",#N/A,FALSE,"דוח רוו""ה";"דוח כספי בבלי",#N/A,FALSE,"הון עצמי";"דוח כספי בבלי",#N/A,FALSE,"תזרים"}</definedName>
    <definedName name="wrn.דוח._.כספי._.בבלי." localSheetId="35" hidden="1">{"דוח כספי",#N/A,FALSE,"מאזנים";"דוח כספי בבלי",#N/A,FALSE,"דוח רוו""ה";"דוח כספי בבלי",#N/A,FALSE,"הון עצמי";"דוח כספי בבלי",#N/A,FALSE,"תזרים"}</definedName>
    <definedName name="wrn.דוח._.כספי._.בבלי." localSheetId="36" hidden="1">{"דוח כספי",#N/A,FALSE,"מאזנים";"דוח כספי בבלי",#N/A,FALSE,"דוח רוו""ה";"דוח כספי בבלי",#N/A,FALSE,"הון עצמי";"דוח כספי בבלי",#N/A,FALSE,"תזרים"}</definedName>
    <definedName name="wrn.דוח._.כספי._.בבלי." hidden="1">{"דוח כספי",#N/A,FALSE,"מאזנים";"דוח כספי בבלי",#N/A,FALSE,"דוח רוו""ה";"דוח כספי בבלי",#N/A,FALSE,"הון עצמי";"דוח כספי בבלי",#N/A,FALSE,"תזרים"}</definedName>
    <definedName name="wrn.מאזן_בוחן_כללי." localSheetId="43" hidden="1">{#N/A,#N/A,FALSE,"מאזן בוחן";"כל_מאזן_בוחן",#N/A,FALSE,"מאזן בוחן"}</definedName>
    <definedName name="wrn.מאזן_בוחן_כללי." localSheetId="35" hidden="1">{#N/A,#N/A,FALSE,"מאזן בוחן";"כל_מאזן_בוחן",#N/A,FALSE,"מאזן בוחן"}</definedName>
    <definedName name="wrn.מאזן_בוחן_כללי." localSheetId="36" hidden="1">{#N/A,#N/A,FALSE,"מאזן בוחן";"כל_מאזן_בוחן",#N/A,FALSE,"מאזן בוחן"}</definedName>
    <definedName name="wrn.מאזן_בוחן_כללי." localSheetId="41" hidden="1">{#N/A,#N/A,FALSE,"מאזן בוחן";"כל_מאזן_בוחן",#N/A,FALSE,"מאזן בוחן"}</definedName>
    <definedName name="wrn.מאזן_בוחן_כללי." hidden="1">{#N/A,#N/A,FALSE,"מאזן בוחן";"כל_מאזן_בוחן",#N/A,FALSE,"מאזן בוחן"}</definedName>
    <definedName name="wrn.סעיפי_מאזן_בוחן." localSheetId="4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" localSheetId="35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" localSheetId="36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" localSheetId="4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xhd" localSheetId="8">#REF!</definedName>
    <definedName name="xhd">#REF!</definedName>
    <definedName name="yes" localSheetId="8">[15]עזר!#REF!</definedName>
    <definedName name="yes">[15]עזר!#REF!</definedName>
    <definedName name="yigal" localSheetId="4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yigal" localSheetId="35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yigal" localSheetId="36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yigal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YRevenue" localSheetId="8">#REF!</definedName>
    <definedName name="YRevenue">#REF!</definedName>
    <definedName name="Z_A72044D6_8465_4648_A43D_4F0A0965A357_.wvu.PrintArea" localSheetId="0" hidden="1">'Master Data (do not print)'!$A$1:$D$21</definedName>
    <definedName name="ZZ" localSheetId="35">#REF!</definedName>
    <definedName name="ZZ" localSheetId="36">#REF!</definedName>
    <definedName name="ZZ" localSheetId="8">#REF!</definedName>
    <definedName name="ZZ" localSheetId="41">#REF!</definedName>
    <definedName name="ZZ">#REF!</definedName>
    <definedName name="אאא" localSheetId="43" hidden="1">{#N/A,#N/A,FALSE,"מאזן בוחן";"כל_מאזן_בוחן",#N/A,FALSE,"מאזן בוחן"}</definedName>
    <definedName name="אאא" localSheetId="35" hidden="1">{#N/A,#N/A,FALSE,"מאזן בוחן";"כל_מאזן_בוחן",#N/A,FALSE,"מאזן בוחן"}</definedName>
    <definedName name="אאא" localSheetId="36" hidden="1">{#N/A,#N/A,FALSE,"מאזן בוחן";"כל_מאזן_בוחן",#N/A,FALSE,"מאזן בוחן"}</definedName>
    <definedName name="אאא" localSheetId="41" hidden="1">{#N/A,#N/A,FALSE,"מאזן בוחן";"כל_מאזן_בוחן",#N/A,FALSE,"מאזן בוחן"}</definedName>
    <definedName name="אאא" hidden="1">{#N/A,#N/A,FALSE,"מאזן בוחן";"כל_מאזן_בוחן",#N/A,FALSE,"מאזן בוחן"}</definedName>
    <definedName name="אגרוזן" localSheetId="8">#REF!</definedName>
    <definedName name="אגרוזן">#REF!</definedName>
    <definedName name="אוגוסט" localSheetId="35">#REF!</definedName>
    <definedName name="אוגוסט" localSheetId="36">#REF!</definedName>
    <definedName name="אוגוסט" localSheetId="8">#REF!</definedName>
    <definedName name="אוגוסט" localSheetId="41">[42]index!$B$9</definedName>
    <definedName name="אוגוסט">#REF!</definedName>
    <definedName name="אונקול" localSheetId="43" hidden="1">{"דוח כספי",#N/A,FALSE,"מאזנים";"דוח כספי",#N/A,FALSE,"דוח רוו""ה";"דוח כספי",#N/A,FALSE,"הון עצמי";"תזרים",#N/A,FALSE,"תזרים"}</definedName>
    <definedName name="אונקול" localSheetId="35" hidden="1">{"דוח כספי",#N/A,FALSE,"מאזנים";"דוח כספי",#N/A,FALSE,"דוח רוו""ה";"דוח כספי",#N/A,FALSE,"הון עצמי";"תזרים",#N/A,FALSE,"תזרים"}</definedName>
    <definedName name="אונקול" localSheetId="36" hidden="1">{"דוח כספי",#N/A,FALSE,"מאזנים";"דוח כספי",#N/A,FALSE,"דוח רוו""ה";"דוח כספי",#N/A,FALSE,"הון עצמי";"תזרים",#N/A,FALSE,"תזרים"}</definedName>
    <definedName name="אונקול" hidden="1">{"דוח כספי",#N/A,FALSE,"מאזנים";"דוח כספי",#N/A,FALSE,"דוח רוו""ה";"דוח כספי",#N/A,FALSE,"הון עצמי";"תזרים",#N/A,FALSE,"תזרים"}</definedName>
    <definedName name="אונקולים" localSheetId="43" hidden="1">{"דוח כספי",#N/A,FALSE,"מאזנים";"דוח כספי",#N/A,FALSE,"דוח רוו""ה";"דוח כספי",#N/A,FALSE,"הון עצמי";"תזרים",#N/A,FALSE,"תזרים"}</definedName>
    <definedName name="אונקולים" localSheetId="35" hidden="1">{"דוח כספי",#N/A,FALSE,"מאזנים";"דוח כספי",#N/A,FALSE,"דוח רוו""ה";"דוח כספי",#N/A,FALSE,"הון עצמי";"תזרים",#N/A,FALSE,"תזרים"}</definedName>
    <definedName name="אונקולים" localSheetId="36" hidden="1">{"דוח כספי",#N/A,FALSE,"מאזנים";"דוח כספי",#N/A,FALSE,"דוח רוו""ה";"דוח כספי",#N/A,FALSE,"הון עצמי";"תזרים",#N/A,FALSE,"תזרים"}</definedName>
    <definedName name="אונקולים" hidden="1">{"דוח כספי",#N/A,FALSE,"מאזנים";"דוח כספי",#N/A,FALSE,"דוח רוו""ה";"דוח כספי",#N/A,FALSE,"הון עצמי";"תזרים",#N/A,FALSE,"תזרים"}</definedName>
    <definedName name="אוקטובר" localSheetId="35">#REF!</definedName>
    <definedName name="אוקטובר" localSheetId="36">#REF!</definedName>
    <definedName name="אוקטובר" localSheetId="8">#REF!</definedName>
    <definedName name="אוקטובר" localSheetId="41">#REF!</definedName>
    <definedName name="אוקטובר">#REF!</definedName>
    <definedName name="אלדור">[43]אלדור!$C$6:$I$68,[43]אלדור!$C$70:$I$111,[43]אלדור!$C$116:$I$159</definedName>
    <definedName name="אנליטי_הפסד" localSheetId="35">#REF!</definedName>
    <definedName name="אנליטי_הפסד" localSheetId="36">#REF!</definedName>
    <definedName name="אנליטי_הפסד" localSheetId="8">#REF!</definedName>
    <definedName name="אנליטי_הפסד">#REF!</definedName>
    <definedName name="אנליטי_מאזן" localSheetId="35">#REF!</definedName>
    <definedName name="אנליטי_מאזן" localSheetId="36">#REF!</definedName>
    <definedName name="אנליטי_מאזן" localSheetId="8">#REF!</definedName>
    <definedName name="אנליטי_מאזן">#REF!</definedName>
    <definedName name="אנליטי_רווה" localSheetId="35">#REF!</definedName>
    <definedName name="אנליטי_רווה" localSheetId="36">#REF!</definedName>
    <definedName name="אנליטי_רווה" localSheetId="8">#REF!</definedName>
    <definedName name="אנליטי_רווה">#REF!</definedName>
    <definedName name="אנליטי1" localSheetId="35">#REF!</definedName>
    <definedName name="אנליטי1" localSheetId="36">#REF!</definedName>
    <definedName name="אנליטי1" localSheetId="8">#REF!</definedName>
    <definedName name="אנליטי1">#REF!</definedName>
    <definedName name="אפריל" localSheetId="35">#REF!</definedName>
    <definedName name="אפריל" localSheetId="36">#REF!</definedName>
    <definedName name="אפריל" localSheetId="8">#REF!</definedName>
    <definedName name="אפריל" localSheetId="41">[42]index!$B$5</definedName>
    <definedName name="אפריל">#REF!</definedName>
    <definedName name="אשראי" localSheetId="35">#REF!</definedName>
    <definedName name="אשראי" localSheetId="36">#REF!</definedName>
    <definedName name="אשראי" localSheetId="8">#REF!</definedName>
    <definedName name="אשראי">#REF!</definedName>
    <definedName name="אשראי_לזמן_קצר" localSheetId="35">#REF!</definedName>
    <definedName name="אשראי_לזמן_קצר" localSheetId="36">#REF!</definedName>
    <definedName name="אשראי_לזמן_קצר" localSheetId="8">#REF!</definedName>
    <definedName name="אשראי_לזמן_קצר">#REF!</definedName>
    <definedName name="אשראי_מתאגידים_בנקאיים" localSheetId="35">#REF!</definedName>
    <definedName name="אשראי_מתאגידים_בנקאיים" localSheetId="36">#REF!</definedName>
    <definedName name="אשראי_מתאגידים_בנקאיים" localSheetId="8">#REF!</definedName>
    <definedName name="אשראי_מתאגידים_בנקאיים">#REF!</definedName>
    <definedName name="ב.הצמדה">[44]ביאורים!$I$3:$N$45,[44]ביאורים!$I$50:$N$72</definedName>
    <definedName name="באורים" localSheetId="7">#REF!</definedName>
    <definedName name="באורים">'[12]דוח מתכונת הגשה מאוחד'!$H$79:$L$168</definedName>
    <definedName name="בחירה" localSheetId="35">#REF!</definedName>
    <definedName name="בחירה" localSheetId="36">#REF!</definedName>
    <definedName name="בחירה" localSheetId="8">#REF!</definedName>
    <definedName name="בחירה">#REF!</definedName>
    <definedName name="ביאור_אופציות" localSheetId="35">#REF!</definedName>
    <definedName name="ביאור_אופציות" localSheetId="36">#REF!</definedName>
    <definedName name="ביאור_אופציות" localSheetId="8">#REF!</definedName>
    <definedName name="ביאור_אופציות">#REF!</definedName>
    <definedName name="ביאור_הלוואות" localSheetId="35">#REF!</definedName>
    <definedName name="ביאור_הלוואות" localSheetId="36">#REF!</definedName>
    <definedName name="ביאור_הלוואות" localSheetId="8">#REF!</definedName>
    <definedName name="ביאור_הלוואות">#REF!</definedName>
    <definedName name="ביאור_מופ" localSheetId="35">#REF!</definedName>
    <definedName name="ביאור_מופ" localSheetId="36">#REF!</definedName>
    <definedName name="ביאור_מופ" localSheetId="8">#REF!</definedName>
    <definedName name="ביאור_מופ">#REF!</definedName>
    <definedName name="ביאורי_הוצאות" localSheetId="35">#REF!</definedName>
    <definedName name="ביאורי_הוצאות" localSheetId="36">#REF!</definedName>
    <definedName name="ביאורי_הוצאות" localSheetId="8">#REF!</definedName>
    <definedName name="ביאורי_הוצאות">#REF!</definedName>
    <definedName name="ביאורי_הוצאות_998" localSheetId="35">#REF!</definedName>
    <definedName name="ביאורי_הוצאות_998" localSheetId="36">#REF!</definedName>
    <definedName name="ביאורי_הוצאות_998" localSheetId="8">#REF!</definedName>
    <definedName name="ביאורי_הוצאות_998">#REF!</definedName>
    <definedName name="בככ" localSheetId="4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" localSheetId="35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" localSheetId="36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" localSheetId="4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ג149" localSheetId="8">#REF!</definedName>
    <definedName name="ג149">#REF!</definedName>
    <definedName name="גדג" localSheetId="35">#REF!</definedName>
    <definedName name="גדג" localSheetId="36">#REF!</definedName>
    <definedName name="גדג" localSheetId="8">#REF!</definedName>
    <definedName name="גדג">#REF!</definedName>
    <definedName name="דו_ח_תזרים" localSheetId="35">#REF!</definedName>
    <definedName name="דו_ח_תזרים" localSheetId="36">#REF!</definedName>
    <definedName name="דו_ח_תזרים" localSheetId="8">#REF!</definedName>
    <definedName name="דו_ח_תזרים">#REF!</definedName>
    <definedName name="דוח" localSheetId="43" hidden="1">{"דוח כספי",#N/A,FALSE,"מאזנים";"דוח כספי",#N/A,FALSE,"דוח רוו""ה";"דוח כספי",#N/A,FALSE,"הון עצמי";"תזרים",#N/A,FALSE,"תזרים"}</definedName>
    <definedName name="דוח" localSheetId="35" hidden="1">{"דוח כספי",#N/A,FALSE,"מאזנים";"דוח כספי",#N/A,FALSE,"דוח רוו""ה";"דוח כספי",#N/A,FALSE,"הון עצמי";"תזרים",#N/A,FALSE,"תזרים"}</definedName>
    <definedName name="דוח" localSheetId="36" hidden="1">{"דוח כספי",#N/A,FALSE,"מאזנים";"דוח כספי",#N/A,FALSE,"דוח רוו""ה";"דוח כספי",#N/A,FALSE,"הון עצמי";"תזרים",#N/A,FALSE,"תזרים"}</definedName>
    <definedName name="דוח" hidden="1">{"דוח כספי",#N/A,FALSE,"מאזנים";"דוח כספי",#N/A,FALSE,"דוח רוו""ה";"דוח כספי",#N/A,FALSE,"הון עצמי";"תזרים",#N/A,FALSE,"תזרים"}</definedName>
    <definedName name="דוח_התאמה" localSheetId="8">#REF!</definedName>
    <definedName name="דוח_התאמה">#REF!</definedName>
    <definedName name="דוח_למס" localSheetId="35">#REF!</definedName>
    <definedName name="דוח_למס" localSheetId="36">#REF!</definedName>
    <definedName name="דוח_למס" localSheetId="8">#REF!</definedName>
    <definedName name="דוח_למס">#REF!</definedName>
    <definedName name="דוח_על_השינויים" localSheetId="35">#REF!</definedName>
    <definedName name="דוח_על_השינויים" localSheetId="36">#REF!</definedName>
    <definedName name="דוח_על_השינויים" localSheetId="8">#REF!</definedName>
    <definedName name="דוח_על_השינויים">#REF!</definedName>
    <definedName name="דוח_רווח_והפסד" localSheetId="35">#REF!</definedName>
    <definedName name="דוח_רווח_והפסד" localSheetId="36">#REF!</definedName>
    <definedName name="דוח_רווח_והפסד" localSheetId="8">#REF!</definedName>
    <definedName name="דוח_רווח_והפסד">#REF!</definedName>
    <definedName name="דוח_תאום_שממ" localSheetId="35">#REF!</definedName>
    <definedName name="דוח_תאום_שממ" localSheetId="36">#REF!</definedName>
    <definedName name="דוח_תאום_שממ" localSheetId="8">#REF!</definedName>
    <definedName name="דוח_תאום_שממ" localSheetId="41">#REF!</definedName>
    <definedName name="דוח_תאום_שממ">#REF!</definedName>
    <definedName name="דוח_תזרים" localSheetId="35">#REF!</definedName>
    <definedName name="דוח_תזרים" localSheetId="36">#REF!</definedName>
    <definedName name="דוח_תזרים" localSheetId="8">#REF!</definedName>
    <definedName name="דוח_תזרים">#REF!</definedName>
    <definedName name="דוח_תזרים_ארהב" localSheetId="35">#REF!</definedName>
    <definedName name="דוח_תזרים_ארהב" localSheetId="36">#REF!</definedName>
    <definedName name="דוח_תזרים_ארהב" localSheetId="8">#REF!</definedName>
    <definedName name="דוח_תזרים_ארהב">#REF!</definedName>
    <definedName name="דוח_תזרים_הגשה">'[12]דוח מתכונת הגשה מאוחד'!$A$171:$F$214</definedName>
    <definedName name="דוח_תזרים_ישראל" localSheetId="35">#REF!</definedName>
    <definedName name="דוח_תזרים_ישראל" localSheetId="36">#REF!</definedName>
    <definedName name="דוח_תזרים_ישראל" localSheetId="8">#REF!</definedName>
    <definedName name="דוח_תזרים_ישראל">#REF!</definedName>
    <definedName name="דוח_תזרים_צרפת" localSheetId="35">#REF!</definedName>
    <definedName name="דוח_תזרים_צרפת" localSheetId="36">#REF!</definedName>
    <definedName name="דוח_תזרים_צרפת" localSheetId="8">#REF!</definedName>
    <definedName name="דוח_תזרים_צרפת">#REF!</definedName>
    <definedName name="דוח_תזרים_קיימן" localSheetId="35">#REF!</definedName>
    <definedName name="דוח_תזרים_קיימן" localSheetId="36">#REF!</definedName>
    <definedName name="דוח_תזרים_קיימן" localSheetId="8">#REF!</definedName>
    <definedName name="דוח_תזרים_קיימן">#REF!</definedName>
    <definedName name="דוח_תזרים_שח" localSheetId="35">'[45]תזרים $'!#REF!</definedName>
    <definedName name="דוח_תזרים_שח" localSheetId="36">'[45]תזרים $'!#REF!</definedName>
    <definedName name="דוח_תזרים_שח" localSheetId="8">'[45]תזרים $'!#REF!</definedName>
    <definedName name="דוח_תזרים_שח">'[45]תזרים $'!#REF!</definedName>
    <definedName name="דוח96_95" localSheetId="35">#REF!,#REF!</definedName>
    <definedName name="דוח96_95" localSheetId="36">#REF!,#REF!</definedName>
    <definedName name="דוח96_95" localSheetId="8">#REF!,#REF!</definedName>
    <definedName name="דוח96_95">#REF!,#REF!</definedName>
    <definedName name="דוחות_דולר">[46]דוחות!$B$4:$I$50,[46]דוחות!$C$52:$G$78</definedName>
    <definedName name="דוחות_כספיים_מאוחדים" localSheetId="35">'[47]דוחות כספיים'!#REF!,'[47]דוחות כספיים'!$B$1:$F$19,'[47]דוחות כספיים'!$B$21:$J$42,'[47]דוחות כספיים'!$B$45:$H$64,'[47]דוחות כספיים'!#REF!</definedName>
    <definedName name="דוחות_כספיים_מאוחדים" localSheetId="36">'[47]דוחות כספיים'!#REF!,'[47]דוחות כספיים'!$B$1:$F$19,'[47]דוחות כספיים'!$B$21:$J$42,'[47]דוחות כספיים'!$B$45:$H$64,'[47]דוחות כספיים'!#REF!</definedName>
    <definedName name="דוחות_כספיים_מאוחדים" localSheetId="8">'[47]דוחות כספיים'!#REF!,'[47]דוחות כספיים'!$B$1:$F$19,'[47]דוחות כספיים'!$B$21:$J$42,'[47]דוחות כספיים'!$B$45:$H$64,'[47]דוחות כספיים'!#REF!</definedName>
    <definedName name="דוחות_כספיים_מאוחדים">'[47]דוחות כספיים'!#REF!,'[47]דוחות כספיים'!$B$1:$F$19,'[47]דוחות כספיים'!$B$21:$J$42,'[47]דוחות כספיים'!$B$45:$H$64,'[47]דוחות כספיים'!#REF!</definedName>
    <definedName name="דוחות_שח">[46]דוחות!$K$4:$R$50,[46]דוחות!$L$52:$P$78</definedName>
    <definedName name="דולר_1296" localSheetId="35">'[48]הרכבה ש"ח'!#REF!</definedName>
    <definedName name="דולר_1296" localSheetId="36">'[48]הרכבה ש"ח'!#REF!</definedName>
    <definedName name="דולר_1296" localSheetId="8">'[48]הרכבה ש"ח'!#REF!</definedName>
    <definedName name="דולר_1296">'[48]הרכבה ש"ח'!#REF!</definedName>
    <definedName name="דולר_י.ס.">'[49]נתונים לשינוי'!$G$5</definedName>
    <definedName name="דולר_מרץ" localSheetId="8">'[48]הרכבה ש"ח'!#REF!</definedName>
    <definedName name="דולר_מרץ">'[48]הרכבה ש"ח'!#REF!</definedName>
    <definedName name="דולרזכות" localSheetId="35">#REF!</definedName>
    <definedName name="דולרזכות" localSheetId="36">#REF!</definedName>
    <definedName name="דולרזכות" localSheetId="8">#REF!</definedName>
    <definedName name="דולרזכות">#REF!</definedName>
    <definedName name="דולרחובה" localSheetId="35">#REF!</definedName>
    <definedName name="דולרחובה" localSheetId="36">#REF!</definedName>
    <definedName name="דולרחובה" localSheetId="8">#REF!</definedName>
    <definedName name="דולרחובה">#REF!</definedName>
    <definedName name="דיווח_עודפות" localSheetId="35">'[50]שמ"מ מ"ה'!#REF!</definedName>
    <definedName name="דיווח_עודפות" localSheetId="36">'[50]שמ"מ מ"ה'!#REF!</definedName>
    <definedName name="דיווח_עודפות" localSheetId="8">'[50]שמ"מ מ"ה'!#REF!</definedName>
    <definedName name="דיווח_עודפות" localSheetId="41">'[51]שמ"מ מ"ה'!#REF!</definedName>
    <definedName name="דיווח_עודפות">'[50]שמ"מ מ"ה'!#REF!</definedName>
    <definedName name="דצמב">[52]index!$B$13</definedName>
    <definedName name="דצמבר" localSheetId="43">[53]index!$B$13</definedName>
    <definedName name="דצמבר" localSheetId="35">#REF!</definedName>
    <definedName name="דצמבר" localSheetId="36">#REF!</definedName>
    <definedName name="דצמבר" localSheetId="8">#REF!</definedName>
    <definedName name="דצמבר" localSheetId="41">[54]index!$B$13</definedName>
    <definedName name="דצמבר">#REF!</definedName>
    <definedName name="דצמברשנהקודמת" localSheetId="43">[53]index!$B$1</definedName>
    <definedName name="דצמברשנהקודמת" localSheetId="35">#REF!</definedName>
    <definedName name="דצמברשנהקודמת" localSheetId="36">#REF!</definedName>
    <definedName name="דצמברשנהקודמת" localSheetId="8">#REF!</definedName>
    <definedName name="דצמברשנהקודמת" localSheetId="41">[54]index!$B$1</definedName>
    <definedName name="דצמברשנהקודמת">#REF!</definedName>
    <definedName name="הדרכה" localSheetId="35">#REF!,#REF!,#REF!</definedName>
    <definedName name="הדרכה" localSheetId="36">#REF!,#REF!,#REF!</definedName>
    <definedName name="הדרכה" localSheetId="8">#REF!,#REF!,#REF!</definedName>
    <definedName name="הדרכה">#REF!,#REF!,#REF!</definedName>
    <definedName name="הון" localSheetId="35">#REF!</definedName>
    <definedName name="הון" localSheetId="36">#REF!</definedName>
    <definedName name="הון" localSheetId="8">#REF!</definedName>
    <definedName name="הון">#REF!</definedName>
    <definedName name="הוצאות_הכנסות_אחרות" localSheetId="35">#REF!</definedName>
    <definedName name="הוצאות_הכנסות_אחרות" localSheetId="36">#REF!</definedName>
    <definedName name="הוצאות_הכנסות_אחרות" localSheetId="8">#REF!</definedName>
    <definedName name="הוצאות_הכנסות_אחרות">#REF!</definedName>
    <definedName name="הוצאות_הכנסות_מימון_נטו" localSheetId="35">#REF!</definedName>
    <definedName name="הוצאות_הכנסות_מימון_נטו" localSheetId="36">#REF!</definedName>
    <definedName name="הוצאות_הכנסות_מימון_נטו" localSheetId="8">#REF!</definedName>
    <definedName name="הוצאות_הכנסות_מימון_נטו">#REF!</definedName>
    <definedName name="הוצאות_מחקר_ופיתוח" localSheetId="35">#REF!</definedName>
    <definedName name="הוצאות_מחקר_ופיתוח" localSheetId="36">#REF!</definedName>
    <definedName name="הוצאות_מחקר_ופיתוח" localSheetId="8">#REF!</definedName>
    <definedName name="הוצאות_מחקר_ופיתוח">#REF!</definedName>
    <definedName name="הוצאות_מימון_95" localSheetId="7">'[55]דוחות LTD'!#REF!</definedName>
    <definedName name="הוצאות_מימון_95" localSheetId="35">[56]דוחות!#REF!</definedName>
    <definedName name="הוצאות_מימון_95" localSheetId="36">[56]דוחות!#REF!</definedName>
    <definedName name="הוצאות_מימון_95" localSheetId="8">[56]דוחות!#REF!</definedName>
    <definedName name="הוצאות_מימון_95" localSheetId="41">[57]דוחות!#REF!</definedName>
    <definedName name="הוצאות_מימון_95">[56]דוחות!#REF!</definedName>
    <definedName name="הוצאות_מכירה" localSheetId="35">#REF!</definedName>
    <definedName name="הוצאות_מכירה" localSheetId="36">#REF!</definedName>
    <definedName name="הוצאות_מכירה" localSheetId="8">#REF!</definedName>
    <definedName name="הוצאות_מכירה">#REF!</definedName>
    <definedName name="הוצאות_מכירה_ושיווק" localSheetId="35">#REF!</definedName>
    <definedName name="הוצאות_מכירה_ושיווק" localSheetId="36">#REF!</definedName>
    <definedName name="הוצאות_מכירה_ושיווק" localSheetId="8">#REF!</definedName>
    <definedName name="הוצאות_מכירה_ושיווק">#REF!</definedName>
    <definedName name="הוצאות_פחת">'[28]מעגל רכוש קבוע'!$L$17</definedName>
    <definedName name="הוצאות_שיווק" localSheetId="35">#REF!</definedName>
    <definedName name="הוצאות_שיווק" localSheetId="36">#REF!</definedName>
    <definedName name="הוצאות_שיווק" localSheetId="8">#REF!</definedName>
    <definedName name="הוצאות_שיווק">#REF!</definedName>
    <definedName name="הוצאות_תפעול" localSheetId="35">#REF!</definedName>
    <definedName name="הוצאות_תפעול" localSheetId="36">#REF!</definedName>
    <definedName name="הוצאות_תפעול" localSheetId="8">#REF!</definedName>
    <definedName name="הוצאות_תפעול">#REF!</definedName>
    <definedName name="הכנסות" localSheetId="7">'[55]דוחות LTD'!#REF!</definedName>
    <definedName name="הכנסות" localSheetId="35">#REF!</definedName>
    <definedName name="הכנסות" localSheetId="36">#REF!</definedName>
    <definedName name="הכנסות" localSheetId="8">#REF!</definedName>
    <definedName name="הכנסות">#REF!</definedName>
    <definedName name="הלואות_בעלים" localSheetId="35">#REF!</definedName>
    <definedName name="הלואות_בעלים" localSheetId="36">#REF!</definedName>
    <definedName name="הלואות_בעלים" localSheetId="8">#REF!</definedName>
    <definedName name="הלואות_בעלים">#REF!</definedName>
    <definedName name="הלוואות" localSheetId="35">#REF!</definedName>
    <definedName name="הלוואות" localSheetId="36">#REF!</definedName>
    <definedName name="הלוואות" localSheetId="8">#REF!</definedName>
    <definedName name="הלוואות">#REF!</definedName>
    <definedName name="הלוואות_לזמן_ארוך" localSheetId="35">#REF!</definedName>
    <definedName name="הלוואות_לזמן_ארוך" localSheetId="36">#REF!</definedName>
    <definedName name="הלוואות_לזמן_ארוך" localSheetId="8">#REF!</definedName>
    <definedName name="הלוואות_לזמן_ארוך">#REF!</definedName>
    <definedName name="הנהלה" localSheetId="35">#REF!</definedName>
    <definedName name="הנהלה" localSheetId="36">#REF!</definedName>
    <definedName name="הנהלה" localSheetId="8">#REF!</definedName>
    <definedName name="הנהלה">#REF!</definedName>
    <definedName name="הנפקות_הון" localSheetId="35">'[58]מס הכנסה'!#REF!</definedName>
    <definedName name="הנפקות_הון" localSheetId="36">'[58]מס הכנסה'!#REF!</definedName>
    <definedName name="הנפקות_הון" localSheetId="8">'[58]מס הכנסה'!#REF!</definedName>
    <definedName name="הנפקות_הון">'[58]מס הכנסה'!#REF!</definedName>
    <definedName name="העמסה" localSheetId="35">#REF!</definedName>
    <definedName name="העמסה" localSheetId="36">#REF!</definedName>
    <definedName name="העמסה" localSheetId="8">#REF!</definedName>
    <definedName name="העמסה">#REF!</definedName>
    <definedName name="הפסד_דולר">'[48]הרכבה ש"ח'!$A$8:$J$41,'[48]הרכבה ש"ח'!$A$42:$J$56,'[48]הרכבה ש"ח'!$A$59:$J$85</definedName>
    <definedName name="הפסד_שח" localSheetId="35">#REF!</definedName>
    <definedName name="הפסד_שח" localSheetId="36">#REF!</definedName>
    <definedName name="הפסד_שח" localSheetId="8">#REF!</definedName>
    <definedName name="הפסד_שח">#REF!</definedName>
    <definedName name="הרכבה">[59]pldt:תזרים!$B$1:$F$28,[59]pldt:תזרים!$B$30:$F$62</definedName>
    <definedName name="הרכבהמאוחד">'[60]הרכבה מאוחד'!$B$8:$L$46,'[60]הרכבה מאוחד'!$B$49:$L$86,'[60]הרכבה מאוחד'!$B$91:$L$124,'[60]הרכבה מאוחד'!$B$126:$L$163,'[60]הרכבה מאוחד'!$B$165:$L$198,'[60]הרכבה מאוחד'!$B$200:$L$237,'[60]הרכבה מאוחד'!$B$239:$L$277</definedName>
    <definedName name="השוואה_באחוזים_רווח" localSheetId="35">'[45]ניתוח אנליטי-רו"ה'!#REF!</definedName>
    <definedName name="השוואה_באחוזים_רווח" localSheetId="36">'[45]ניתוח אנליטי-רו"ה'!#REF!</definedName>
    <definedName name="השוואה_באחוזים_רווח" localSheetId="8">'[45]ניתוח אנליטי-רו"ה'!#REF!</definedName>
    <definedName name="השוואה_באחוזים_רווח">'[45]ניתוח אנליטי-רו"ה'!#REF!</definedName>
    <definedName name="השקעה" localSheetId="35">#REF!</definedName>
    <definedName name="השקעה" localSheetId="36">#REF!</definedName>
    <definedName name="השקעה" localSheetId="8">#REF!</definedName>
    <definedName name="השקעה">#REF!</definedName>
    <definedName name="השקעה_בבטוחות">'[28]פקדונות וניירות ערך'!$F$8</definedName>
    <definedName name="השקעה_במניות_שטרי_הון_והלוואות" localSheetId="35">#REF!</definedName>
    <definedName name="השקעה_במניות_שטרי_הון_והלוואות" localSheetId="36">#REF!</definedName>
    <definedName name="השקעה_במניות_שטרי_הון_והלוואות" localSheetId="8">#REF!</definedName>
    <definedName name="השקעה_במניות_שטרי_הון_והלוואות">#REF!</definedName>
    <definedName name="השקעות" localSheetId="35">#REF!</definedName>
    <definedName name="השקעות" localSheetId="36">#REF!</definedName>
    <definedName name="השקעות" localSheetId="8">#REF!</definedName>
    <definedName name="השקעות">#REF!</definedName>
    <definedName name="השקעות_אחרות" localSheetId="35">#REF!</definedName>
    <definedName name="השקעות_אחרות" localSheetId="36">#REF!</definedName>
    <definedName name="השקעות_אחרות" localSheetId="8">#REF!</definedName>
    <definedName name="השקעות_אחרות">#REF!</definedName>
    <definedName name="השתתפות_מדען" localSheetId="35">#REF!</definedName>
    <definedName name="השתתפות_מדען" localSheetId="36">#REF!</definedName>
    <definedName name="השתתפות_מדען" localSheetId="8">#REF!</definedName>
    <definedName name="השתתפות_מדען">#REF!</definedName>
    <definedName name="התחייבויות_תלויות" localSheetId="35">#REF!</definedName>
    <definedName name="התחייבויות_תלויות" localSheetId="36">#REF!</definedName>
    <definedName name="התחייבויות_תלויות" localSheetId="8">#REF!</definedName>
    <definedName name="התחייבויות_תלויות">#REF!</definedName>
    <definedName name="התחייבות_בגין_פיצויים" localSheetId="35">#REF!</definedName>
    <definedName name="התחייבות_בגין_פיצויים" localSheetId="36">#REF!</definedName>
    <definedName name="התחייבות_בגין_פיצויים" localSheetId="8">#REF!</definedName>
    <definedName name="התחייבות_בגין_פיצויים">#REF!</definedName>
    <definedName name="התפתחות_אופציות" localSheetId="35">#REF!</definedName>
    <definedName name="התפתחות_אופציות" localSheetId="36">#REF!</definedName>
    <definedName name="התפתחות_אופציות" localSheetId="8">#REF!</definedName>
    <definedName name="התפתחות_אופציות">#REF!</definedName>
    <definedName name="וםועןו" localSheetId="4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וםועןו" localSheetId="35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וםועןו" localSheetId="36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וםועןו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זכאים" localSheetId="7">#REF!</definedName>
    <definedName name="זכאים" localSheetId="35">#REF!</definedName>
    <definedName name="זכאים" localSheetId="36">#REF!</definedName>
    <definedName name="זכאים" localSheetId="8">#REF!</definedName>
    <definedName name="זכאים">#REF!</definedName>
    <definedName name="זכאים_אחרים" localSheetId="35">#REF!</definedName>
    <definedName name="זכאים_אחרים" localSheetId="36">#REF!</definedName>
    <definedName name="זכאים_אחרים" localSheetId="8">#REF!</definedName>
    <definedName name="זכאים_אחרים">#REF!</definedName>
    <definedName name="חו_זים_בינחברתיים" localSheetId="35">#REF!</definedName>
    <definedName name="חו_זים_בינחברתיים" localSheetId="36">#REF!</definedName>
    <definedName name="חו_זים_בינחברתיים" localSheetId="8">#REF!</definedName>
    <definedName name="חו_זים_בינחברתיים">#REF!</definedName>
    <definedName name="חוז_בינחברתי" localSheetId="35">#REF!</definedName>
    <definedName name="חוז_בינחברתי" localSheetId="36">#REF!</definedName>
    <definedName name="חוז_בינחברתי" localSheetId="8">#REF!</definedName>
    <definedName name="חוז_בינחברתי">#REF!</definedName>
    <definedName name="חחי" localSheetId="35">#REF!</definedName>
    <definedName name="חחי" localSheetId="36">#REF!</definedName>
    <definedName name="חחי" localSheetId="8">#REF!</definedName>
    <definedName name="חחי">#REF!</definedName>
    <definedName name="חחם" localSheetId="43">{"סעיף",0,"Auto","Auto",""}</definedName>
    <definedName name="חחם" localSheetId="35">{"סעיף",0,"Auto","Auto",""}</definedName>
    <definedName name="חחם" localSheetId="36">{"סעיף",0,"Auto","Auto",""}</definedName>
    <definedName name="חחם">{"סעיף",0,"Auto","Auto",""}</definedName>
    <definedName name="חייבים" localSheetId="7">#REF!</definedName>
    <definedName name="חייבים" localSheetId="35">#REF!</definedName>
    <definedName name="חייבים" localSheetId="36">#REF!</definedName>
    <definedName name="חייבים" localSheetId="8">#REF!</definedName>
    <definedName name="חייבים">#REF!</definedName>
    <definedName name="חייבים_ויתרות_חובה" localSheetId="35">#REF!</definedName>
    <definedName name="חייבים_ויתרות_חובה" localSheetId="36">#REF!</definedName>
    <definedName name="חייבים_ויתרות_חובה" localSheetId="8">#REF!</definedName>
    <definedName name="חייבים_ויתרות_חובה">#REF!</definedName>
    <definedName name="חךל" localSheetId="43" hidden="1">{"דוח כספי",#N/A,FALSE,"מאזנים";"דוח כספי בבלי",#N/A,FALSE,"דוח רוו""ה";"דוח כספי בבלי",#N/A,FALSE,"הון עצמי";"דוח כספי בבלי",#N/A,FALSE,"תזרים"}</definedName>
    <definedName name="חךל" localSheetId="35" hidden="1">{"דוח כספי",#N/A,FALSE,"מאזנים";"דוח כספי בבלי",#N/A,FALSE,"דוח רוו""ה";"דוח כספי בבלי",#N/A,FALSE,"הון עצמי";"דוח כספי בבלי",#N/A,FALSE,"תזרים"}</definedName>
    <definedName name="חךל" localSheetId="36" hidden="1">{"דוח כספי",#N/A,FALSE,"מאזנים";"דוח כספי בבלי",#N/A,FALSE,"דוח רוו""ה";"דוח כספי בבלי",#N/A,FALSE,"הון עצמי";"דוח כספי בבלי",#N/A,FALSE,"תזרים"}</definedName>
    <definedName name="חךל" hidden="1">{"דוח כספי",#N/A,FALSE,"מאזנים";"דוח כספי בבלי",#N/A,FALSE,"דוח רוו""ה";"דוח כספי בבלי",#N/A,FALSE,"הון עצמי";"דוח כספי בבלי",#N/A,FALSE,"תזרים"}</definedName>
    <definedName name="חשבון" localSheetId="8">#REF!</definedName>
    <definedName name="חשבון">#REF!</definedName>
    <definedName name="חשבונות" localSheetId="35">#REF!</definedName>
    <definedName name="חשבונות" localSheetId="36">#REF!</definedName>
    <definedName name="חשבונות" localSheetId="8">#REF!</definedName>
    <definedName name="חשבונות">#REF!</definedName>
    <definedName name="טטט" localSheetId="35">#REF!</definedName>
    <definedName name="טטט" localSheetId="36">#REF!</definedName>
    <definedName name="טטט" localSheetId="8">#REF!</definedName>
    <definedName name="טטט">#REF!</definedName>
    <definedName name="טיי">[61]index!$B$13</definedName>
    <definedName name="טלדור">'[43]קבוצת טלדור'!$N$6:$T$58,'[43]קבוצת טלדור'!$N$60:$T$108,'[43]קבוצת טלדור'!$N$113:$T$154</definedName>
    <definedName name="טנדם">[43]טנדם!$C$6:$J$68,[43]טנדם!$C$70:$J$108,[43]טנדם!$C$113:$J$155</definedName>
    <definedName name="טראט" localSheetId="35">#REF!</definedName>
    <definedName name="טראט" localSheetId="36">#REF!</definedName>
    <definedName name="טראט" localSheetId="8">#REF!</definedName>
    <definedName name="טראט">#REF!</definedName>
    <definedName name="טתנ">'[43]קבוצת טלדור'!$C$6:$K$68,'[43]קבוצת טלדור'!$C$70:$K$108,'[43]קבוצת טלדור'!$C$113:$K$154</definedName>
    <definedName name="יולי" localSheetId="35">#REF!</definedName>
    <definedName name="יולי" localSheetId="36">#REF!</definedName>
    <definedName name="יולי" localSheetId="8">#REF!</definedName>
    <definedName name="יולי" localSheetId="41">[42]index!$B$8</definedName>
    <definedName name="יולי">#REF!</definedName>
    <definedName name="יוני" localSheetId="35">#REF!</definedName>
    <definedName name="יוני" localSheetId="36">#REF!</definedName>
    <definedName name="יוני" localSheetId="8">#REF!</definedName>
    <definedName name="יוני" localSheetId="41">#REF!</definedName>
    <definedName name="יוני">#REF!</definedName>
    <definedName name="יוני1" localSheetId="35">#REF!</definedName>
    <definedName name="יוני1" localSheetId="36">#REF!</definedName>
    <definedName name="יוני1" localSheetId="8">#REF!</definedName>
    <definedName name="יוני1">#REF!</definedName>
    <definedName name="יורו_י.ס">'[49]נתונים לשינוי'!$G$7</definedName>
    <definedName name="יךםין" localSheetId="43">{"חובה","SUM(חובה)","YNNNN",FALSE}</definedName>
    <definedName name="יךםין" localSheetId="35">{"חובה","SUM(חובה)","YNNNN",FALSE}</definedName>
    <definedName name="יךםין" localSheetId="36">{"חובה","SUM(חובה)","YNNNN",FALSE}</definedName>
    <definedName name="יךםין">{"חובה","SUM(חובה)","YNNNN",FALSE}</definedName>
    <definedName name="ימין" localSheetId="8">'[62]דוח פיצויים'!#REF!</definedName>
    <definedName name="ימין">'[62]דוח פיצויים'!#REF!</definedName>
    <definedName name="ינואר" localSheetId="35">#REF!</definedName>
    <definedName name="ינואר" localSheetId="36">#REF!</definedName>
    <definedName name="ינואר" localSheetId="8">#REF!</definedName>
    <definedName name="ינואר" localSheetId="41">#REF!</definedName>
    <definedName name="ינואר">#REF!</definedName>
    <definedName name="יעדים_גיאוגרפיים" localSheetId="35">#REF!</definedName>
    <definedName name="יעדים_גיאוגרפיים" localSheetId="36">#REF!</definedName>
    <definedName name="יעדים_גיאוגרפיים" localSheetId="8">#REF!</definedName>
    <definedName name="יעדים_גיאוגרפיים">#REF!</definedName>
    <definedName name="ירושלים" localSheetId="35">#REF!,#REF!,#REF!</definedName>
    <definedName name="ירושלים" localSheetId="36">#REF!,#REF!,#REF!</definedName>
    <definedName name="ירושלים" localSheetId="8">#REF!,#REF!,#REF!</definedName>
    <definedName name="ירושלים">#REF!,#REF!,#REF!</definedName>
    <definedName name="יתרות_חו_ז_בינחברתיות" localSheetId="35">#REF!</definedName>
    <definedName name="יתרות_חו_ז_בינחברתיות" localSheetId="36">#REF!</definedName>
    <definedName name="יתרות_חו_ז_בינחברתיות" localSheetId="8">#REF!</definedName>
    <definedName name="יתרות_חו_ז_בינחברתיות">#REF!</definedName>
    <definedName name="יתרות_ספק_לקוח_בינחברתיות" localSheetId="35">#REF!</definedName>
    <definedName name="יתרות_ספק_לקוח_בינחברתיות" localSheetId="36">#REF!</definedName>
    <definedName name="יתרות_ספק_לקוח_בינחברתיות" localSheetId="8">#REF!</definedName>
    <definedName name="יתרות_ספק_לקוח_בינחברתיות">#REF!</definedName>
    <definedName name="ךלח" localSheetId="43" hidden="1">{"דוח כספי",#N/A,FALSE,"מאזנים";"דוח כספי בבלי",#N/A,FALSE,"דוח רוו""ה";"דוח כספי בבלי",#N/A,FALSE,"הון עצמי";"דוח כספי בבלי",#N/A,FALSE,"תזרים"}</definedName>
    <definedName name="ךלח" localSheetId="35" hidden="1">{"דוח כספי",#N/A,FALSE,"מאזנים";"דוח כספי בבלי",#N/A,FALSE,"דוח רוו""ה";"דוח כספי בבלי",#N/A,FALSE,"הון עצמי";"דוח כספי בבלי",#N/A,FALSE,"תזרים"}</definedName>
    <definedName name="ךלח" localSheetId="36" hidden="1">{"דוח כספי",#N/A,FALSE,"מאזנים";"דוח כספי בבלי",#N/A,FALSE,"דוח רוו""ה";"דוח כספי בבלי",#N/A,FALSE,"הון עצמי";"דוח כספי בבלי",#N/A,FALSE,"תזרים"}</definedName>
    <definedName name="ךלח" hidden="1">{"דוח כספי",#N/A,FALSE,"מאזנים";"דוח כספי בבלי",#N/A,FALSE,"דוח רוו""ה";"דוח כספי בבלי",#N/A,FALSE,"הון עצמי";"דוח כספי בבלי",#N/A,FALSE,"תזרים"}</definedName>
    <definedName name="כללי" localSheetId="8">'[63]שמ"מ מ"ה'!#REF!</definedName>
    <definedName name="כללי" localSheetId="41">'[64]שמ"מ מ"ה'!#REF!</definedName>
    <definedName name="כללי">'[63]שמ"מ מ"ה'!#REF!</definedName>
    <definedName name="ללללל" localSheetId="35">#REF!</definedName>
    <definedName name="ללללל" localSheetId="36">#REF!</definedName>
    <definedName name="ללללל" localSheetId="8">#REF!</definedName>
    <definedName name="ללללל">#REF!</definedName>
    <definedName name="לקוחות" localSheetId="35">#REF!</definedName>
    <definedName name="לקוחות" localSheetId="36">#REF!</definedName>
    <definedName name="לקוחות" localSheetId="8">#REF!</definedName>
    <definedName name="לקוחות">#REF!</definedName>
    <definedName name="לקוחות_עיקריים" localSheetId="35">#REF!</definedName>
    <definedName name="לקוחות_עיקריים" localSheetId="36">#REF!</definedName>
    <definedName name="לקוחות_עיקריים" localSheetId="8">#REF!</definedName>
    <definedName name="לקוחות_עיקריים">#REF!</definedName>
    <definedName name="מ" localSheetId="43" hidden="1">{"דוח כספי",#N/A,FALSE,"מאזנים";"דוח כספי",#N/A,FALSE,"דוח רוו""ה";"דוח כספי",#N/A,FALSE,"הון עצמי";"תזרים",#N/A,FALSE,"תזרים"}</definedName>
    <definedName name="מ" localSheetId="35" hidden="1">{"דוח כספי",#N/A,FALSE,"מאזנים";"דוח כספי",#N/A,FALSE,"דוח רוו""ה";"דוח כספי",#N/A,FALSE,"הון עצמי";"תזרים",#N/A,FALSE,"תזרים"}</definedName>
    <definedName name="מ" localSheetId="36" hidden="1">{"דוח כספי",#N/A,FALSE,"מאזנים";"דוח כספי",#N/A,FALSE,"דוח רוו""ה";"דוח כספי",#N/A,FALSE,"הון עצמי";"תזרים",#N/A,FALSE,"תזרים"}</definedName>
    <definedName name="מ" hidden="1">{"דוח כספי",#N/A,FALSE,"מאזנים";"דוח כספי",#N/A,FALSE,"דוח רוו""ה";"דוח כספי",#N/A,FALSE,"הון עצמי";"תזרים",#N/A,FALSE,"תזרים"}</definedName>
    <definedName name="מ.נדחה" localSheetId="43">{"סעיף",0,"Auto","Auto",""}</definedName>
    <definedName name="מ.נדחה" localSheetId="35">{"סעיף",0,"Auto","Auto",""}</definedName>
    <definedName name="מ.נדחה" localSheetId="36">{"סעיף",0,"Auto","Auto",""}</definedName>
    <definedName name="מ.נדחה">{"סעיף",0,"Auto","Auto",""}</definedName>
    <definedName name="מאוחד">'[65]הרכבה מאוחד'!$C$5:$L$86,'[65]הרכבה מאוחד'!$C$88:$L$159,'[65]הרכבה מאוחד'!$C$201:$L$208</definedName>
    <definedName name="מאוחדמש">'[65]הרכבה מאוחד'!$C$5:$L$44,'[65]הרכבה מאוחד'!$C$49:$L$82,'[65]הרכבה מאוחד'!$C$85:$L$115</definedName>
    <definedName name="מאזן" localSheetId="35">#REF!</definedName>
    <definedName name="מאזן" localSheetId="36">#REF!</definedName>
    <definedName name="מאזן" localSheetId="8">#REF!</definedName>
    <definedName name="מאזן" localSheetId="41">#REF!</definedName>
    <definedName name="מאזן">#REF!</definedName>
    <definedName name="מאזן_" localSheetId="35">#REF!</definedName>
    <definedName name="מאזן_" localSheetId="36">#REF!</definedName>
    <definedName name="מאזן_" localSheetId="8">#REF!</definedName>
    <definedName name="מאזן_">#REF!</definedName>
    <definedName name="מאזן___השוואה_אנליטית" localSheetId="35">#REF!</definedName>
    <definedName name="מאזן___השוואה_אנליטית" localSheetId="36">#REF!</definedName>
    <definedName name="מאזן___השוואה_אנליטית" localSheetId="8">#REF!</definedName>
    <definedName name="מאזן___השוואה_אנליטית">#REF!</definedName>
    <definedName name="מאזן_אקטיב_ארהב" localSheetId="35">#REF!</definedName>
    <definedName name="מאזן_אקטיב_ארהב" localSheetId="36">#REF!</definedName>
    <definedName name="מאזן_אקטיב_ארהב" localSheetId="8">#REF!</definedName>
    <definedName name="מאזן_אקטיב_ארהב">#REF!</definedName>
    <definedName name="מאזן_אקטיב_ישראל" localSheetId="35">#REF!</definedName>
    <definedName name="מאזן_אקטיב_ישראל" localSheetId="36">#REF!</definedName>
    <definedName name="מאזן_אקטיב_ישראל" localSheetId="8">#REF!</definedName>
    <definedName name="מאזן_אקטיב_ישראל">#REF!</definedName>
    <definedName name="מאזן_אקטיב_צרפת" localSheetId="35">#REF!</definedName>
    <definedName name="מאזן_אקטיב_צרפת" localSheetId="36">#REF!</definedName>
    <definedName name="מאזן_אקטיב_צרפת" localSheetId="8">#REF!</definedName>
    <definedName name="מאזן_אקטיב_צרפת">#REF!</definedName>
    <definedName name="מאזן_אקטיב_קיימן" localSheetId="35">#REF!</definedName>
    <definedName name="מאזן_אקטיב_קיימן" localSheetId="36">#REF!</definedName>
    <definedName name="מאזן_אקטיב_קיימן" localSheetId="8">#REF!</definedName>
    <definedName name="מאזן_אקטיב_קיימן">#REF!</definedName>
    <definedName name="מאזן_דולר">'[48]הרכבה ש"ח'!$A$8:$J$41,'[48]הרכבה ש"ח'!$A$42:$J$56,'[48]הרכבה ש"ח'!$A$59:$J$85</definedName>
    <definedName name="מאזן_מותאם" localSheetId="35">#REF!</definedName>
    <definedName name="מאזן_מותאם" localSheetId="36">#REF!</definedName>
    <definedName name="מאזן_מותאם" localSheetId="8">#REF!</definedName>
    <definedName name="מאזן_מותאם">#REF!</definedName>
    <definedName name="מאזן_נומינלי" localSheetId="35">#REF!</definedName>
    <definedName name="מאזן_נומינלי" localSheetId="36">#REF!</definedName>
    <definedName name="מאזן_נומינלי" localSheetId="8">#REF!</definedName>
    <definedName name="מאזן_נומינלי">#REF!</definedName>
    <definedName name="מאזן_פאסיב_ארהב" localSheetId="35">#REF!</definedName>
    <definedName name="מאזן_פאסיב_ארהב" localSheetId="36">#REF!</definedName>
    <definedName name="מאזן_פאסיב_ארהב" localSheetId="8">#REF!</definedName>
    <definedName name="מאזן_פאסיב_ארהב">#REF!</definedName>
    <definedName name="מאזן_פאסיב_ישראל" localSheetId="35">#REF!</definedName>
    <definedName name="מאזן_פאסיב_ישראל" localSheetId="36">#REF!</definedName>
    <definedName name="מאזן_פאסיב_ישראל" localSheetId="8">#REF!</definedName>
    <definedName name="מאזן_פאסיב_ישראל">#REF!</definedName>
    <definedName name="מאזן_פאסיב_צרפת" localSheetId="35">#REF!</definedName>
    <definedName name="מאזן_פאסיב_צרפת" localSheetId="36">#REF!</definedName>
    <definedName name="מאזן_פאסיב_צרפת" localSheetId="8">#REF!</definedName>
    <definedName name="מאזן_פאסיב_צרפת">#REF!</definedName>
    <definedName name="מאזן_פאסיב_קיימן" localSheetId="35">#REF!</definedName>
    <definedName name="מאזן_פאסיב_קיימן" localSheetId="36">#REF!</definedName>
    <definedName name="מאזן_פאסיב_קיימן" localSheetId="8">#REF!</definedName>
    <definedName name="מאזן_פאסיב_קיימן">#REF!</definedName>
    <definedName name="מאזן_שח">[66]דוחות!$K$4:$R$41</definedName>
    <definedName name="מאזנים">'[67]מאזן ורוו"ה'!$A$2:$I$49,'[67]מאזן ורוו"ה'!$K$7:$R$49</definedName>
    <definedName name="מאזןמתוא" localSheetId="35">#REF!</definedName>
    <definedName name="מאזןמתוא" localSheetId="36">#REF!</definedName>
    <definedName name="מאזןמתוא" localSheetId="8">#REF!</definedName>
    <definedName name="מאזןמתוא">#REF!</definedName>
    <definedName name="מאי" localSheetId="35">#REF!</definedName>
    <definedName name="מאי" localSheetId="36">#REF!</definedName>
    <definedName name="מאי" localSheetId="8">#REF!</definedName>
    <definedName name="מאי" localSheetId="41">#REF!</definedName>
    <definedName name="מאי">#REF!</definedName>
    <definedName name="מאקרו1" localSheetId="41">[68]!מאקרו1</definedName>
    <definedName name="מאקרו1">[69]!מאקרו1</definedName>
    <definedName name="מאקרו10">[69]!מאקרו10</definedName>
    <definedName name="מאקרו2" localSheetId="41">[68]!מאקרו2</definedName>
    <definedName name="מאקרו2">[69]!מאקרו2</definedName>
    <definedName name="מאקרו3">[69]!מאקרו3</definedName>
    <definedName name="מאקרו4">[69]!מאקרו4</definedName>
    <definedName name="מאקרו5">[69]!מאקרו5</definedName>
    <definedName name="מאקרו6">[69]!מאקרו6</definedName>
    <definedName name="מאקרו7">[69]!מאקרו7</definedName>
    <definedName name="מאקרו8">[69]!מאקרו8</definedName>
    <definedName name="מאקרו9">[69]!מאקרו9</definedName>
    <definedName name="מבחן_מחזורים" localSheetId="35">#REF!</definedName>
    <definedName name="מבחן_מחזורים" localSheetId="36">#REF!</definedName>
    <definedName name="מבחן_מחזורים" localSheetId="8">#REF!</definedName>
    <definedName name="מבחן_מחזורים">#REF!</definedName>
    <definedName name="מדד_ידוע_12_93" localSheetId="35">#REF!</definedName>
    <definedName name="מדד_ידוע_12_93" localSheetId="36">#REF!</definedName>
    <definedName name="מדד_ידוע_12_93" localSheetId="8">#REF!</definedName>
    <definedName name="מדד_ידוע_12_93">#REF!</definedName>
    <definedName name="מוניטיןבPOS">[35]השקעות!$AJ$21:$AJ$31,[35]השקעות!$AI$21:$AI$27,[35]השקעות!$AH$22:$AH$27,[35]השקעות!$AG$21:$AG$31,[35]השקעות!$AF$21:$AF$31,[35]השקעות!$AC$21:$AC$27,[35]השקעות!$AA$21:$AA$28,[35]השקעות!$Z$21:$Z$31,[35]השקעות!$W$21:$W$23,[35]השקעות!$W$27,[35]השקעות!$AH$36,[35]השקעות!$AI$36</definedName>
    <definedName name="מופ" localSheetId="35">#REF!</definedName>
    <definedName name="מופ" localSheetId="36">#REF!</definedName>
    <definedName name="מופ" localSheetId="8">#REF!</definedName>
    <definedName name="מופ">#REF!</definedName>
    <definedName name="מזומנים" localSheetId="35">#REF!</definedName>
    <definedName name="מזומנים" localSheetId="36">#REF!</definedName>
    <definedName name="מזומנים" localSheetId="8">#REF!</definedName>
    <definedName name="מזומנים">#REF!</definedName>
    <definedName name="מחיר_95" localSheetId="35">#REF!</definedName>
    <definedName name="מחיר_95" localSheetId="36">#REF!</definedName>
    <definedName name="מחיר_95" localSheetId="8">#REF!</definedName>
    <definedName name="מחיר_95">#REF!</definedName>
    <definedName name="מחיר_95_חדש" localSheetId="35">#REF!</definedName>
    <definedName name="מחיר_95_חדש" localSheetId="36">#REF!</definedName>
    <definedName name="מחיר_95_חדש" localSheetId="8">#REF!</definedName>
    <definedName name="מחיר_95_חדש">#REF!</definedName>
    <definedName name="מחיר_96" localSheetId="35">#REF!</definedName>
    <definedName name="מחיר_96" localSheetId="36">#REF!</definedName>
    <definedName name="מחיר_96" localSheetId="8">#REF!</definedName>
    <definedName name="מחיר_96">#REF!</definedName>
    <definedName name="מחיר_96_חדש" localSheetId="35">#REF!</definedName>
    <definedName name="מחיר_96_חדש" localSheetId="36">#REF!</definedName>
    <definedName name="מחיר_96_חדש" localSheetId="8">#REF!</definedName>
    <definedName name="מחיר_96_חדש">#REF!</definedName>
    <definedName name="מחיר_97" localSheetId="35">#REF!</definedName>
    <definedName name="מחיר_97" localSheetId="36">#REF!</definedName>
    <definedName name="מחיר_97" localSheetId="8">#REF!</definedName>
    <definedName name="מחיר_97">#REF!</definedName>
    <definedName name="מחיר_מלא95" localSheetId="35">#REF!</definedName>
    <definedName name="מחיר_מלא95" localSheetId="36">#REF!</definedName>
    <definedName name="מחיר_מלא95" localSheetId="8">#REF!</definedName>
    <definedName name="מחיר_מלא95">#REF!</definedName>
    <definedName name="מחיר_מלא96" localSheetId="35">#REF!</definedName>
    <definedName name="מחיר_מלא96" localSheetId="36">#REF!</definedName>
    <definedName name="מחיר_מלא96" localSheetId="8">#REF!</definedName>
    <definedName name="מחיר_מלא96">#REF!</definedName>
    <definedName name="מחקר_ופיתוח" localSheetId="35">#REF!</definedName>
    <definedName name="מחקר_ופיתוח" localSheetId="36">#REF!</definedName>
    <definedName name="מחקר_ופיתוח" localSheetId="8">#REF!</definedName>
    <definedName name="מחקר_ופיתוח">#REF!</definedName>
    <definedName name="מטבע" localSheetId="35">#REF!</definedName>
    <definedName name="מטבע" localSheetId="36">#REF!</definedName>
    <definedName name="מטבע" localSheetId="8">#REF!</definedName>
    <definedName name="מטבע">#REF!</definedName>
    <definedName name="מימון" localSheetId="35">#REF!</definedName>
    <definedName name="מימון" localSheetId="36">#REF!</definedName>
    <definedName name="מימון" localSheetId="8">#REF!</definedName>
    <definedName name="מימון">#REF!</definedName>
    <definedName name="מימוש_בטוחות">'[28]פקדונות וניירות ערך'!$F$10</definedName>
    <definedName name="מימוש_רכוש">'[28]מעגל רכוש קבוע'!$L$13</definedName>
    <definedName name="מיסים_לפי_חברות" localSheetId="35">#REF!</definedName>
    <definedName name="מיסים_לפי_חברות" localSheetId="36">#REF!</definedName>
    <definedName name="מיסים_לפי_חברות" localSheetId="8">#REF!</definedName>
    <definedName name="מיסים_לפי_חברות">#REF!</definedName>
    <definedName name="מיסים_נדחים" localSheetId="35">#REF!</definedName>
    <definedName name="מיסים_נדחים" localSheetId="36">#REF!</definedName>
    <definedName name="מיסים_נדחים" localSheetId="8">#REF!</definedName>
    <definedName name="מיסים_נדחים">#REF!</definedName>
    <definedName name="מכירות_הדדיות" localSheetId="35">#REF!</definedName>
    <definedName name="מכירות_הדדיות" localSheetId="36">#REF!</definedName>
    <definedName name="מכירות_הדדיות" localSheetId="8">#REF!</definedName>
    <definedName name="מכירות_הדדיות">#REF!</definedName>
    <definedName name="מכירת_רכוש">'[28]מעגל רכוש קבוע'!$L$13</definedName>
    <definedName name="מלאי" localSheetId="35">#REF!</definedName>
    <definedName name="מלאי" localSheetId="36">#REF!</definedName>
    <definedName name="מלאי" localSheetId="8">#REF!</definedName>
    <definedName name="מלאי">#REF!</definedName>
    <definedName name="ממוצ_7_12_97" localSheetId="8">'[70]Consolidation '!#REF!</definedName>
    <definedName name="ממוצ_7_12_97">'[70]Consolidation '!#REF!</definedName>
    <definedName name="ממוצע_7_9.97" localSheetId="8">'[70]Consolidation '!#REF!</definedName>
    <definedName name="ממוצע_7_9.97">'[70]Consolidation '!#REF!</definedName>
    <definedName name="ממוצע_אופציות" localSheetId="8">'[71]רווח למניה רבעוני 1997'!#REF!</definedName>
    <definedName name="ממוצע_אופציות">'[71]רווח למניה רבעוני 1997'!#REF!</definedName>
    <definedName name="ממממ" localSheetId="43">{"חובה","SUM(חובה)","YNNNN",FALSE}</definedName>
    <definedName name="ממממ" localSheetId="35">{"חובה","SUM(חובה)","YNNNN",FALSE}</definedName>
    <definedName name="ממממ" localSheetId="36">{"חובה","SUM(חובה)","YNNNN",FALSE}</definedName>
    <definedName name="ממממ">{"חובה","SUM(חובה)","YNNNN",FALSE}</definedName>
    <definedName name="מנ" localSheetId="43" hidden="1">{"דוח כספי",#N/A,FALSE,"מאזנים";"דוח כספי בבלי",#N/A,FALSE,"דוח רוו""ה";"דוח כספי בבלי",#N/A,FALSE,"הון עצמי";"דוח כספי בבלי",#N/A,FALSE,"תזרים"}</definedName>
    <definedName name="מנ" localSheetId="35" hidden="1">{"דוח כספי",#N/A,FALSE,"מאזנים";"דוח כספי בבלי",#N/A,FALSE,"דוח רוו""ה";"דוח כספי בבלי",#N/A,FALSE,"הון עצמי";"דוח כספי בבלי",#N/A,FALSE,"תזרים"}</definedName>
    <definedName name="מנ" localSheetId="36" hidden="1">{"דוח כספי",#N/A,FALSE,"מאזנים";"דוח כספי בבלי",#N/A,FALSE,"דוח רוו""ה";"דוח כספי בבלי",#N/A,FALSE,"הון עצמי";"דוח כספי בבלי",#N/A,FALSE,"תזרים"}</definedName>
    <definedName name="מנ" hidden="1">{"דוח כספי",#N/A,FALSE,"מאזנים";"דוח כספי בבלי",#N/A,FALSE,"דוח רוו""ה";"דוח כספי בבלי",#N/A,FALSE,"הון עצמי";"דוח כספי בבלי",#N/A,FALSE,"תזרים"}</definedName>
    <definedName name="מנה" localSheetId="8">#REF!</definedName>
    <definedName name="מנה">#REF!</definedName>
    <definedName name="םןןןןן" localSheetId="35">#REF!</definedName>
    <definedName name="םןןןןן" localSheetId="36">#REF!</definedName>
    <definedName name="םןןןןן" localSheetId="8">#REF!</definedName>
    <definedName name="םןןןןן">#REF!</definedName>
    <definedName name="מס__חשבון">'[39]מ.ב.'!$A$1:$A$65536</definedName>
    <definedName name="מס_ירושלים" localSheetId="35">#REF!</definedName>
    <definedName name="מס_ירושלים" localSheetId="36">#REF!</definedName>
    <definedName name="מס_ירושלים" localSheetId="8">#REF!</definedName>
    <definedName name="מס_ירושלים">#REF!</definedName>
    <definedName name="מס_שיווק" localSheetId="35">#REF!</definedName>
    <definedName name="מס_שיווק" localSheetId="36">#REF!</definedName>
    <definedName name="מס_שיווק" localSheetId="8">#REF!</definedName>
    <definedName name="מס_שיווק">#REF!</definedName>
    <definedName name="מס_תיאורטי" localSheetId="35">#REF!</definedName>
    <definedName name="מס_תיאורטי" localSheetId="36">#REF!</definedName>
    <definedName name="מס_תיאורטי" localSheetId="8">#REF!</definedName>
    <definedName name="מס_תיאורטי">#REF!</definedName>
    <definedName name="מספרי_השוואה" localSheetId="35">#REF!,#REF!,#REF!</definedName>
    <definedName name="מספרי_השוואה" localSheetId="36">#REF!,#REF!,#REF!</definedName>
    <definedName name="מספרי_השוואה" localSheetId="8">#REF!,#REF!,#REF!</definedName>
    <definedName name="מספרי_השוואה">#REF!,#REF!,#REF!</definedName>
    <definedName name="מע09" localSheetId="35">#REF!</definedName>
    <definedName name="מע09" localSheetId="36">#REF!</definedName>
    <definedName name="מע09" localSheetId="8">#REF!</definedName>
    <definedName name="מע09" localSheetId="41">#REF!</definedName>
    <definedName name="מע09">#REF!</definedName>
    <definedName name="מעגל_בק_מס" localSheetId="35">#REF!</definedName>
    <definedName name="מעגל_בק_מס" localSheetId="36">#REF!</definedName>
    <definedName name="מעגל_בק_מס" localSheetId="8">#REF!</definedName>
    <definedName name="מעגל_בק_מס" localSheetId="41">#REF!</definedName>
    <definedName name="מעגל_בק_מס">#REF!</definedName>
    <definedName name="מעגל_הלוואות_לזמן_ארוך" localSheetId="35">#REF!</definedName>
    <definedName name="מעגל_הלוואות_לזמן_ארוך" localSheetId="36">#REF!</definedName>
    <definedName name="מעגל_הלוואות_לזמן_ארוך" localSheetId="8">#REF!</definedName>
    <definedName name="מעגל_הלוואות_לזמן_ארוך">#REF!</definedName>
    <definedName name="מעגל_הלוואות_לזמן_ארוך_שניתנו" localSheetId="35">#REF!</definedName>
    <definedName name="מעגל_הלוואות_לזמן_ארוך_שניתנו" localSheetId="36">#REF!</definedName>
    <definedName name="מעגל_הלוואות_לזמן_ארוך_שניתנו" localSheetId="8">#REF!</definedName>
    <definedName name="מעגל_הלוואות_לזמן_ארוך_שניתנו">#REF!</definedName>
    <definedName name="מעגל_השקעות_לזמן_ארוך" localSheetId="35">#REF!</definedName>
    <definedName name="מעגל_השקעות_לזמן_ארוך" localSheetId="36">#REF!</definedName>
    <definedName name="מעגל_השקעות_לזמן_ארוך" localSheetId="8">#REF!</definedName>
    <definedName name="מעגל_השקעות_לזמן_ארוך">#REF!</definedName>
    <definedName name="מעגל_מיסים_נדחים" localSheetId="35">#REF!</definedName>
    <definedName name="מעגל_מיסים_נדחים" localSheetId="36">#REF!</definedName>
    <definedName name="מעגל_מיסים_נדחים" localSheetId="8">#REF!</definedName>
    <definedName name="מעגל_מיסים_נדחים">#REF!</definedName>
    <definedName name="מעגל_ניירות_ערך" localSheetId="35">#REF!</definedName>
    <definedName name="מעגל_ניירות_ערך" localSheetId="36">#REF!</definedName>
    <definedName name="מעגל_ניירות_ערך" localSheetId="8">#REF!</definedName>
    <definedName name="מעגל_ניירות_ערך">#REF!</definedName>
    <definedName name="מעגל_פקדונות_לזמן_ארוך" localSheetId="35">#REF!</definedName>
    <definedName name="מעגל_פקדונות_לזמן_ארוך" localSheetId="36">#REF!</definedName>
    <definedName name="מעגל_פקדונות_לזמן_ארוך" localSheetId="8">#REF!</definedName>
    <definedName name="מעגל_פקדונות_לזמן_ארוך">#REF!</definedName>
    <definedName name="מעגל_פקדונות_לזמן_קצר" localSheetId="35">#REF!</definedName>
    <definedName name="מעגל_פקדונות_לזמן_קצר" localSheetId="36">#REF!</definedName>
    <definedName name="מעגל_פקדונות_לזמן_קצר" localSheetId="8">#REF!</definedName>
    <definedName name="מעגל_פקדונות_לזמן_קצר">#REF!</definedName>
    <definedName name="מעגל_רכוש_קבוע" localSheetId="35">#REF!</definedName>
    <definedName name="מעגל_רכוש_קבוע" localSheetId="36">#REF!</definedName>
    <definedName name="מעגל_רכוש_קבוע" localSheetId="8">#REF!</definedName>
    <definedName name="מעגל_רכוש_קבוע">#REF!</definedName>
    <definedName name="מעמ">0.17</definedName>
    <definedName name="מפעל_מאושר" localSheetId="8">#REF!</definedName>
    <definedName name="מפעל_מאושר">#REF!</definedName>
    <definedName name="מרץ" localSheetId="35">#REF!</definedName>
    <definedName name="מרץ" localSheetId="36">#REF!</definedName>
    <definedName name="מרץ" localSheetId="8">#REF!</definedName>
    <definedName name="מרץ" localSheetId="41">#REF!</definedName>
    <definedName name="מרץ">#REF!</definedName>
    <definedName name="משולב">[11]משולב!$C$5:$G$59,[11]משולב!$C$61:$G$107,[11]משולב!$C$109:$G$162</definedName>
    <definedName name="משני">[72]Categories!$F$1:$F$65536</definedName>
    <definedName name="מת" localSheetId="4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ת" localSheetId="35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ת" localSheetId="36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ת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תואם" localSheetId="8">#REF!</definedName>
    <definedName name="מתואם">#REF!</definedName>
    <definedName name="נ" localSheetId="43" hidden="1">{"דוח כספי",#N/A,FALSE,"מאזנים";"דוח כספי",#N/A,FALSE,"דוח רוו""ה";"דוח כספי",#N/A,FALSE,"הון עצמי";"תזרים",#N/A,FALSE,"תזרים"}</definedName>
    <definedName name="נ" localSheetId="35" hidden="1">{"דוח כספי",#N/A,FALSE,"מאזנים";"דוח כספי",#N/A,FALSE,"דוח רוו""ה";"דוח כספי",#N/A,FALSE,"הון עצמי";"תזרים",#N/A,FALSE,"תזרים"}</definedName>
    <definedName name="נ" localSheetId="36" hidden="1">{"דוח כספי",#N/A,FALSE,"מאזנים";"דוח כספי",#N/A,FALSE,"דוח רוו""ה";"דוח כספי",#N/A,FALSE,"הון עצמי";"תזרים",#N/A,FALSE,"תזרים"}</definedName>
    <definedName name="נ" hidden="1">{"דוח כספי",#N/A,FALSE,"מאזנים";"דוח כספי",#N/A,FALSE,"דוח רוו""ה";"דוח כספי",#N/A,FALSE,"הון עצמי";"תזרים",#N/A,FALSE,"תזרים"}</definedName>
    <definedName name="נ151" localSheetId="8">#REF!</definedName>
    <definedName name="נ151">#REF!</definedName>
    <definedName name="נ183" localSheetId="35">#REF!</definedName>
    <definedName name="נ183" localSheetId="36">#REF!</definedName>
    <definedName name="נ183" localSheetId="8">#REF!</definedName>
    <definedName name="נ183">#REF!</definedName>
    <definedName name="נבות">'[43]קבוצת טלדור'!$AF$6:$AL$56,'[43]קבוצת טלדור'!$AF$60:$AL$108,'[43]קבוצת טלדור'!$AF$113:$AL$154</definedName>
    <definedName name="נובמבר" localSheetId="35">#REF!</definedName>
    <definedName name="נובמבר" localSheetId="36">#REF!</definedName>
    <definedName name="נובמבר" localSheetId="8">#REF!</definedName>
    <definedName name="נובמבר">#REF!</definedName>
    <definedName name="נומינלי" localSheetId="35">#REF!</definedName>
    <definedName name="נומינלי" localSheetId="36">#REF!</definedName>
    <definedName name="נומינלי" localSheetId="8">#REF!</definedName>
    <definedName name="נומינלי">#REF!</definedName>
    <definedName name="ניירות_ערך" localSheetId="35">#REF!</definedName>
    <definedName name="ניירות_ערך" localSheetId="36">#REF!</definedName>
    <definedName name="ניירות_ערך" localSheetId="8">#REF!</definedName>
    <definedName name="ניירות_ערך">#REF!</definedName>
    <definedName name="ניכוי_במקור" localSheetId="35">#REF!</definedName>
    <definedName name="ניכוי_במקור" localSheetId="36">#REF!</definedName>
    <definedName name="ניכוי_במקור" localSheetId="8">#REF!</definedName>
    <definedName name="ניכוי_במקור">#REF!</definedName>
    <definedName name="ניתוח_96_95" localSheetId="35">#REF!</definedName>
    <definedName name="ניתוח_96_95" localSheetId="36">#REF!</definedName>
    <definedName name="ניתוח_96_95" localSheetId="8">#REF!</definedName>
    <definedName name="ניתוח_96_95">#REF!</definedName>
    <definedName name="ניתוח_97_96" localSheetId="35">#REF!</definedName>
    <definedName name="ניתוח_97_96" localSheetId="36">#REF!</definedName>
    <definedName name="ניתוח_97_96" localSheetId="8">#REF!</definedName>
    <definedName name="ניתוח_97_96">#REF!</definedName>
    <definedName name="ניתוח_998_997" localSheetId="35">#REF!</definedName>
    <definedName name="ניתוח_998_997" localSheetId="36">#REF!</definedName>
    <definedName name="ניתוח_998_997" localSheetId="8">#REF!</definedName>
    <definedName name="ניתוח_998_997">#REF!</definedName>
    <definedName name="ןןןן" localSheetId="43" hidden="1">{"דוח כספי",#N/A,FALSE,"מאזנים";"דוח כספי",#N/A,FALSE,"דוח רוו""ה";"דוח כספי",#N/A,FALSE,"הון עצמי";"תזרים",#N/A,FALSE,"תזרים"}</definedName>
    <definedName name="ןןןן" localSheetId="35" hidden="1">{"דוח כספי",#N/A,FALSE,"מאזנים";"דוח כספי",#N/A,FALSE,"דוח רוו""ה";"דוח כספי",#N/A,FALSE,"הון עצמי";"תזרים",#N/A,FALSE,"תזרים"}</definedName>
    <definedName name="ןןןן" localSheetId="36" hidden="1">{"דוח כספי",#N/A,FALSE,"מאזנים";"דוח כספי",#N/A,FALSE,"דוח רוו""ה";"דוח כספי",#N/A,FALSE,"הון עצמי";"תזרים",#N/A,FALSE,"תזרים"}</definedName>
    <definedName name="ןןןן" hidden="1">{"דוח כספי",#N/A,FALSE,"מאזנים";"דוח כספי",#N/A,FALSE,"דוח רוו""ה";"דוח כספי",#N/A,FALSE,"הון עצמי";"תזרים",#N/A,FALSE,"תזרים"}</definedName>
    <definedName name="נספח_4" localSheetId="35">#REF!</definedName>
    <definedName name="נספח_4" localSheetId="36">#REF!</definedName>
    <definedName name="נספח_4" localSheetId="8">#REF!</definedName>
    <definedName name="נספח_4">#REF!</definedName>
    <definedName name="נספח_6_שממ" localSheetId="35">#REF!</definedName>
    <definedName name="נספח_6_שממ" localSheetId="36">#REF!</definedName>
    <definedName name="נספח_6_שממ" localSheetId="8">#REF!</definedName>
    <definedName name="נספח_6_שממ">#REF!</definedName>
    <definedName name="נספח_7_חישוב_הון_שממ" localSheetId="35">#REF!</definedName>
    <definedName name="נספח_7_חישוב_הון_שממ" localSheetId="36">#REF!</definedName>
    <definedName name="נספח_7_חישוב_הון_שממ" localSheetId="8">#REF!</definedName>
    <definedName name="נספח_7_חישוב_הון_שממ">#REF!</definedName>
    <definedName name="נספח_7_נכס_קבוע_שממ" localSheetId="35">#REF!</definedName>
    <definedName name="נספח_7_נכס_קבוע_שממ" localSheetId="36">#REF!</definedName>
    <definedName name="נספח_7_נכס_קבוע_שממ" localSheetId="8">#REF!</definedName>
    <definedName name="נספח_7_נכס_קבוע_שממ">#REF!</definedName>
    <definedName name="נספח_7_סיכום_הון_שממ" localSheetId="35">#REF!</definedName>
    <definedName name="נספח_7_סיכום_הון_שממ" localSheetId="36">#REF!</definedName>
    <definedName name="נספח_7_סיכום_הון_שממ" localSheetId="8">#REF!</definedName>
    <definedName name="נספח_7_סיכום_הון_שממ">#REF!</definedName>
    <definedName name="נספח_7_שינויים_שממ" localSheetId="35">#REF!</definedName>
    <definedName name="נספח_7_שינויים_שממ" localSheetId="36">#REF!</definedName>
    <definedName name="נספח_7_שינויים_שממ" localSheetId="8">#REF!</definedName>
    <definedName name="נספח_7_שינויים_שממ">#REF!</definedName>
    <definedName name="נספח_7_תאומי_הון_שממ" localSheetId="35">#REF!</definedName>
    <definedName name="נספח_7_תאומי_הון_שממ" localSheetId="36">#REF!</definedName>
    <definedName name="נספח_7_תאומי_הון_שממ" localSheetId="8">#REF!</definedName>
    <definedName name="נספח_7_תאומי_הון_שממ">#REF!</definedName>
    <definedName name="נספח_מקדמות" localSheetId="35">'[50]שמ"מ מ"ה'!#REF!</definedName>
    <definedName name="נספח_מקדמות" localSheetId="36">'[50]שמ"מ מ"ה'!#REF!</definedName>
    <definedName name="נספח_מקדמות" localSheetId="8">'[50]שמ"מ מ"ה'!#REF!</definedName>
    <definedName name="נספח_מקדמות" localSheetId="41">'[51]שמ"מ מ"ה'!#REF!</definedName>
    <definedName name="נספח_מקדמות">'[50]שמ"מ מ"ה'!#REF!</definedName>
    <definedName name="נספח_ניכוי_במקור" localSheetId="35">'[50]שמ"מ מ"ה'!#REF!</definedName>
    <definedName name="נספח_ניכוי_במקור" localSheetId="36">'[50]שמ"מ מ"ה'!#REF!</definedName>
    <definedName name="נספח_ניכוי_במקור" localSheetId="8">'[50]שמ"מ מ"ה'!#REF!</definedName>
    <definedName name="נספח_ניכוי_במקור" localSheetId="41">'[51]שמ"מ מ"ה'!#REF!</definedName>
    <definedName name="נספח_ניכוי_במקור">'[50]שמ"מ מ"ה'!#REF!</definedName>
    <definedName name="נספח_עודפות" localSheetId="8">'[50]שמ"מ מ"ה'!#REF!</definedName>
    <definedName name="נספח_עודפות" localSheetId="41">'[51]שמ"מ מ"ה'!#REF!</definedName>
    <definedName name="נספח_עודפות">'[50]שמ"מ מ"ה'!#REF!</definedName>
    <definedName name="סבירות_מימון" localSheetId="35">#REF!</definedName>
    <definedName name="סבירות_מימון" localSheetId="36">#REF!</definedName>
    <definedName name="סבירות_מימון" localSheetId="8">#REF!</definedName>
    <definedName name="סבירות_מימון">#REF!</definedName>
    <definedName name="סיביטי">'[73]C.B.T '!$C$5:$I$65,'[73]C.B.T '!$C$67:$I$113,'[73]C.B.T '!$C$118:$I$188</definedName>
    <definedName name="סיון" localSheetId="35">#REF!,#REF!,#REF!,#REF!</definedName>
    <definedName name="סיון" localSheetId="36">#REF!,#REF!,#REF!,#REF!</definedName>
    <definedName name="סיון" localSheetId="8">#REF!,#REF!,#REF!,#REF!</definedName>
    <definedName name="סיון">#REF!,#REF!,#REF!,#REF!</definedName>
    <definedName name="סייג_מיסים" localSheetId="35">#REF!</definedName>
    <definedName name="סייג_מיסים" localSheetId="36">#REF!</definedName>
    <definedName name="סייג_מיסים" localSheetId="8">#REF!</definedName>
    <definedName name="סייג_מיסים">#REF!</definedName>
    <definedName name="סכום" localSheetId="35">#REF!</definedName>
    <definedName name="סכום" localSheetId="36">#REF!</definedName>
    <definedName name="סכום" localSheetId="8">#REF!</definedName>
    <definedName name="סכום">#REF!</definedName>
    <definedName name="סכום_מותאם" localSheetId="35">#REF!</definedName>
    <definedName name="סכום_מותאם" localSheetId="36">#REF!</definedName>
    <definedName name="סכום_מותאם" localSheetId="8">#REF!</definedName>
    <definedName name="סכום_מותאם">#REF!</definedName>
    <definedName name="סכום_מתנה_מוכרת" localSheetId="35">#REF!</definedName>
    <definedName name="סכום_מתנה_מוכרת" localSheetId="36">#REF!</definedName>
    <definedName name="סכום_מתנה_מוכרת" localSheetId="8">#REF!</definedName>
    <definedName name="סכום_מתנה_מוכרת" localSheetId="41">#REF!</definedName>
    <definedName name="סכום_מתנה_מוכרת">#REF!</definedName>
    <definedName name="ספטמבר" localSheetId="35">#REF!</definedName>
    <definedName name="ספטמבר" localSheetId="36">#REF!</definedName>
    <definedName name="ספטמבר" localSheetId="8">#REF!</definedName>
    <definedName name="ספטמבר" localSheetId="41">#REF!</definedName>
    <definedName name="ספטמבר">#REF!</definedName>
    <definedName name="עודף" localSheetId="35">#REF!</definedName>
    <definedName name="עודף" localSheetId="36">#REF!</definedName>
    <definedName name="עודף" localSheetId="8">#REF!</definedName>
    <definedName name="עודף">#REF!</definedName>
    <definedName name="עודפ.אגרז." localSheetId="35">[74]עודפות!#REF!</definedName>
    <definedName name="עודפ.אגרז." localSheetId="36">[74]עודפות!#REF!</definedName>
    <definedName name="עודפ.אגרז." localSheetId="8">[74]עודפות!#REF!</definedName>
    <definedName name="עודפ.אגרז.">[74]עודפות!#REF!</definedName>
    <definedName name="עיחל" localSheetId="43">{"סעיף",0,"Auto","Auto",""}</definedName>
    <definedName name="עיחל" localSheetId="35">{"סעיף",0,"Auto","Auto",""}</definedName>
    <definedName name="עיחל" localSheetId="36">{"סעיף",0,"Auto","Auto",""}</definedName>
    <definedName name="עיחל">{"סעיף",0,"Auto","Auto",""}</definedName>
    <definedName name="עלות_פעילות_מסחרית" localSheetId="8">#REF!</definedName>
    <definedName name="עלות_פעילות_מסחרית">#REF!</definedName>
    <definedName name="עלות_פעילות_תעשייתית" localSheetId="35">#REF!</definedName>
    <definedName name="עלות_פעילות_תעשייתית" localSheetId="36">#REF!</definedName>
    <definedName name="עלות_פעילות_תעשייתית" localSheetId="8">#REF!</definedName>
    <definedName name="עלות_פעילות_תעשייתית">#REF!</definedName>
    <definedName name="עליית_מדד96">[75]מדדים!$L$10</definedName>
    <definedName name="עליית_מדד97">[75]מדדים!$L$11</definedName>
    <definedName name="עליית_מדד98">[75]מדדים!$L$12</definedName>
    <definedName name="עמוד_אינדקס">'[12]דוח מתכונת הגשה מאוחד'!$A$218:$F$265</definedName>
    <definedName name="עמוד_פתיחה">'[12]דוח מתכונת הגשה מאוחד'!$A$267:$G$317</definedName>
    <definedName name="עתודה_לפיצויים" localSheetId="35">#REF!</definedName>
    <definedName name="עתודה_לפיצויים" localSheetId="36">#REF!</definedName>
    <definedName name="עתודה_לפיצויים" localSheetId="8">#REF!</definedName>
    <definedName name="עתודה_לפיצויים">#REF!</definedName>
    <definedName name="פברואר" localSheetId="35">#REF!</definedName>
    <definedName name="פברואר" localSheetId="36">#REF!</definedName>
    <definedName name="פברואר" localSheetId="8">#REF!</definedName>
    <definedName name="פברואר">#REF!</definedName>
    <definedName name="פחת_דולרי" localSheetId="35">#REF!</definedName>
    <definedName name="פחת_דולרי" localSheetId="36">#REF!</definedName>
    <definedName name="פחת_דולרי" localSheetId="8">#REF!</definedName>
    <definedName name="פחת_דולרי">#REF!</definedName>
    <definedName name="פחת_וניכוי" localSheetId="43">[76]תעודות!#REF!</definedName>
    <definedName name="פחת_וניכוי" localSheetId="35">#REF!</definedName>
    <definedName name="פחת_וניכוי" localSheetId="36">#REF!</definedName>
    <definedName name="פחת_וניכוי" localSheetId="8">#REF!</definedName>
    <definedName name="פחת_וניכוי" localSheetId="41">#REF!</definedName>
    <definedName name="פחת_וניכוי">#REF!</definedName>
    <definedName name="פחת_מתואם" localSheetId="35">#REF!</definedName>
    <definedName name="פחת_מתואם" localSheetId="36">#REF!</definedName>
    <definedName name="פחת_מתואם" localSheetId="8">#REF!</definedName>
    <definedName name="פחת_מתואם">#REF!</definedName>
    <definedName name="פחת_נומינלי" localSheetId="35">#REF!</definedName>
    <definedName name="פחת_נומינלי" localSheetId="36">#REF!</definedName>
    <definedName name="פחת_נומינלי" localSheetId="8">#REF!</definedName>
    <definedName name="פחת_נומינלי">#REF!</definedName>
    <definedName name="פחת_שקלים" localSheetId="35">#REF!</definedName>
    <definedName name="פחת_שקלים" localSheetId="36">#REF!</definedName>
    <definedName name="פחת_שקלים" localSheetId="8">#REF!</definedName>
    <definedName name="פחת_שקלים">#REF!</definedName>
    <definedName name="פירוט" localSheetId="35">#REF!</definedName>
    <definedName name="פירוט" localSheetId="36">#REF!</definedName>
    <definedName name="פירוט" localSheetId="8">#REF!</definedName>
    <definedName name="פירוט">#REF!</definedName>
    <definedName name="פנ" localSheetId="35">#REF!</definedName>
    <definedName name="פנ" localSheetId="36">#REF!</definedName>
    <definedName name="פנ" localSheetId="8">#REF!</definedName>
    <definedName name="פנ">#REF!</definedName>
    <definedName name="פקדון.בינל" localSheetId="43" hidden="1">{"דוח כספי",#N/A,FALSE,"מאזנים";"דוח כספי בבלי",#N/A,FALSE,"דוח רוו""ה";"דוח כספי בבלי",#N/A,FALSE,"הון עצמי";"דוח כספי בבלי",#N/A,FALSE,"תזרים"}</definedName>
    <definedName name="פקדון.בינל" localSheetId="35" hidden="1">{"דוח כספי",#N/A,FALSE,"מאזנים";"דוח כספי בבלי",#N/A,FALSE,"דוח רוו""ה";"דוח כספי בבלי",#N/A,FALSE,"הון עצמי";"דוח כספי בבלי",#N/A,FALSE,"תזרים"}</definedName>
    <definedName name="פקדון.בינל" localSheetId="36" hidden="1">{"דוח כספי",#N/A,FALSE,"מאזנים";"דוח כספי בבלי",#N/A,FALSE,"דוח רוו""ה";"דוח כספי בבלי",#N/A,FALSE,"הון עצמי";"דוח כספי בבלי",#N/A,FALSE,"תזרים"}</definedName>
    <definedName name="פקדון.בינל" hidden="1">{"דוח כספי",#N/A,FALSE,"מאזנים";"דוח כספי בבלי",#N/A,FALSE,"דוח רוו""ה";"דוח כספי בבלי",#N/A,FALSE,"הון עצמי";"דוח כספי בבלי",#N/A,FALSE,"תזרים"}</definedName>
    <definedName name="פקדון.בינלאומי" localSheetId="43" hidden="1">{"דוח כספי",#N/A,FALSE,"מאזנים";"דוח כספי",#N/A,FALSE,"דוח רוו""ה";"דוח כספי",#N/A,FALSE,"הון עצמי";"תזרים",#N/A,FALSE,"תזרים"}</definedName>
    <definedName name="פקדון.בינלאומי" localSheetId="35" hidden="1">{"דוח כספי",#N/A,FALSE,"מאזנים";"דוח כספי",#N/A,FALSE,"דוח רוו""ה";"דוח כספי",#N/A,FALSE,"הון עצמי";"תזרים",#N/A,FALSE,"תזרים"}</definedName>
    <definedName name="פקדון.בינלאומי" localSheetId="36" hidden="1">{"דוח כספי",#N/A,FALSE,"מאזנים";"דוח כספי",#N/A,FALSE,"דוח רוו""ה";"דוח כספי",#N/A,FALSE,"הון עצמי";"תזרים",#N/A,FALSE,"תזרים"}</definedName>
    <definedName name="פקדון.בינלאומי" hidden="1">{"דוח כספי",#N/A,FALSE,"מאזנים";"דוח כספי",#N/A,FALSE,"דוח רוו""ה";"דוח כספי",#N/A,FALSE,"הון עצמי";"תזרים",#N/A,FALSE,"תזרים"}</definedName>
    <definedName name="פקדונות_נטו">'[28]פקדונות וניירות ערך'!$N$9</definedName>
    <definedName name="פקדוןמטח" localSheetId="43" hidden="1">{"דוח כספי",#N/A,FALSE,"מאזנים";"דוח כספי",#N/A,FALSE,"דוח רוו""ה";"דוח כספי",#N/A,FALSE,"הון עצמי";"תזרים",#N/A,FALSE,"תזרים"}</definedName>
    <definedName name="פקדוןמטח" localSheetId="35" hidden="1">{"דוח כספי",#N/A,FALSE,"מאזנים";"דוח כספי",#N/A,FALSE,"דוח רוו""ה";"דוח כספי",#N/A,FALSE,"הון עצמי";"תזרים",#N/A,FALSE,"תזרים"}</definedName>
    <definedName name="פקדוןמטח" localSheetId="36" hidden="1">{"דוח כספי",#N/A,FALSE,"מאזנים";"דוח כספי",#N/A,FALSE,"דוח רוו""ה";"דוח כספי",#N/A,FALSE,"הון עצמי";"תזרים",#N/A,FALSE,"תזרים"}</definedName>
    <definedName name="פקדוןמטח" hidden="1">{"דוח כספי",#N/A,FALSE,"מאזנים";"דוח כספי",#N/A,FALSE,"דוח רוו""ה";"דוח כספי",#N/A,FALSE,"הון עצמי";"תזרים",#N/A,FALSE,"תזרים"}</definedName>
    <definedName name="פקו_איחוד_GMBH" localSheetId="8">'[77]פ.נ. איחוד'!#REF!</definedName>
    <definedName name="פקו_איחוד_GMBH">'[77]פ.נ. איחוד'!#REF!</definedName>
    <definedName name="פקו_איחוד_זכות_GMBH" localSheetId="8">'[77]פ.נ. איחוד'!#REF!</definedName>
    <definedName name="פקו_איחוד_זכות_GMBH">'[77]פ.נ. איחוד'!#REF!</definedName>
    <definedName name="פקו_איחוד_חובה_GMBH" localSheetId="8">'[77]פ.נ. איחוד'!#REF!</definedName>
    <definedName name="פקו_איחוד_חובה_GMBH">'[77]פ.נ. איחוד'!#REF!</definedName>
    <definedName name="פקודות" localSheetId="8">'[78]מאזן בוחן'!#REF!</definedName>
    <definedName name="פקודות">'[78]מאזן בוחן'!#REF!</definedName>
    <definedName name="פקודות_נוספות" localSheetId="7">#REF!</definedName>
    <definedName name="פקודות_נוספות" localSheetId="35">#REF!</definedName>
    <definedName name="פקודות_נוספות" localSheetId="36">#REF!</definedName>
    <definedName name="פקודות_נוספות" localSheetId="8">#REF!</definedName>
    <definedName name="פקודות_נוספות" localSheetId="41">#REF!</definedName>
    <definedName name="פקודות_נוספות">#REF!</definedName>
    <definedName name="פרטים" localSheetId="35">#REF!</definedName>
    <definedName name="פרטים" localSheetId="36">#REF!</definedName>
    <definedName name="פרטים" localSheetId="8">#REF!</definedName>
    <definedName name="פרטים">#REF!</definedName>
    <definedName name="פריסת_הטבות" localSheetId="35">#REF!</definedName>
    <definedName name="פריסת_הטבות" localSheetId="36">#REF!</definedName>
    <definedName name="פריסת_הטבות" localSheetId="8">#REF!</definedName>
    <definedName name="פריסת_הטבות">#REF!</definedName>
    <definedName name="פרמיה" localSheetId="35">#REF!</definedName>
    <definedName name="פרמיה" localSheetId="36">#REF!</definedName>
    <definedName name="פרמיה" localSheetId="8">#REF!</definedName>
    <definedName name="פרמיה">#REF!</definedName>
    <definedName name="צדדים_קשורים" localSheetId="35">#REF!</definedName>
    <definedName name="צדדים_קשורים" localSheetId="36">#REF!</definedName>
    <definedName name="צדדים_קשורים" localSheetId="8">#REF!</definedName>
    <definedName name="צדדים_קשורים">#REF!</definedName>
    <definedName name="צי_השכרה_ז_א" localSheetId="35">#REF!</definedName>
    <definedName name="צי_השכרה_ז_א" localSheetId="36">#REF!</definedName>
    <definedName name="צי_השכרה_ז_א" localSheetId="8">#REF!</definedName>
    <definedName name="צי_השכרה_ז_א">#REF!</definedName>
    <definedName name="צי_השכרה_ז_ק" localSheetId="35">#REF!</definedName>
    <definedName name="צי_השכרה_ז_ק" localSheetId="36">#REF!</definedName>
    <definedName name="צי_השכרה_ז_ק" localSheetId="8">#REF!</definedName>
    <definedName name="צי_השכרה_ז_ק">#REF!</definedName>
    <definedName name="קב__משנה" localSheetId="35">#REF!</definedName>
    <definedName name="קב__משנה" localSheetId="36">#REF!</definedName>
    <definedName name="קב__משנה" localSheetId="8">#REF!</definedName>
    <definedName name="קב__משנה">#REF!</definedName>
    <definedName name="קב__ראשית" localSheetId="35">#REF!</definedName>
    <definedName name="קב__ראשית" localSheetId="36">#REF!</definedName>
    <definedName name="קב__ראשית" localSheetId="8">#REF!</definedName>
    <definedName name="קב__ראשית">#REF!</definedName>
    <definedName name="קוד_מאזן" localSheetId="35">#REF!</definedName>
    <definedName name="קוד_מאזן" localSheetId="36">#REF!</definedName>
    <definedName name="קוד_מאזן" localSheetId="8">#REF!</definedName>
    <definedName name="קוד_מאזן">#REF!</definedName>
    <definedName name="קוד_משולב" localSheetId="35">#REF!</definedName>
    <definedName name="קוד_משולב" localSheetId="36">#REF!</definedName>
    <definedName name="קוד_משולב" localSheetId="8">#REF!</definedName>
    <definedName name="קוד_משולב">#REF!</definedName>
    <definedName name="קוד_משני" localSheetId="35">#REF!</definedName>
    <definedName name="קוד_משני" localSheetId="36">#REF!</definedName>
    <definedName name="קוד_משני" localSheetId="8">#REF!</definedName>
    <definedName name="קוד_משני">#REF!</definedName>
    <definedName name="קוד_ראשי" localSheetId="35">#REF!</definedName>
    <definedName name="קוד_ראשי" localSheetId="36">#REF!</definedName>
    <definedName name="קוד_ראשי" localSheetId="8">#REF!</definedName>
    <definedName name="קוד_ראשי">#REF!</definedName>
    <definedName name="קוד_ראשי_מתוקן" localSheetId="35">#REF!</definedName>
    <definedName name="קוד_ראשי_מתוקן" localSheetId="36">#REF!</definedName>
    <definedName name="קוד_ראשי_מתוקן" localSheetId="8">#REF!</definedName>
    <definedName name="קוד_ראשי_מתוקן">#REF!</definedName>
    <definedName name="ר" localSheetId="8">#REF!</definedName>
    <definedName name="ר" localSheetId="4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ר">#REF!</definedName>
    <definedName name="ר230" localSheetId="8">'[55]מאזן בוחן LTD'!#REF!</definedName>
    <definedName name="ר230">'[55]מאזן בוחן LTD'!#REF!</definedName>
    <definedName name="ראשי">[72]Categories!$D$1:$D$65536</definedName>
    <definedName name="ראשי_ומשני" localSheetId="35">#REF!</definedName>
    <definedName name="ראשי_ומשני" localSheetId="36">#REF!</definedName>
    <definedName name="ראשי_ומשני" localSheetId="8">#REF!</definedName>
    <definedName name="ראשי_ומשני">#REF!</definedName>
    <definedName name="ראשי_משני" localSheetId="35">#REF!</definedName>
    <definedName name="ראשי_משני" localSheetId="36">#REF!</definedName>
    <definedName name="ראשי_משני" localSheetId="8">#REF!</definedName>
    <definedName name="ראשי_משני">#REF!</definedName>
    <definedName name="רוה" localSheetId="35">'[78]רווה"ס'!#REF!</definedName>
    <definedName name="רוה" localSheetId="36">'[78]רווה"ס'!#REF!</definedName>
    <definedName name="רוה" localSheetId="8">'[78]רווה"ס'!#REF!</definedName>
    <definedName name="רוה">'[78]רווה"ס'!#REF!</definedName>
    <definedName name="רוה_חודשי" localSheetId="35">#REF!</definedName>
    <definedName name="רוה_חודשי" localSheetId="36">#REF!</definedName>
    <definedName name="רוה_חודשי" localSheetId="8">#REF!</definedName>
    <definedName name="רוה_חודשי">#REF!</definedName>
    <definedName name="רוה_מצטבר" localSheetId="35">#REF!</definedName>
    <definedName name="רוה_מצטבר" localSheetId="36">#REF!</definedName>
    <definedName name="רוה_מצטבר" localSheetId="8">#REF!</definedName>
    <definedName name="רוה_מצטבר">#REF!</definedName>
    <definedName name="רווהפ" localSheetId="35">#REF!</definedName>
    <definedName name="רווהפ" localSheetId="36">#REF!</definedName>
    <definedName name="רווהפ" localSheetId="8">#REF!</definedName>
    <definedName name="רווהפ">#REF!</definedName>
    <definedName name="רווח_הון" localSheetId="35">#REF!</definedName>
    <definedName name="רווח_הון" localSheetId="36">#REF!</definedName>
    <definedName name="רווח_הון" localSheetId="8">#REF!</definedName>
    <definedName name="רווח_הון" localSheetId="41">#REF!</definedName>
    <definedName name="רווח_הון">#REF!</definedName>
    <definedName name="רווח_והפסד" localSheetId="7">#REF!</definedName>
    <definedName name="רווח_והפסד" localSheetId="35">#REF!</definedName>
    <definedName name="רווח_והפסד" localSheetId="36">#REF!</definedName>
    <definedName name="רווח_והפסד" localSheetId="8">#REF!</definedName>
    <definedName name="רווח_והפסד">#REF!</definedName>
    <definedName name="רווח_והפסד___השוואה_אנליטית" localSheetId="35">#REF!</definedName>
    <definedName name="רווח_והפסד___השוואה_אנליטית" localSheetId="36">#REF!</definedName>
    <definedName name="רווח_והפסד___השוואה_אנליטית" localSheetId="8">#REF!</definedName>
    <definedName name="רווח_והפסד___השוואה_אנליטית">#REF!</definedName>
    <definedName name="רווח_והפסד_ארהב" localSheetId="35">#REF!</definedName>
    <definedName name="רווח_והפסד_ארהב" localSheetId="36">#REF!</definedName>
    <definedName name="רווח_והפסד_ארהב" localSheetId="8">#REF!</definedName>
    <definedName name="רווח_והפסד_ארהב">#REF!</definedName>
    <definedName name="רווח_והפסד_ישראל" localSheetId="35">#REF!</definedName>
    <definedName name="רווח_והפסד_ישראל" localSheetId="36">#REF!</definedName>
    <definedName name="רווח_והפסד_ישראל" localSheetId="8">#REF!</definedName>
    <definedName name="רווח_והפסד_ישראל">#REF!</definedName>
    <definedName name="רווח_והפסד_צרפת" localSheetId="35">#REF!</definedName>
    <definedName name="רווח_והפסד_צרפת" localSheetId="36">#REF!</definedName>
    <definedName name="רווח_והפסד_צרפת" localSheetId="8">#REF!</definedName>
    <definedName name="רווח_והפסד_צרפת">#REF!</definedName>
    <definedName name="רווח_והפסד_קיימן" localSheetId="35">#REF!</definedName>
    <definedName name="רווח_והפסד_קיימן" localSheetId="36">#REF!</definedName>
    <definedName name="רווח_והפסד_קיימן" localSheetId="8">#REF!</definedName>
    <definedName name="רווח_והפסד_קיימן">#REF!</definedName>
    <definedName name="רווח_והפסד_שקל_חדש" localSheetId="35">#REF!</definedName>
    <definedName name="רווח_והפסד_שקל_חדש" localSheetId="36">#REF!</definedName>
    <definedName name="רווח_והפסד_שקל_חדש" localSheetId="8">#REF!</definedName>
    <definedName name="רווח_והפסד_שקל_חדש">#REF!</definedName>
    <definedName name="רווח_למניה" localSheetId="35">#REF!</definedName>
    <definedName name="רווח_למניה" localSheetId="36">#REF!</definedName>
    <definedName name="רווח_למניה" localSheetId="8">#REF!</definedName>
    <definedName name="רווח_למניה">#REF!</definedName>
    <definedName name="רווח_מבטוחות">'[28]פקדונות וניירות ערך'!$F$12</definedName>
    <definedName name="רווח_ממכירת_רכוש">'[28]מעגל רכוש קבוע'!$L$15</definedName>
    <definedName name="רווח_מניירות">'[28]פקדונות וניירות ערך'!$F$12</definedName>
    <definedName name="רווח_מפקדונות">'[28]פקדונות וניירות ערך'!$L$12</definedName>
    <definedName name="רווח_מרכוש">'[28]מעגל רכוש קבוע'!$L$15</definedName>
    <definedName name="רווחוהפסד_מותאם" localSheetId="35">#REF!</definedName>
    <definedName name="רווחוהפסד_מותאם" localSheetId="36">#REF!</definedName>
    <definedName name="רווחוהפסד_מותאם" localSheetId="8">#REF!</definedName>
    <definedName name="רווחוהפסד_מותאם">#REF!</definedName>
    <definedName name="רווחוהפסד_נומינלי" localSheetId="35">#REF!</definedName>
    <definedName name="רווחוהפסד_נומינלי" localSheetId="36">#REF!</definedName>
    <definedName name="רווחוהפסד_נומינלי" localSheetId="8">#REF!</definedName>
    <definedName name="רווחוהפסד_נומינלי">#REF!</definedName>
    <definedName name="רווחלמניה" localSheetId="35">#REF!</definedName>
    <definedName name="רווחלמניה" localSheetId="36">#REF!</definedName>
    <definedName name="רווחלמניה" localSheetId="8">#REF!</definedName>
    <definedName name="רווחלמניה">#REF!</definedName>
    <definedName name="רוחמתואם" localSheetId="35">#REF!</definedName>
    <definedName name="רוחמתואם" localSheetId="36">#REF!</definedName>
    <definedName name="רוחמתואם" localSheetId="8">#REF!</definedName>
    <definedName name="רוחמתואם">#REF!</definedName>
    <definedName name="ריכוז_אופציות" localSheetId="35">[58]אופציות!#REF!</definedName>
    <definedName name="ריכוז_אופציות" localSheetId="36">[58]אופציות!#REF!</definedName>
    <definedName name="ריכוז_אופציות" localSheetId="8">[58]אופציות!#REF!</definedName>
    <definedName name="ריכוז_אופציות">[58]אופציות!#REF!</definedName>
    <definedName name="רכב" localSheetId="35">[79]דוחות!#REF!</definedName>
    <definedName name="רכב" localSheetId="36">[79]דוחות!#REF!</definedName>
    <definedName name="רכב" localSheetId="8">[79]דוחות!#REF!</definedName>
    <definedName name="רכב">[79]דוחות!#REF!</definedName>
    <definedName name="רכבים" localSheetId="4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רכבים" localSheetId="35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רכבים" localSheetId="36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רכבים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רכוש" localSheetId="8">#REF!</definedName>
    <definedName name="רכוש">#REF!</definedName>
    <definedName name="רכוש_קבוע" localSheetId="7">#REF!</definedName>
    <definedName name="רכוש_קבוע" localSheetId="35">#REF!</definedName>
    <definedName name="רכוש_קבוע" localSheetId="36">#REF!</definedName>
    <definedName name="רכוש_קבוע" localSheetId="8">#REF!</definedName>
    <definedName name="רכוש_קבוע">#REF!</definedName>
    <definedName name="רכושקבוע" localSheetId="35">#REF!</definedName>
    <definedName name="רכושקבוע" localSheetId="36">#REF!</definedName>
    <definedName name="רכושקבוע" localSheetId="8">#REF!</definedName>
    <definedName name="רכושקבוע">#REF!</definedName>
    <definedName name="רכישות_רכוש">'[28]מעגל רכוש קבוע'!$L$11</definedName>
    <definedName name="ש" localSheetId="43" hidden="1">{"דוח כספי",#N/A,FALSE,"מאזנים";"דוח כספי",#N/A,FALSE,"דוח רוו""ה";"דוח כספי",#N/A,FALSE,"הון עצמי";"תזרים",#N/A,FALSE,"תזרים"}</definedName>
    <definedName name="ש" localSheetId="35" hidden="1">{"דוח כספי",#N/A,FALSE,"מאזנים";"דוח כספי",#N/A,FALSE,"דוח רוו""ה";"דוח כספי",#N/A,FALSE,"הון עצמי";"תזרים",#N/A,FALSE,"תזרים"}</definedName>
    <definedName name="ש" localSheetId="36" hidden="1">{"דוח כספי",#N/A,FALSE,"מאזנים";"דוח כספי",#N/A,FALSE,"דוח רוו""ה";"דוח כספי",#N/A,FALSE,"הון עצמי";"תזרים",#N/A,FALSE,"תזרים"}</definedName>
    <definedName name="ש" localSheetId="4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ש" hidden="1">{"דוח כספי",#N/A,FALSE,"מאזנים";"דוח כספי",#N/A,FALSE,"דוח רוו""ה";"דוח כספי",#N/A,FALSE,"הון עצמי";"תזרים",#N/A,FALSE,"תזרים"}</definedName>
    <definedName name="שונה" localSheetId="8">[26]TRAVEL96!#REF!</definedName>
    <definedName name="שונה">[26]TRAVEL96!#REF!</definedName>
    <definedName name="שחזכות" localSheetId="35">#REF!</definedName>
    <definedName name="שחזכות" localSheetId="36">#REF!</definedName>
    <definedName name="שחזכות" localSheetId="8">#REF!</definedName>
    <definedName name="שחזכות">#REF!</definedName>
    <definedName name="שחחובה" localSheetId="35">#REF!</definedName>
    <definedName name="שחחובה" localSheetId="36">#REF!</definedName>
    <definedName name="שחחובה" localSheetId="8">#REF!</definedName>
    <definedName name="שחחובה">#REF!</definedName>
    <definedName name="שיווק">'[80]משוב שיווק'!$C$5:$I$60,'[80]משוב שיווק'!$C$62:$I$114,'[80]משוב שיווק'!$C$119:$I$194</definedName>
    <definedName name="שיוך" localSheetId="35">#REF!</definedName>
    <definedName name="שיוך" localSheetId="36">#REF!</definedName>
    <definedName name="שיוך" localSheetId="8">#REF!</definedName>
    <definedName name="שיוך">#REF!</definedName>
    <definedName name="שינוים_באחוזים_רווח" localSheetId="35">'[45]ניתוח אנליטי-רו"ה'!#REF!</definedName>
    <definedName name="שינוים_באחוזים_רווח" localSheetId="36">'[45]ניתוח אנליטי-רו"ה'!#REF!</definedName>
    <definedName name="שינוים_באחוזים_רווח" localSheetId="8">'[45]ניתוח אנליטי-רו"ה'!#REF!</definedName>
    <definedName name="שינוים_באחוזים_רווח">'[45]ניתוח אנליטי-רו"ה'!#REF!</definedName>
    <definedName name="שיפורים_במושכר" localSheetId="35">#REF!</definedName>
    <definedName name="שיפורים_במושכר" localSheetId="36">#REF!</definedName>
    <definedName name="שיפורים_במושכר" localSheetId="8">#REF!</definedName>
    <definedName name="שיפורים_במושכר">#REF!</definedName>
    <definedName name="שכור" localSheetId="35">#REF!</definedName>
    <definedName name="שכור" localSheetId="36">#REF!</definedName>
    <definedName name="שכור" localSheetId="8">#REF!</definedName>
    <definedName name="שכור">#REF!</definedName>
    <definedName name="שכר" localSheetId="4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שכר" localSheetId="35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שכר" localSheetId="36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שכר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שם" localSheetId="43" hidden="1">{"דוח כספי",#N/A,FALSE,"מאזנים";"דוח כספי",#N/A,FALSE,"דוח רוו""ה";"דוח כספי",#N/A,FALSE,"הון עצמי";"תזרים",#N/A,FALSE,"תזרים"}</definedName>
    <definedName name="שם" localSheetId="35" hidden="1">{"דוח כספי",#N/A,FALSE,"מאזנים";"דוח כספי",#N/A,FALSE,"דוח רוו""ה";"דוח כספי",#N/A,FALSE,"הון עצמי";"תזרים",#N/A,FALSE,"תזרים"}</definedName>
    <definedName name="שם" localSheetId="36" hidden="1">{"דוח כספי",#N/A,FALSE,"מאזנים";"דוח כספי",#N/A,FALSE,"דוח רוו""ה";"דוח כספי",#N/A,FALSE,"הון עצמי";"תזרים",#N/A,FALSE,"תזרים"}</definedName>
    <definedName name="שם" hidden="1">{"דוח כספי",#N/A,FALSE,"מאזנים";"דוח כספי",#N/A,FALSE,"דוח רוו""ה";"דוח כספי",#N/A,FALSE,"הון עצמי";"תזרים",#N/A,FALSE,"תזרים"}</definedName>
    <definedName name="שם_קב__משנה" localSheetId="8">#REF!</definedName>
    <definedName name="שם_קב__משנה">#REF!</definedName>
    <definedName name="שם_קב__ראשית" localSheetId="35">#REF!</definedName>
    <definedName name="שם_קב__ראשית" localSheetId="36">#REF!</definedName>
    <definedName name="שם_קב__ראשית" localSheetId="8">#REF!</definedName>
    <definedName name="שם_קב__ראשית">#REF!</definedName>
    <definedName name="שמאל" localSheetId="8">'[62]דוח פיצויים'!#REF!</definedName>
    <definedName name="שמאל">'[62]דוח פיצויים'!#REF!</definedName>
    <definedName name="שע_ח_31.12.97" localSheetId="8">'[70]Consolidation '!#REF!</definedName>
    <definedName name="שע_ח_31.12.97">'[70]Consolidation '!#REF!</definedName>
    <definedName name="שע_ח_כתר_נורבגי" localSheetId="8">'[55]נתונים לשינוי'!#REF!</definedName>
    <definedName name="שע_ח_כתר_נורבגי">'[55]נתונים לשינוי'!#REF!</definedName>
    <definedName name="שעח_31.12.95" localSheetId="35">#REF!</definedName>
    <definedName name="שעח_31.12.95" localSheetId="36">#REF!</definedName>
    <definedName name="שעח_31.12.95" localSheetId="8">#REF!</definedName>
    <definedName name="שעח_31.12.95">#REF!</definedName>
    <definedName name="שעח_31.3.98">'[81]ש"ח מותאם 3.98'!$G$8</definedName>
    <definedName name="שעח30.9.97" localSheetId="8">'[70]Consolidation '!#REF!</definedName>
    <definedName name="שעח30.9.97">'[70]Consolidation '!#REF!</definedName>
    <definedName name="שער">'[82]נתונים לשינוי'!$G$6</definedName>
    <definedName name="שערי_חליפין" localSheetId="35">#REF!</definedName>
    <definedName name="שערי_חליפין" localSheetId="36">#REF!</definedName>
    <definedName name="שערי_חליפין" localSheetId="8">#REF!</definedName>
    <definedName name="שערי_חליפין">#REF!</definedName>
    <definedName name="תוכן_עניינים" localSheetId="35">#REF!</definedName>
    <definedName name="תוכן_עניינים" localSheetId="36">#REF!</definedName>
    <definedName name="תוכן_עניינים" localSheetId="8">#REF!</definedName>
    <definedName name="תוכן_עניינים" localSheetId="41">#REF!</definedName>
    <definedName name="תוכן_עניינים">#REF!</definedName>
    <definedName name="תזרים" localSheetId="35">#REF!</definedName>
    <definedName name="תזרים" localSheetId="36">#REF!</definedName>
    <definedName name="תזרים" localSheetId="8">#REF!</definedName>
    <definedName name="תזרים">#REF!</definedName>
    <definedName name="תזרים96" localSheetId="35">#REF!</definedName>
    <definedName name="תזרים96" localSheetId="36">#REF!</definedName>
    <definedName name="תזרים96" localSheetId="8">#REF!</definedName>
    <definedName name="תזרים96">#REF!</definedName>
    <definedName name="תזרמתואם" localSheetId="35">#REF!</definedName>
    <definedName name="תזרמתואם" localSheetId="36">#REF!</definedName>
    <definedName name="תזרמתואם" localSheetId="8">#REF!</definedName>
    <definedName name="תזרמתואם">#REF!</definedName>
    <definedName name="תיאורטי" localSheetId="35">#REF!</definedName>
    <definedName name="תיאורטי" localSheetId="36">#REF!</definedName>
    <definedName name="תיאורטי" localSheetId="8">#REF!</definedName>
    <definedName name="תיאורטי">#REF!</definedName>
    <definedName name="תיקון_פיצויים_וחופשה" localSheetId="35">#REF!</definedName>
    <definedName name="תיקון_פיצויים_וחופשה" localSheetId="36">#REF!</definedName>
    <definedName name="תיקון_פיצויים_וחופשה" localSheetId="8">#REF!</definedName>
    <definedName name="תיקון_פיצויים_וחופשה">#REF!</definedName>
    <definedName name="תיקון_רכוש_קבוע" localSheetId="35">#REF!</definedName>
    <definedName name="תיקון_רכוש_קבוע" localSheetId="36">#REF!</definedName>
    <definedName name="תיקון_רכוש_קבוע" localSheetId="8">#REF!</definedName>
    <definedName name="תיקון_רכוש_קבוע">#REF!</definedName>
    <definedName name="תכנים">'[43]קבוצת טלדור'!$W$6:$AC$56,'[43]קבוצת טלדור'!$W$60:$AC$108,'[43]קבוצת טלדור'!$W$113:$AC$154</definedName>
    <definedName name="תלויות" localSheetId="35">#REF!</definedName>
    <definedName name="תלויות" localSheetId="36">#REF!</definedName>
    <definedName name="תלויות" localSheetId="8">#REF!</definedName>
    <definedName name="תלויות">#REF!</definedName>
    <definedName name="תלויות_מדען" localSheetId="35">#REF!</definedName>
    <definedName name="תלויות_מדען" localSheetId="36">#REF!</definedName>
    <definedName name="תלויות_מדען" localSheetId="8">#REF!</definedName>
    <definedName name="תלויות_מדען">#REF!</definedName>
    <definedName name="תמצית_לPPM" localSheetId="35">'[48]הרכבה ש"ח'!#REF!</definedName>
    <definedName name="תמצית_לPPM" localSheetId="36">'[48]הרכבה ש"ח'!#REF!</definedName>
    <definedName name="תמצית_לPPM" localSheetId="8">'[48]הרכבה ש"ח'!#REF!</definedName>
    <definedName name="תמצית_לPPM">'[48]הרכבה ש"ח'!#REF!</definedName>
    <definedName name="תנועה_בקרן_אופציות" localSheetId="35">#REF!</definedName>
    <definedName name="תנועה_בקרן_אופציות" localSheetId="36">#REF!</definedName>
    <definedName name="תנועה_בקרן_אופציות" localSheetId="8">#REF!</definedName>
    <definedName name="תנועה_בקרן_אופציות">#REF!</definedName>
    <definedName name="תעודה_א" localSheetId="35">#REF!</definedName>
    <definedName name="תעודה_א" localSheetId="36">#REF!</definedName>
    <definedName name="תעודה_א" localSheetId="8">#REF!</definedName>
    <definedName name="תעודה_א">#REF!</definedName>
    <definedName name="תעודה_ב" localSheetId="35">#REF!</definedName>
    <definedName name="תעודה_ב" localSheetId="36">#REF!</definedName>
    <definedName name="תעודה_ב" localSheetId="8">#REF!</definedName>
    <definedName name="תעודה_ב">#REF!</definedName>
    <definedName name="תקרת_אשל_ליום___ללא_לינה" localSheetId="41">[27]TRAVEL96!$C$7</definedName>
    <definedName name="תקרת_אשל_ליום___ללא_לינה">[26]TRAVEL96!$C$7</definedName>
    <definedName name="תקרת_אשל_ליום___עם_לינה" localSheetId="41">[27]TRAVEL96!$C$8</definedName>
    <definedName name="תקרת_אשל_ליום___עם_לינה">[26]TRAVEL96!$C$8</definedName>
    <definedName name="תקרת_מלון_גבוה" localSheetId="41">[27]TRAVEL96!$C$5</definedName>
    <definedName name="תקרת_מלון_גבוה">[26]TRAVEL96!$C$5</definedName>
    <definedName name="תקרת_מלון_ל___7_ראשונים" localSheetId="41">[27]TRAVEL96!$C$3</definedName>
    <definedName name="תקרת_מלון_ל___7_ראשונים">[26]TRAVEL96!$C$3</definedName>
    <definedName name="תקרת_מלון_לימים_מעבר_ל___7" localSheetId="8">[26]TRAVEL96!#REF!</definedName>
    <definedName name="תקרת_מלון_לימים_מעבר_ל___7" localSheetId="41">[27]TRAVEL96!#REF!</definedName>
    <definedName name="תקרת_מלון_לימים_מעבר_ל___7">[26]TRAVEL96!#REF!</definedName>
    <definedName name="תקרת_מלון_נמוכה" localSheetId="41">[27]TRAVEL96!$C$4</definedName>
    <definedName name="תקרת_מלון_נמוכה">[26]TRAVEL96!$C$4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8" i="3" l="1"/>
  <c r="P290" i="1"/>
  <c r="I5" i="25" l="1"/>
  <c r="J5" i="25"/>
  <c r="E5" i="25"/>
  <c r="D5" i="25"/>
  <c r="C5" i="25"/>
  <c r="B5" i="25"/>
  <c r="I26" i="25"/>
  <c r="N2" i="25"/>
  <c r="E14" i="5"/>
  <c r="F5" i="25" l="1"/>
  <c r="E38" i="5"/>
  <c r="N38" i="5" s="1"/>
  <c r="N10" i="5"/>
  <c r="N11" i="5"/>
  <c r="N13" i="5"/>
  <c r="N14" i="5"/>
  <c r="N15" i="5"/>
  <c r="N16" i="5"/>
  <c r="N26" i="5"/>
  <c r="N33" i="5"/>
  <c r="N41" i="5"/>
  <c r="N42" i="5"/>
  <c r="AX16" i="6"/>
  <c r="AY16" i="6"/>
  <c r="AX17" i="6"/>
  <c r="AY17" i="6"/>
  <c r="AX31" i="6"/>
  <c r="AY31" i="6"/>
  <c r="AX32" i="6"/>
  <c r="AY32" i="6"/>
  <c r="AX33" i="6"/>
  <c r="AY33" i="6"/>
  <c r="AX34" i="6"/>
  <c r="AY34" i="6"/>
  <c r="AX35" i="6"/>
  <c r="AY35" i="6"/>
  <c r="AX36" i="6"/>
  <c r="AY36" i="6"/>
  <c r="AX37" i="6"/>
  <c r="AY37" i="6"/>
  <c r="AX38" i="6"/>
  <c r="AY38" i="6"/>
  <c r="AX50" i="6"/>
  <c r="AY50" i="6"/>
  <c r="AX51" i="6"/>
  <c r="AY51" i="6"/>
  <c r="AX52" i="6"/>
  <c r="AY52" i="6"/>
  <c r="AX53" i="6"/>
  <c r="AY53" i="6"/>
  <c r="AX54" i="6"/>
  <c r="AY54" i="6"/>
  <c r="AX55" i="6"/>
  <c r="AY55" i="6"/>
  <c r="AX61" i="6"/>
  <c r="AY61" i="6"/>
  <c r="AX62" i="6"/>
  <c r="AY62" i="6"/>
  <c r="AX63" i="6"/>
  <c r="AY63" i="6"/>
  <c r="AX64" i="6"/>
  <c r="AY64" i="6"/>
  <c r="AX65" i="6"/>
  <c r="AY65" i="6"/>
  <c r="AX66" i="6"/>
  <c r="AY66" i="6"/>
  <c r="AX67" i="6"/>
  <c r="AY67" i="6"/>
  <c r="AX68" i="6"/>
  <c r="AY68" i="6"/>
  <c r="AX69" i="6"/>
  <c r="AY69" i="6"/>
  <c r="AX70" i="6"/>
  <c r="AY70" i="6"/>
  <c r="AX71" i="6"/>
  <c r="AY71" i="6"/>
  <c r="AX72" i="6"/>
  <c r="AY72" i="6"/>
  <c r="AX73" i="6"/>
  <c r="AY73" i="6"/>
  <c r="AX74" i="6"/>
  <c r="AY74" i="6"/>
  <c r="AX75" i="6"/>
  <c r="AY75" i="6"/>
  <c r="AX76" i="6"/>
  <c r="AY76" i="6"/>
  <c r="AX77" i="6"/>
  <c r="AY77" i="6"/>
  <c r="AX78" i="6"/>
  <c r="AY78" i="6"/>
  <c r="AX79" i="6"/>
  <c r="AY79" i="6"/>
  <c r="AX80" i="6"/>
  <c r="AY80" i="6"/>
  <c r="AX81" i="6"/>
  <c r="AY81" i="6"/>
  <c r="AX82" i="6"/>
  <c r="AY82" i="6"/>
  <c r="AX83" i="6"/>
  <c r="AY83" i="6"/>
  <c r="AX84" i="6"/>
  <c r="AY84" i="6"/>
  <c r="AX85" i="6"/>
  <c r="AY85" i="6"/>
  <c r="AX86" i="6"/>
  <c r="AY86" i="6"/>
  <c r="AX87" i="6"/>
  <c r="AY87" i="6"/>
  <c r="AX88" i="6"/>
  <c r="AY88" i="6"/>
  <c r="AX89" i="6"/>
  <c r="AY89" i="6"/>
  <c r="AJ10" i="7"/>
  <c r="AJ11" i="7"/>
  <c r="AI14" i="7"/>
  <c r="AJ14" i="7"/>
  <c r="AI15" i="7"/>
  <c r="AJ15" i="7"/>
  <c r="AJ16" i="7"/>
  <c r="AI18" i="7"/>
  <c r="AJ18" i="7"/>
  <c r="AJ19" i="7"/>
  <c r="AJ20" i="7"/>
  <c r="AJ21" i="7"/>
  <c r="AJ22" i="7"/>
  <c r="AJ23" i="7"/>
  <c r="AJ24" i="7"/>
  <c r="AI27" i="7"/>
  <c r="AJ27" i="7"/>
  <c r="AI28" i="7"/>
  <c r="AJ28" i="7"/>
  <c r="AJ29" i="7"/>
  <c r="AI31" i="7"/>
  <c r="AJ31" i="7"/>
  <c r="AJ32" i="7"/>
  <c r="AJ33" i="7"/>
  <c r="AJ34" i="7"/>
  <c r="AI37" i="7"/>
  <c r="AJ37" i="7"/>
  <c r="AI38" i="7"/>
  <c r="AJ38" i="7"/>
  <c r="AJ42" i="7"/>
  <c r="AJ43" i="7"/>
  <c r="AI46" i="7"/>
  <c r="AJ46" i="7"/>
  <c r="AI47" i="7"/>
  <c r="AJ47" i="7"/>
  <c r="AJ51" i="7"/>
  <c r="AJ52" i="7"/>
  <c r="AJ53" i="7"/>
  <c r="AJ54" i="7"/>
  <c r="AJ55" i="7"/>
  <c r="AI57" i="7"/>
  <c r="AJ57" i="7"/>
  <c r="AI59" i="7"/>
  <c r="AJ59" i="7"/>
  <c r="AJ60" i="7"/>
  <c r="AI62" i="7"/>
  <c r="AJ62" i="7"/>
  <c r="AJ63" i="7"/>
  <c r="AJ9" i="7"/>
  <c r="M12" i="4"/>
  <c r="M13" i="4"/>
  <c r="M14" i="4"/>
  <c r="M15" i="4"/>
  <c r="M17" i="4"/>
  <c r="M18" i="4"/>
  <c r="M19" i="4"/>
  <c r="M20" i="4"/>
  <c r="M21" i="4"/>
  <c r="M25" i="4"/>
  <c r="M26" i="4"/>
  <c r="M27" i="4"/>
  <c r="M29" i="4"/>
  <c r="M30" i="4"/>
  <c r="M32" i="4"/>
  <c r="M33" i="4"/>
  <c r="M34" i="4"/>
  <c r="L13" i="4"/>
  <c r="L15" i="4"/>
  <c r="L17" i="4"/>
  <c r="L18" i="4"/>
  <c r="L29" i="4"/>
  <c r="L32" i="4"/>
  <c r="L34" i="4"/>
  <c r="D50" i="10"/>
  <c r="D36" i="3"/>
  <c r="B58" i="25"/>
  <c r="C43" i="10" s="1"/>
  <c r="E60" i="25"/>
  <c r="F60" i="25" s="1"/>
  <c r="I60" i="25"/>
  <c r="J60" i="25"/>
  <c r="E61" i="25"/>
  <c r="F61" i="25" s="1"/>
  <c r="I61" i="25"/>
  <c r="J61" i="25"/>
  <c r="B59" i="25"/>
  <c r="C38" i="10" s="1"/>
  <c r="A55" i="7"/>
  <c r="A54" i="7"/>
  <c r="E59" i="25"/>
  <c r="I59" i="25"/>
  <c r="J59" i="25"/>
  <c r="E44" i="10"/>
  <c r="D58" i="25"/>
  <c r="I58" i="25"/>
  <c r="J58" i="25"/>
  <c r="D59" i="25"/>
  <c r="A35" i="3"/>
  <c r="C48" i="10" l="1"/>
  <c r="C39" i="10"/>
  <c r="C49" i="10"/>
  <c r="F59" i="25"/>
  <c r="E39" i="10" l="1"/>
  <c r="E58" i="25" s="1"/>
  <c r="F58" i="25" s="1"/>
  <c r="C57" i="25"/>
  <c r="D57" i="25"/>
  <c r="D56" i="25"/>
  <c r="E57" i="25"/>
  <c r="I57" i="25"/>
  <c r="J57" i="25"/>
  <c r="P289" i="1"/>
  <c r="P291" i="1"/>
  <c r="F57" i="25" l="1"/>
  <c r="K290" i="1"/>
  <c r="L290" i="1"/>
  <c r="K291" i="1"/>
  <c r="L291" i="1"/>
  <c r="E4" i="10"/>
  <c r="D5" i="10" s="1"/>
  <c r="F339" i="1"/>
  <c r="H66" i="49"/>
  <c r="F319" i="1" l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7" i="1"/>
  <c r="F338" i="1"/>
  <c r="F340" i="1"/>
  <c r="F310" i="1"/>
  <c r="H54" i="48"/>
  <c r="P297" i="1"/>
  <c r="K297" i="1"/>
  <c r="L297" i="1"/>
  <c r="F297" i="1"/>
  <c r="K340" i="1"/>
  <c r="L340" i="1"/>
  <c r="H16" i="48"/>
  <c r="H62" i="48"/>
  <c r="D79" i="49"/>
  <c r="E75" i="49"/>
  <c r="E60" i="49"/>
  <c r="E48" i="49"/>
  <c r="H40" i="49"/>
  <c r="E40" i="49"/>
  <c r="E31" i="49"/>
  <c r="E24" i="49"/>
  <c r="E20" i="49"/>
  <c r="H75" i="49"/>
  <c r="H74" i="49"/>
  <c r="H73" i="49"/>
  <c r="H72" i="49"/>
  <c r="H76" i="49"/>
  <c r="E74" i="56"/>
  <c r="E60" i="56"/>
  <c r="E48" i="56"/>
  <c r="E40" i="56"/>
  <c r="E31" i="56"/>
  <c r="E24" i="56"/>
  <c r="E20" i="56"/>
  <c r="D78" i="56" s="1"/>
  <c r="K3" i="56"/>
  <c r="K4" i="56" s="1"/>
  <c r="K2" i="56"/>
  <c r="L1" i="56"/>
  <c r="H81" i="55"/>
  <c r="E81" i="55"/>
  <c r="E74" i="55"/>
  <c r="Q73" i="55"/>
  <c r="M73" i="55"/>
  <c r="N73" i="55" s="1"/>
  <c r="Q71" i="55"/>
  <c r="R71" i="55" s="1"/>
  <c r="S71" i="55" s="1"/>
  <c r="M71" i="55"/>
  <c r="N71" i="55" s="1"/>
  <c r="H71" i="55"/>
  <c r="Q68" i="55"/>
  <c r="R68" i="55" s="1"/>
  <c r="M68" i="55"/>
  <c r="N68" i="55" s="1"/>
  <c r="H68" i="55"/>
  <c r="Q62" i="55"/>
  <c r="R62" i="55" s="1"/>
  <c r="S62" i="55" s="1"/>
  <c r="M62" i="55"/>
  <c r="N62" i="55" s="1"/>
  <c r="H62" i="55"/>
  <c r="E62" i="55"/>
  <c r="Q61" i="55"/>
  <c r="R61" i="55" s="1"/>
  <c r="M61" i="55"/>
  <c r="Q58" i="55"/>
  <c r="M58" i="55"/>
  <c r="N58" i="55" s="1"/>
  <c r="E58" i="55"/>
  <c r="Q57" i="55"/>
  <c r="R57" i="55" s="1"/>
  <c r="M57" i="55"/>
  <c r="N57" i="55" s="1"/>
  <c r="Q51" i="55"/>
  <c r="I51" i="55"/>
  <c r="Q34" i="55"/>
  <c r="R34" i="55" s="1"/>
  <c r="M34" i="55"/>
  <c r="N34" i="55" s="1"/>
  <c r="E32" i="55"/>
  <c r="E40" i="55" s="1"/>
  <c r="R30" i="55"/>
  <c r="S30" i="55" s="1"/>
  <c r="Q30" i="55"/>
  <c r="R25" i="55"/>
  <c r="S25" i="55" s="1"/>
  <c r="Q25" i="55"/>
  <c r="Q22" i="55"/>
  <c r="R22" i="55" s="1"/>
  <c r="S22" i="55" s="1"/>
  <c r="N22" i="55"/>
  <c r="M22" i="55"/>
  <c r="Q21" i="55"/>
  <c r="R21" i="55" s="1"/>
  <c r="M21" i="55"/>
  <c r="N21" i="55" s="1"/>
  <c r="H21" i="55"/>
  <c r="Q16" i="55"/>
  <c r="Q86" i="55" s="1"/>
  <c r="M16" i="55"/>
  <c r="N16" i="55" s="1"/>
  <c r="H16" i="55"/>
  <c r="I5" i="55"/>
  <c r="H58" i="55" s="1"/>
  <c r="I4" i="55"/>
  <c r="I3" i="55"/>
  <c r="J2" i="55"/>
  <c r="M78" i="56" l="1"/>
  <c r="H56" i="56"/>
  <c r="H45" i="56"/>
  <c r="H37" i="56"/>
  <c r="H40" i="56" s="1"/>
  <c r="H15" i="56"/>
  <c r="H22" i="56"/>
  <c r="H47" i="56"/>
  <c r="H46" i="56"/>
  <c r="H18" i="56"/>
  <c r="H63" i="56"/>
  <c r="H55" i="56"/>
  <c r="H44" i="56"/>
  <c r="H12" i="56"/>
  <c r="H60" i="56"/>
  <c r="H42" i="56"/>
  <c r="H19" i="56"/>
  <c r="H69" i="56"/>
  <c r="H54" i="56"/>
  <c r="H43" i="56"/>
  <c r="H35" i="56"/>
  <c r="H23" i="56"/>
  <c r="H74" i="56"/>
  <c r="H34" i="56"/>
  <c r="H36" i="56" s="1"/>
  <c r="H39" i="56"/>
  <c r="H38" i="56"/>
  <c r="H48" i="56"/>
  <c r="H57" i="56"/>
  <c r="H29" i="56"/>
  <c r="H73" i="56"/>
  <c r="H59" i="56"/>
  <c r="H72" i="56"/>
  <c r="H75" i="56" s="1"/>
  <c r="H58" i="56"/>
  <c r="H30" i="56"/>
  <c r="S21" i="55"/>
  <c r="S61" i="55"/>
  <c r="S34" i="55"/>
  <c r="S57" i="55"/>
  <c r="S68" i="55"/>
  <c r="H57" i="55"/>
  <c r="H59" i="55" s="1"/>
  <c r="R16" i="55"/>
  <c r="H23" i="55"/>
  <c r="H28" i="55"/>
  <c r="H27" i="55"/>
  <c r="H37" i="55"/>
  <c r="N61" i="55"/>
  <c r="N86" i="55" s="1"/>
  <c r="R73" i="55"/>
  <c r="S73" i="55" s="1"/>
  <c r="H24" i="55"/>
  <c r="H29" i="55"/>
  <c r="H34" i="55"/>
  <c r="M86" i="55"/>
  <c r="H19" i="55"/>
  <c r="H22" i="55"/>
  <c r="H25" i="55"/>
  <c r="H30" i="55"/>
  <c r="R58" i="55"/>
  <c r="S58" i="55" s="1"/>
  <c r="H69" i="55"/>
  <c r="H72" i="55"/>
  <c r="H13" i="55"/>
  <c r="H20" i="55"/>
  <c r="H48" i="55"/>
  <c r="J48" i="55" s="1"/>
  <c r="H65" i="55"/>
  <c r="H70" i="55"/>
  <c r="H74" i="55" s="1"/>
  <c r="H73" i="55"/>
  <c r="H51" i="55"/>
  <c r="J51" i="55" s="1"/>
  <c r="H61" i="55"/>
  <c r="H63" i="55" s="1"/>
  <c r="H84" i="55"/>
  <c r="H26" i="55"/>
  <c r="H31" i="55"/>
  <c r="H49" i="56" l="1"/>
  <c r="H24" i="56"/>
  <c r="H61" i="56"/>
  <c r="H32" i="56"/>
  <c r="H20" i="56"/>
  <c r="H32" i="55"/>
  <c r="H40" i="55" s="1"/>
  <c r="I40" i="55" s="1"/>
  <c r="R86" i="55"/>
  <c r="S16" i="55"/>
  <c r="S86" i="55" s="1"/>
  <c r="AZ31" i="4"/>
  <c r="AY31" i="4"/>
  <c r="AX31" i="4"/>
  <c r="F30" i="4" l="1"/>
  <c r="D22" i="10"/>
  <c r="D30" i="4" l="1"/>
  <c r="K322" i="1"/>
  <c r="L322" i="1"/>
  <c r="P322" i="1"/>
  <c r="K323" i="1"/>
  <c r="L323" i="1"/>
  <c r="P323" i="1"/>
  <c r="K324" i="1"/>
  <c r="L324" i="1"/>
  <c r="P324" i="1"/>
  <c r="K325" i="1"/>
  <c r="L325" i="1"/>
  <c r="P325" i="1"/>
  <c r="K326" i="1"/>
  <c r="L326" i="1"/>
  <c r="P326" i="1"/>
  <c r="K327" i="1"/>
  <c r="L327" i="1"/>
  <c r="P327" i="1"/>
  <c r="K328" i="1"/>
  <c r="L328" i="1"/>
  <c r="P328" i="1"/>
  <c r="K329" i="1"/>
  <c r="L329" i="1"/>
  <c r="P329" i="1"/>
  <c r="K330" i="1"/>
  <c r="L330" i="1"/>
  <c r="P330" i="1"/>
  <c r="K331" i="1"/>
  <c r="L331" i="1"/>
  <c r="P331" i="1"/>
  <c r="K332" i="1"/>
  <c r="L332" i="1"/>
  <c r="P332" i="1"/>
  <c r="K333" i="1"/>
  <c r="L333" i="1"/>
  <c r="P333" i="1"/>
  <c r="K334" i="1"/>
  <c r="L334" i="1"/>
  <c r="P334" i="1"/>
  <c r="K335" i="1"/>
  <c r="L335" i="1"/>
  <c r="P335" i="1"/>
  <c r="K336" i="1"/>
  <c r="L336" i="1"/>
  <c r="P336" i="1"/>
  <c r="K337" i="1"/>
  <c r="L337" i="1"/>
  <c r="P337" i="1"/>
  <c r="K338" i="1"/>
  <c r="L338" i="1"/>
  <c r="P338" i="1"/>
  <c r="K339" i="1"/>
  <c r="L339" i="1"/>
  <c r="P339" i="1"/>
  <c r="K321" i="1"/>
  <c r="L321" i="1"/>
  <c r="P321" i="1"/>
  <c r="K314" i="1"/>
  <c r="L314" i="1"/>
  <c r="M314" i="1"/>
  <c r="N314" i="1"/>
  <c r="P314" i="1"/>
  <c r="G313" i="1"/>
  <c r="H313" i="1"/>
  <c r="I313" i="1"/>
  <c r="J313" i="1"/>
  <c r="H69" i="48"/>
  <c r="F314" i="1" s="1"/>
  <c r="E32" i="48"/>
  <c r="E74" i="48"/>
  <c r="K285" i="1"/>
  <c r="L285" i="1"/>
  <c r="P285" i="1"/>
  <c r="K286" i="1"/>
  <c r="L286" i="1"/>
  <c r="P286" i="1"/>
  <c r="K287" i="1"/>
  <c r="L287" i="1"/>
  <c r="P287" i="1"/>
  <c r="K288" i="1"/>
  <c r="L288" i="1"/>
  <c r="P288" i="1"/>
  <c r="K289" i="1"/>
  <c r="L289" i="1"/>
  <c r="E40" i="48" l="1"/>
  <c r="E348" i="1" l="1"/>
  <c r="P284" i="1" l="1"/>
  <c r="L284" i="1"/>
  <c r="K284" i="1"/>
  <c r="P283" i="1"/>
  <c r="L283" i="1"/>
  <c r="K283" i="1"/>
  <c r="J7" i="54"/>
  <c r="E58" i="48" l="1"/>
  <c r="P282" i="1"/>
  <c r="K282" i="1"/>
  <c r="L282" i="1"/>
  <c r="K273" i="1" l="1"/>
  <c r="L273" i="1"/>
  <c r="P273" i="1"/>
  <c r="K274" i="1"/>
  <c r="L274" i="1"/>
  <c r="P274" i="1"/>
  <c r="K275" i="1"/>
  <c r="L275" i="1"/>
  <c r="P275" i="1"/>
  <c r="K276" i="1"/>
  <c r="L276" i="1"/>
  <c r="P276" i="1"/>
  <c r="K277" i="1"/>
  <c r="L277" i="1"/>
  <c r="P277" i="1"/>
  <c r="K278" i="1"/>
  <c r="L278" i="1"/>
  <c r="P278" i="1"/>
  <c r="K279" i="1"/>
  <c r="L279" i="1"/>
  <c r="P279" i="1"/>
  <c r="K280" i="1"/>
  <c r="L280" i="1"/>
  <c r="P280" i="1"/>
  <c r="K281" i="1"/>
  <c r="L281" i="1"/>
  <c r="P281" i="1"/>
  <c r="D2" i="54" l="1"/>
  <c r="D1" i="54"/>
  <c r="C1" i="54"/>
  <c r="F6" i="54"/>
  <c r="D23" i="54"/>
  <c r="E23" i="54" s="1"/>
  <c r="E25" i="54" s="1"/>
  <c r="C23" i="54"/>
  <c r="G21" i="54"/>
  <c r="G20" i="54"/>
  <c r="G19" i="54"/>
  <c r="E19" i="54"/>
  <c r="G18" i="54"/>
  <c r="E18" i="54"/>
  <c r="E6" i="54" l="1"/>
  <c r="G6" i="54" s="1"/>
  <c r="I6" i="54" s="1"/>
  <c r="G23" i="54"/>
  <c r="K6" i="54" l="1"/>
  <c r="N6" i="54" s="1"/>
  <c r="I7" i="54"/>
  <c r="K7" i="54" l="1"/>
  <c r="K270" i="1"/>
  <c r="L270" i="1"/>
  <c r="P270" i="1"/>
  <c r="K271" i="1"/>
  <c r="L271" i="1"/>
  <c r="P271" i="1"/>
  <c r="K272" i="1"/>
  <c r="L272" i="1"/>
  <c r="P272" i="1"/>
  <c r="L320" i="1"/>
  <c r="L319" i="1"/>
  <c r="L318" i="1"/>
  <c r="L316" i="1"/>
  <c r="L315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317" i="1"/>
  <c r="L296" i="1"/>
  <c r="L295" i="1"/>
  <c r="L294" i="1"/>
  <c r="L293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269" i="1"/>
  <c r="P269" i="1"/>
  <c r="K262" i="1" l="1"/>
  <c r="P262" i="1"/>
  <c r="K263" i="1"/>
  <c r="P263" i="1"/>
  <c r="K264" i="1"/>
  <c r="P264" i="1"/>
  <c r="K265" i="1"/>
  <c r="P265" i="1"/>
  <c r="K266" i="1"/>
  <c r="P266" i="1"/>
  <c r="K267" i="1"/>
  <c r="P267" i="1"/>
  <c r="K268" i="1"/>
  <c r="P268" i="1"/>
  <c r="K318" i="1"/>
  <c r="P318" i="1"/>
  <c r="K299" i="1"/>
  <c r="M299" i="1"/>
  <c r="N299" i="1"/>
  <c r="P299" i="1"/>
  <c r="D348" i="1"/>
  <c r="K261" i="1"/>
  <c r="P261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01" i="1"/>
  <c r="P202" i="1"/>
  <c r="P203" i="1"/>
  <c r="P204" i="1"/>
  <c r="P205" i="1"/>
  <c r="P206" i="1"/>
  <c r="P207" i="1"/>
  <c r="P208" i="1"/>
  <c r="P209" i="1"/>
  <c r="P210" i="1"/>
  <c r="P211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E54" i="55" l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P316" i="1"/>
  <c r="K316" i="1"/>
  <c r="Q54" i="55" l="1"/>
  <c r="M54" i="55"/>
  <c r="H54" i="55"/>
  <c r="E86" i="55"/>
  <c r="E89" i="55" s="1"/>
  <c r="K243" i="1"/>
  <c r="S54" i="55" l="1"/>
  <c r="L1" i="49"/>
  <c r="J2" i="48"/>
  <c r="K3" i="49"/>
  <c r="K2" i="49"/>
  <c r="I4" i="48"/>
  <c r="I3" i="48"/>
  <c r="I5" i="48" l="1"/>
  <c r="K4" i="49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H12" i="49" l="1"/>
  <c r="H38" i="49"/>
  <c r="H30" i="49"/>
  <c r="H48" i="48"/>
  <c r="H13" i="48"/>
  <c r="D3" i="54"/>
  <c r="I8" i="54" s="1"/>
  <c r="H22" i="49"/>
  <c r="H37" i="49"/>
  <c r="H42" i="49"/>
  <c r="H59" i="49"/>
  <c r="H57" i="49"/>
  <c r="H54" i="49"/>
  <c r="H55" i="49"/>
  <c r="H56" i="49"/>
  <c r="E31" i="10"/>
  <c r="K8" i="54" l="1"/>
  <c r="K9" i="54"/>
  <c r="D18" i="10"/>
  <c r="E17" i="10" s="1"/>
  <c r="P296" i="1"/>
  <c r="P317" i="1"/>
  <c r="P298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5" i="1"/>
  <c r="P319" i="1"/>
  <c r="P320" i="1"/>
  <c r="H18" i="49" l="1"/>
  <c r="K296" i="1" l="1"/>
  <c r="K317" i="1"/>
  <c r="K298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5" i="1"/>
  <c r="K319" i="1"/>
  <c r="K320" i="1"/>
  <c r="K295" i="1"/>
  <c r="M312" i="1"/>
  <c r="N312" i="1"/>
  <c r="M313" i="1"/>
  <c r="N313" i="1"/>
  <c r="F295" i="1" l="1"/>
  <c r="F311" i="1"/>
  <c r="H58" i="48"/>
  <c r="F309" i="1" s="1"/>
  <c r="H57" i="48"/>
  <c r="F308" i="1" s="1"/>
  <c r="H30" i="48"/>
  <c r="F303" i="1" s="1"/>
  <c r="H27" i="48"/>
  <c r="F302" i="1" s="1"/>
  <c r="H51" i="48"/>
  <c r="J51" i="48" s="1"/>
  <c r="H66" i="56" s="1"/>
  <c r="H78" i="56" s="1"/>
  <c r="I78" i="56" s="1"/>
  <c r="H26" i="48"/>
  <c r="F301" i="1" s="1"/>
  <c r="H25" i="48"/>
  <c r="F300" i="1" s="1"/>
  <c r="J48" i="48"/>
  <c r="H22" i="48"/>
  <c r="H37" i="48"/>
  <c r="F305" i="1" s="1"/>
  <c r="D9" i="25" s="1"/>
  <c r="F296" i="1"/>
  <c r="H34" i="48"/>
  <c r="F304" i="1" s="1"/>
  <c r="E62" i="48"/>
  <c r="G54" i="6"/>
  <c r="G37" i="6"/>
  <c r="G20" i="6"/>
  <c r="G7" i="6"/>
  <c r="H59" i="48" l="1"/>
  <c r="D61" i="7"/>
  <c r="AJ61" i="7" s="1"/>
  <c r="D49" i="7"/>
  <c r="D40" i="7"/>
  <c r="D30" i="7"/>
  <c r="AJ30" i="7" s="1"/>
  <c r="D17" i="7"/>
  <c r="AJ17" i="7" s="1"/>
  <c r="D6" i="7"/>
  <c r="I7" i="4"/>
  <c r="D5" i="3"/>
  <c r="D44" i="25"/>
  <c r="E44" i="25"/>
  <c r="C44" i="25"/>
  <c r="B44" i="25"/>
  <c r="I44" i="25"/>
  <c r="J44" i="25"/>
  <c r="H79" i="49" l="1"/>
  <c r="I54" i="48" s="1"/>
  <c r="H86" i="48" s="1"/>
  <c r="F336" i="1"/>
  <c r="F44" i="25"/>
  <c r="P295" i="1" l="1"/>
  <c r="C29" i="25"/>
  <c r="D4" i="25"/>
  <c r="D55" i="25" l="1"/>
  <c r="D54" i="25"/>
  <c r="D53" i="25"/>
  <c r="D52" i="25"/>
  <c r="D51" i="25"/>
  <c r="D49" i="25"/>
  <c r="D48" i="25"/>
  <c r="D47" i="25"/>
  <c r="D46" i="25"/>
  <c r="D45" i="25"/>
  <c r="D43" i="25"/>
  <c r="D42" i="25"/>
  <c r="D41" i="25"/>
  <c r="D38" i="25"/>
  <c r="D37" i="25"/>
  <c r="D34" i="25"/>
  <c r="D33" i="25"/>
  <c r="D32" i="25"/>
  <c r="D31" i="25"/>
  <c r="D30" i="25"/>
  <c r="D29" i="25"/>
  <c r="D28" i="25"/>
  <c r="D27" i="25"/>
  <c r="D26" i="25"/>
  <c r="D24" i="25"/>
  <c r="D23" i="25"/>
  <c r="D21" i="25"/>
  <c r="D20" i="25"/>
  <c r="D19" i="25"/>
  <c r="D17" i="25"/>
  <c r="D16" i="25"/>
  <c r="D15" i="25"/>
  <c r="D14" i="25"/>
  <c r="D13" i="25"/>
  <c r="D12" i="25"/>
  <c r="D11" i="25"/>
  <c r="D8" i="25"/>
  <c r="D7" i="25"/>
  <c r="D3" i="25"/>
  <c r="D2" i="25"/>
  <c r="E43" i="25" l="1"/>
  <c r="E26" i="25" l="1"/>
  <c r="E27" i="25"/>
  <c r="E28" i="25"/>
  <c r="E29" i="25"/>
  <c r="E30" i="25"/>
  <c r="E31" i="25"/>
  <c r="C30" i="25"/>
  <c r="H84" i="48" l="1"/>
  <c r="H61" i="48"/>
  <c r="H21" i="48"/>
  <c r="H68" i="48"/>
  <c r="F313" i="1" s="1"/>
  <c r="H24" i="48"/>
  <c r="F299" i="1" s="1"/>
  <c r="H73" i="48"/>
  <c r="K2" i="1"/>
  <c r="H63" i="49"/>
  <c r="C3" i="25"/>
  <c r="C4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D13" i="10" s="1"/>
  <c r="C24" i="25"/>
  <c r="C25" i="25"/>
  <c r="C26" i="25"/>
  <c r="C27" i="25"/>
  <c r="C28" i="25"/>
  <c r="C31" i="25"/>
  <c r="C32" i="25"/>
  <c r="C33" i="25"/>
  <c r="C34" i="25"/>
  <c r="C35" i="25"/>
  <c r="C36" i="25"/>
  <c r="C37" i="25"/>
  <c r="C38" i="25"/>
  <c r="E9" i="10" s="1"/>
  <c r="C39" i="25"/>
  <c r="C40" i="25"/>
  <c r="C41" i="25"/>
  <c r="C42" i="25"/>
  <c r="C43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2" i="25"/>
  <c r="C65" i="25" l="1"/>
  <c r="D10" i="10"/>
  <c r="E38" i="25"/>
  <c r="H63" i="48"/>
  <c r="D25" i="25"/>
  <c r="H48" i="49"/>
  <c r="H47" i="49"/>
  <c r="H46" i="49"/>
  <c r="H43" i="49"/>
  <c r="H39" i="49"/>
  <c r="H44" i="49"/>
  <c r="H45" i="49"/>
  <c r="P2" i="1"/>
  <c r="H49" i="49" l="1"/>
  <c r="D39" i="25"/>
  <c r="D54" i="6"/>
  <c r="D53" i="6"/>
  <c r="D37" i="6"/>
  <c r="D36" i="6"/>
  <c r="D20" i="6"/>
  <c r="D19" i="6"/>
  <c r="D40" i="25" l="1"/>
  <c r="C59" i="6"/>
  <c r="E59" i="6"/>
  <c r="C48" i="6"/>
  <c r="E48" i="6"/>
  <c r="C29" i="6"/>
  <c r="E29" i="6"/>
  <c r="C14" i="6"/>
  <c r="D7" i="6"/>
  <c r="D6" i="6"/>
  <c r="E16" i="4"/>
  <c r="G16" i="4"/>
  <c r="G22" i="4"/>
  <c r="F7" i="4"/>
  <c r="F6" i="4"/>
  <c r="G24" i="4" l="1"/>
  <c r="G28" i="4" s="1"/>
  <c r="G31" i="4" s="1"/>
  <c r="M198" i="1" l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E81" i="48" l="1"/>
  <c r="M315" i="1"/>
  <c r="N315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311" i="1" l="1"/>
  <c r="N311" i="1"/>
  <c r="E54" i="48" l="1"/>
  <c r="M310" i="1"/>
  <c r="N310" i="1"/>
  <c r="E86" i="48" l="1"/>
  <c r="E89" i="48" s="1"/>
  <c r="I16" i="4"/>
  <c r="M16" i="4" s="1"/>
  <c r="A14" i="4"/>
  <c r="M177" i="1" l="1"/>
  <c r="N177" i="1"/>
  <c r="M178" i="1"/>
  <c r="N178" i="1"/>
  <c r="M179" i="1"/>
  <c r="N179" i="1"/>
  <c r="M180" i="1"/>
  <c r="N180" i="1"/>
  <c r="M181" i="1"/>
  <c r="N181" i="1"/>
  <c r="M182" i="1"/>
  <c r="N18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K293" i="1"/>
  <c r="M293" i="1"/>
  <c r="N293" i="1"/>
  <c r="K294" i="1"/>
  <c r="M294" i="1"/>
  <c r="N294" i="1"/>
  <c r="M295" i="1"/>
  <c r="M296" i="1"/>
  <c r="M317" i="1"/>
  <c r="M298" i="1"/>
  <c r="M300" i="1"/>
  <c r="M301" i="1"/>
  <c r="M302" i="1"/>
  <c r="M303" i="1"/>
  <c r="M304" i="1"/>
  <c r="N304" i="1"/>
  <c r="M306" i="1"/>
  <c r="N306" i="1"/>
  <c r="M307" i="1"/>
  <c r="N307" i="1"/>
  <c r="M308" i="1"/>
  <c r="G14" i="6" l="1"/>
  <c r="D35" i="7"/>
  <c r="AJ35" i="7" s="1"/>
  <c r="D44" i="7"/>
  <c r="AJ44" i="7" s="1"/>
  <c r="E28" i="4" l="1"/>
  <c r="A26" i="4"/>
  <c r="E56" i="25"/>
  <c r="B56" i="25"/>
  <c r="I56" i="25"/>
  <c r="J56" i="25"/>
  <c r="F56" i="25" l="1"/>
  <c r="A40" i="4" l="1"/>
  <c r="A49" i="3"/>
  <c r="A35" i="52"/>
  <c r="A1" i="52"/>
  <c r="H81" i="48" l="1"/>
  <c r="H19" i="49"/>
  <c r="H31" i="48"/>
  <c r="H71" i="48"/>
  <c r="F316" i="1" s="1"/>
  <c r="H72" i="48"/>
  <c r="F318" i="1" s="1"/>
  <c r="H29" i="48"/>
  <c r="H65" i="48"/>
  <c r="F312" i="1" s="1"/>
  <c r="D18" i="25" s="1"/>
  <c r="H58" i="49"/>
  <c r="H35" i="49"/>
  <c r="H34" i="49"/>
  <c r="H69" i="49"/>
  <c r="H60" i="49"/>
  <c r="H29" i="49"/>
  <c r="H32" i="49" s="1"/>
  <c r="H15" i="49"/>
  <c r="H23" i="49"/>
  <c r="H28" i="48"/>
  <c r="H70" i="48"/>
  <c r="H19" i="48"/>
  <c r="H23" i="48"/>
  <c r="F298" i="1" s="1"/>
  <c r="H20" i="48"/>
  <c r="H62" i="47"/>
  <c r="H59" i="47"/>
  <c r="H63" i="46"/>
  <c r="H61" i="46"/>
  <c r="H62" i="46"/>
  <c r="H60" i="46"/>
  <c r="H54" i="46"/>
  <c r="H53" i="46"/>
  <c r="H50" i="46"/>
  <c r="H47" i="46"/>
  <c r="H44" i="46"/>
  <c r="H36" i="46"/>
  <c r="I36" i="46" s="1"/>
  <c r="H30" i="46"/>
  <c r="H33" i="46"/>
  <c r="H28" i="46"/>
  <c r="H27" i="46"/>
  <c r="H20" i="49" l="1"/>
  <c r="H24" i="49"/>
  <c r="D35" i="25"/>
  <c r="H36" i="49"/>
  <c r="D36" i="25"/>
  <c r="H61" i="49"/>
  <c r="F315" i="1"/>
  <c r="D22" i="25" s="1"/>
  <c r="D10" i="25"/>
  <c r="H32" i="48"/>
  <c r="H40" i="48" s="1"/>
  <c r="D50" i="25"/>
  <c r="H74" i="48"/>
  <c r="I54" i="55" l="1"/>
  <c r="H86" i="55" s="1"/>
  <c r="H89" i="55" s="1"/>
  <c r="F348" i="1"/>
  <c r="I40" i="48"/>
  <c r="H53" i="47"/>
  <c r="H52" i="47"/>
  <c r="H51" i="47"/>
  <c r="H50" i="47"/>
  <c r="H49" i="47"/>
  <c r="H48" i="47"/>
  <c r="H42" i="47"/>
  <c r="H41" i="47"/>
  <c r="H40" i="47"/>
  <c r="H39" i="47"/>
  <c r="H38" i="47"/>
  <c r="H37" i="47"/>
  <c r="H36" i="47"/>
  <c r="H33" i="47"/>
  <c r="H30" i="47"/>
  <c r="H27" i="47"/>
  <c r="H22" i="47"/>
  <c r="H21" i="47"/>
  <c r="H23" i="47" s="1"/>
  <c r="H18" i="47"/>
  <c r="H15" i="47"/>
  <c r="H12" i="47"/>
  <c r="H55" i="46"/>
  <c r="J47" i="46"/>
  <c r="J44" i="46"/>
  <c r="H56" i="47" s="1"/>
  <c r="H26" i="46"/>
  <c r="H25" i="46"/>
  <c r="H24" i="46"/>
  <c r="H23" i="46"/>
  <c r="H22" i="46"/>
  <c r="H21" i="46"/>
  <c r="H20" i="46"/>
  <c r="H17" i="46"/>
  <c r="H14" i="46"/>
  <c r="I79" i="49" l="1"/>
  <c r="H89" i="48"/>
  <c r="I86" i="55"/>
  <c r="H54" i="47"/>
  <c r="H43" i="47"/>
  <c r="E46" i="25"/>
  <c r="G46" i="25"/>
  <c r="H46" i="25" s="1"/>
  <c r="I46" i="25"/>
  <c r="J46" i="25"/>
  <c r="B46" i="25"/>
  <c r="H66" i="47" l="1"/>
  <c r="F46" i="25"/>
  <c r="H57" i="45"/>
  <c r="H69" i="45" s="1"/>
  <c r="I48" i="44" s="1"/>
  <c r="H71" i="44" s="1"/>
  <c r="I71" i="44" s="1"/>
  <c r="J42" i="44"/>
  <c r="J45" i="44"/>
  <c r="H65" i="45"/>
  <c r="H54" i="45"/>
  <c r="H53" i="45"/>
  <c r="H52" i="45"/>
  <c r="H51" i="45"/>
  <c r="H50" i="45"/>
  <c r="H49" i="45"/>
  <c r="H44" i="45"/>
  <c r="H43" i="45"/>
  <c r="H42" i="45"/>
  <c r="H41" i="45"/>
  <c r="H40" i="45"/>
  <c r="H39" i="45"/>
  <c r="H38" i="45"/>
  <c r="H37" i="45"/>
  <c r="H34" i="45"/>
  <c r="H31" i="45"/>
  <c r="H28" i="45"/>
  <c r="H24" i="45"/>
  <c r="H23" i="45"/>
  <c r="H22" i="45"/>
  <c r="H19" i="45"/>
  <c r="H16" i="45"/>
  <c r="H13" i="45"/>
  <c r="I4" i="45"/>
  <c r="H60" i="44"/>
  <c r="H51" i="44"/>
  <c r="H31" i="44"/>
  <c r="H23" i="44"/>
  <c r="H19" i="44"/>
  <c r="I4" i="44"/>
  <c r="H59" i="44" s="1"/>
  <c r="I86" i="48" l="1"/>
  <c r="I66" i="47"/>
  <c r="I50" i="46"/>
  <c r="H73" i="46" s="1"/>
  <c r="I73" i="46" s="1"/>
  <c r="I69" i="45"/>
  <c r="H20" i="44"/>
  <c r="H26" i="44" s="1"/>
  <c r="H24" i="44"/>
  <c r="H42" i="44"/>
  <c r="H52" i="44"/>
  <c r="H53" i="44" s="1"/>
  <c r="H13" i="44"/>
  <c r="H21" i="44"/>
  <c r="H25" i="44"/>
  <c r="H45" i="44"/>
  <c r="H58" i="44"/>
  <c r="H61" i="44" s="1"/>
  <c r="H16" i="44"/>
  <c r="H22" i="44"/>
  <c r="H28" i="44"/>
  <c r="H34" i="44" s="1"/>
  <c r="H48" i="44"/>
  <c r="I59" i="43" l="1"/>
  <c r="H52" i="43"/>
  <c r="H59" i="43" s="1"/>
  <c r="H50" i="42"/>
  <c r="H55" i="43"/>
  <c r="H50" i="43"/>
  <c r="H49" i="43"/>
  <c r="H48" i="43"/>
  <c r="H47" i="43"/>
  <c r="H46" i="43"/>
  <c r="H45" i="43"/>
  <c r="H42" i="43"/>
  <c r="H41" i="43"/>
  <c r="H40" i="43"/>
  <c r="H39" i="43"/>
  <c r="H43" i="43" s="1"/>
  <c r="H38" i="43"/>
  <c r="H37" i="43"/>
  <c r="H36" i="43"/>
  <c r="H30" i="43"/>
  <c r="H33" i="43"/>
  <c r="H27" i="43"/>
  <c r="H23" i="43"/>
  <c r="H22" i="43"/>
  <c r="H21" i="43"/>
  <c r="H18" i="43"/>
  <c r="H15" i="43"/>
  <c r="H12" i="43"/>
  <c r="J4" i="43"/>
  <c r="J47" i="42"/>
  <c r="J44" i="42"/>
  <c r="H55" i="42"/>
  <c r="H63" i="42"/>
  <c r="H62" i="42"/>
  <c r="H61" i="42"/>
  <c r="H60" i="42"/>
  <c r="H54" i="42"/>
  <c r="H53" i="42"/>
  <c r="H47" i="42"/>
  <c r="H44" i="42"/>
  <c r="H35" i="42"/>
  <c r="H16" i="42"/>
  <c r="H24" i="42"/>
  <c r="H20" i="42"/>
  <c r="I4" i="42"/>
  <c r="H23" i="42" s="1"/>
  <c r="I50" i="42" l="1"/>
  <c r="H73" i="42" s="1"/>
  <c r="H77" i="42" s="1"/>
  <c r="H21" i="42"/>
  <c r="H25" i="42"/>
  <c r="H29" i="42"/>
  <c r="H13" i="42"/>
  <c r="H22" i="42"/>
  <c r="H26" i="42"/>
  <c r="H32" i="42"/>
  <c r="H19" i="42"/>
  <c r="H27" i="42" s="1"/>
  <c r="A25" i="6" l="1"/>
  <c r="G55" i="25" l="1"/>
  <c r="H55" i="25" s="1"/>
  <c r="I55" i="25"/>
  <c r="J55" i="25"/>
  <c r="N55" i="25"/>
  <c r="B55" i="25"/>
  <c r="H73" i="40"/>
  <c r="H76" i="40"/>
  <c r="I59" i="41"/>
  <c r="H52" i="41"/>
  <c r="H59" i="41" s="1"/>
  <c r="I50" i="40" s="1"/>
  <c r="J47" i="40"/>
  <c r="J44" i="40"/>
  <c r="J4" i="41"/>
  <c r="H49" i="41" s="1"/>
  <c r="H18" i="41" l="1"/>
  <c r="H27" i="41"/>
  <c r="H37" i="41"/>
  <c r="H30" i="41"/>
  <c r="H38" i="41"/>
  <c r="H47" i="41"/>
  <c r="H55" i="41"/>
  <c r="H12" i="41"/>
  <c r="H22" i="41"/>
  <c r="H33" i="41"/>
  <c r="H39" i="41"/>
  <c r="H48" i="41"/>
  <c r="H41" i="41"/>
  <c r="H46" i="41"/>
  <c r="H21" i="41"/>
  <c r="H42" i="41"/>
  <c r="H15" i="41"/>
  <c r="H36" i="41"/>
  <c r="H40" i="41"/>
  <c r="H45" i="41"/>
  <c r="H50" i="41" s="1"/>
  <c r="H23" i="41" l="1"/>
  <c r="H43" i="41"/>
  <c r="H54" i="40" l="1"/>
  <c r="H44" i="40"/>
  <c r="H33" i="40"/>
  <c r="H22" i="40"/>
  <c r="H14" i="40"/>
  <c r="I4" i="40"/>
  <c r="H62" i="40" l="1"/>
  <c r="H23" i="40"/>
  <c r="H47" i="40"/>
  <c r="H17" i="40"/>
  <c r="H26" i="40"/>
  <c r="H20" i="40"/>
  <c r="H27" i="40" s="1"/>
  <c r="H24" i="40"/>
  <c r="H29" i="40"/>
  <c r="H50" i="40"/>
  <c r="I73" i="40" s="1"/>
  <c r="H60" i="40"/>
  <c r="H63" i="40" s="1"/>
  <c r="H21" i="40"/>
  <c r="H25" i="40"/>
  <c r="H32" i="40"/>
  <c r="H34" i="40" s="1"/>
  <c r="H53" i="40"/>
  <c r="H55" i="40" s="1"/>
  <c r="H61" i="40"/>
  <c r="H36" i="40" l="1"/>
  <c r="I36" i="40" s="1"/>
  <c r="H52" i="39"/>
  <c r="H54" i="38" l="1"/>
  <c r="J54" i="38" s="1"/>
  <c r="I5" i="39"/>
  <c r="H28" i="39" s="1"/>
  <c r="H14" i="38"/>
  <c r="I5" i="38"/>
  <c r="H68" i="38" s="1"/>
  <c r="H22" i="39" l="1"/>
  <c r="H31" i="39"/>
  <c r="H46" i="39"/>
  <c r="H50" i="39" s="1"/>
  <c r="H55" i="39" s="1"/>
  <c r="I54" i="38" s="1"/>
  <c r="H83" i="38" s="1"/>
  <c r="H13" i="39"/>
  <c r="H23" i="39"/>
  <c r="H34" i="39"/>
  <c r="H47" i="39"/>
  <c r="H16" i="39"/>
  <c r="H37" i="39"/>
  <c r="H43" i="39" s="1"/>
  <c r="H49" i="39"/>
  <c r="H19" i="39"/>
  <c r="H22" i="38"/>
  <c r="H26" i="38"/>
  <c r="H36" i="38"/>
  <c r="H38" i="38" s="1"/>
  <c r="H61" i="38"/>
  <c r="H69" i="38"/>
  <c r="H17" i="38"/>
  <c r="H23" i="38"/>
  <c r="H27" i="38"/>
  <c r="H37" i="38"/>
  <c r="H48" i="38"/>
  <c r="J48" i="38" s="1"/>
  <c r="H20" i="38"/>
  <c r="H24" i="38"/>
  <c r="H67" i="38"/>
  <c r="H70" i="38" s="1"/>
  <c r="H21" i="38"/>
  <c r="H25" i="38"/>
  <c r="H30" i="38"/>
  <c r="H51" i="38"/>
  <c r="J51" i="38" s="1"/>
  <c r="H60" i="38"/>
  <c r="K54" i="38" l="1"/>
  <c r="H24" i="39"/>
  <c r="H28" i="38"/>
  <c r="H62" i="38"/>
  <c r="H40" i="38"/>
  <c r="I83" i="38"/>
  <c r="H101" i="34"/>
  <c r="I53" i="34"/>
  <c r="H47" i="35"/>
  <c r="H51" i="35"/>
  <c r="J50" i="34"/>
  <c r="J47" i="34"/>
  <c r="H39" i="35"/>
  <c r="H45" i="35"/>
  <c r="H44" i="35"/>
  <c r="H43" i="35"/>
  <c r="H42" i="35"/>
  <c r="H41" i="35"/>
  <c r="H33" i="35"/>
  <c r="H30" i="35"/>
  <c r="H27" i="35"/>
  <c r="H22" i="35"/>
  <c r="H19" i="35"/>
  <c r="H16" i="35"/>
  <c r="H13" i="35"/>
  <c r="I40" i="38" l="1"/>
  <c r="H86" i="38"/>
  <c r="H66" i="34"/>
  <c r="H83" i="34"/>
  <c r="H61" i="34"/>
  <c r="H39" i="34"/>
  <c r="H37" i="34"/>
  <c r="H27" i="34"/>
  <c r="H82" i="34"/>
  <c r="H81" i="34"/>
  <c r="H80" i="34"/>
  <c r="H79" i="34"/>
  <c r="H78" i="34"/>
  <c r="H60" i="34"/>
  <c r="H59" i="34"/>
  <c r="H56" i="34"/>
  <c r="H53" i="34"/>
  <c r="H50" i="34"/>
  <c r="H47" i="34"/>
  <c r="H35" i="34"/>
  <c r="H36" i="34"/>
  <c r="H32" i="34"/>
  <c r="H29" i="34"/>
  <c r="H20" i="34"/>
  <c r="H21" i="34"/>
  <c r="H22" i="34"/>
  <c r="H23" i="34"/>
  <c r="H24" i="34"/>
  <c r="H25" i="34"/>
  <c r="H26" i="34"/>
  <c r="H19" i="34"/>
  <c r="H16" i="34"/>
  <c r="H13" i="34"/>
  <c r="M5" i="34"/>
  <c r="B18" i="6" l="1"/>
  <c r="B35" i="6" s="1"/>
  <c r="B52" i="6" s="1"/>
  <c r="H44" i="33" l="1"/>
  <c r="H41" i="33"/>
  <c r="H42" i="33"/>
  <c r="H43" i="33"/>
  <c r="H40" i="33"/>
  <c r="H32" i="33"/>
  <c r="H29" i="33"/>
  <c r="H26" i="33"/>
  <c r="H21" i="33"/>
  <c r="H18" i="33"/>
  <c r="H15" i="33"/>
  <c r="H12" i="33"/>
  <c r="M5" i="33"/>
  <c r="L6" i="32" l="1"/>
  <c r="E14" i="25"/>
  <c r="G14" i="25"/>
  <c r="H14" i="25" s="1"/>
  <c r="I14" i="25"/>
  <c r="J14" i="25"/>
  <c r="E15" i="25"/>
  <c r="G15" i="25"/>
  <c r="H15" i="25" s="1"/>
  <c r="I15" i="25"/>
  <c r="J15" i="25"/>
  <c r="B14" i="25"/>
  <c r="H71" i="32" l="1"/>
  <c r="H52" i="32"/>
  <c r="H25" i="32"/>
  <c r="H23" i="32"/>
  <c r="H16" i="32"/>
  <c r="H49" i="32"/>
  <c r="J49" i="32" s="1"/>
  <c r="H59" i="32"/>
  <c r="H34" i="32"/>
  <c r="H36" i="32" s="1"/>
  <c r="H19" i="32"/>
  <c r="H58" i="32"/>
  <c r="H60" i="32" s="1"/>
  <c r="H28" i="32"/>
  <c r="H74" i="32"/>
  <c r="H46" i="32"/>
  <c r="J46" i="32" s="1"/>
  <c r="H46" i="33" s="1"/>
  <c r="H50" i="33" s="1"/>
  <c r="H35" i="32"/>
  <c r="H20" i="32"/>
  <c r="H24" i="32"/>
  <c r="H13" i="32"/>
  <c r="H73" i="32"/>
  <c r="H21" i="32"/>
  <c r="H72" i="32"/>
  <c r="H22" i="32"/>
  <c r="F14" i="25"/>
  <c r="F15" i="25"/>
  <c r="H26" i="32" l="1"/>
  <c r="H38" i="32"/>
  <c r="I38" i="32" s="1"/>
  <c r="I52" i="32"/>
  <c r="H75" i="32"/>
  <c r="H89" i="32" s="1"/>
  <c r="I39" i="30" l="1"/>
  <c r="G39" i="30"/>
  <c r="G45" i="30"/>
  <c r="G87" i="30" l="1"/>
  <c r="G41" i="31" l="1"/>
  <c r="G40" i="31"/>
  <c r="G38" i="31"/>
  <c r="G42" i="31" s="1"/>
  <c r="G30" i="31"/>
  <c r="G27" i="31"/>
  <c r="G19" i="31"/>
  <c r="G16" i="31"/>
  <c r="G13" i="31"/>
  <c r="J7" i="31"/>
  <c r="G39" i="31" s="1"/>
  <c r="G66" i="30"/>
  <c r="G65" i="30"/>
  <c r="G64" i="30"/>
  <c r="G62" i="30"/>
  <c r="G56" i="30"/>
  <c r="G52" i="30"/>
  <c r="G49" i="30"/>
  <c r="G42" i="30"/>
  <c r="G28" i="30"/>
  <c r="G24" i="30"/>
  <c r="G23" i="30"/>
  <c r="G22" i="30"/>
  <c r="G20" i="30"/>
  <c r="G17" i="30"/>
  <c r="G14" i="30"/>
  <c r="K11" i="30"/>
  <c r="G67" i="30" s="1"/>
  <c r="G45" i="31" l="1"/>
  <c r="G24" i="31"/>
  <c r="G21" i="30"/>
  <c r="G26" i="30" s="1"/>
  <c r="G31" i="30" s="1"/>
  <c r="G25" i="30"/>
  <c r="G48" i="30"/>
  <c r="G50" i="30" s="1"/>
  <c r="G53" i="30"/>
  <c r="G54" i="30" s="1"/>
  <c r="G63" i="30"/>
  <c r="G68" i="30" s="1"/>
  <c r="N3" i="25" l="1"/>
  <c r="N4" i="25"/>
  <c r="N6" i="25"/>
  <c r="N7" i="25"/>
  <c r="N8" i="25"/>
  <c r="N9" i="25"/>
  <c r="N10" i="25"/>
  <c r="N11" i="25"/>
  <c r="N12" i="25"/>
  <c r="N13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6" i="25"/>
  <c r="N37" i="25"/>
  <c r="N38" i="25"/>
  <c r="N39" i="25"/>
  <c r="N40" i="25"/>
  <c r="N41" i="25"/>
  <c r="N42" i="25"/>
  <c r="N43" i="25"/>
  <c r="N45" i="25"/>
  <c r="N47" i="25"/>
  <c r="N48" i="25"/>
  <c r="N49" i="25"/>
  <c r="N50" i="25"/>
  <c r="N51" i="25"/>
  <c r="N52" i="25"/>
  <c r="N53" i="25"/>
  <c r="G12" i="29"/>
  <c r="I11" i="28"/>
  <c r="G55" i="28" s="1"/>
  <c r="G23" i="28" l="1"/>
  <c r="G15" i="29"/>
  <c r="G24" i="29"/>
  <c r="G32" i="29"/>
  <c r="G36" i="29"/>
  <c r="G43" i="29"/>
  <c r="G47" i="29"/>
  <c r="G46" i="28"/>
  <c r="G18" i="29"/>
  <c r="G27" i="29"/>
  <c r="G33" i="29"/>
  <c r="G44" i="29"/>
  <c r="G31" i="29"/>
  <c r="G35" i="29"/>
  <c r="G42" i="29"/>
  <c r="G46" i="29"/>
  <c r="G19" i="29"/>
  <c r="G30" i="29"/>
  <c r="G34" i="29"/>
  <c r="G39" i="29"/>
  <c r="G45" i="29"/>
  <c r="G51" i="28"/>
  <c r="G19" i="28"/>
  <c r="G56" i="28"/>
  <c r="G57" i="28" s="1"/>
  <c r="G20" i="28"/>
  <c r="G24" i="28"/>
  <c r="G37" i="28"/>
  <c r="I37" i="28" s="1"/>
  <c r="G47" i="28"/>
  <c r="G48" i="28" s="1"/>
  <c r="G52" i="28"/>
  <c r="G13" i="28"/>
  <c r="G21" i="28"/>
  <c r="G40" i="28"/>
  <c r="G16" i="28"/>
  <c r="G22" i="28"/>
  <c r="G27" i="28"/>
  <c r="G43" i="28"/>
  <c r="G50" i="28"/>
  <c r="G53" i="28" s="1"/>
  <c r="G48" i="29" l="1"/>
  <c r="G37" i="29"/>
  <c r="G20" i="29"/>
  <c r="G51" i="29" s="1"/>
  <c r="G66" i="28"/>
  <c r="G25" i="28"/>
  <c r="G30" i="28" s="1"/>
  <c r="F51" i="23" l="1"/>
  <c r="G51" i="23"/>
  <c r="F39" i="23"/>
  <c r="G39" i="23"/>
  <c r="E51" i="23" l="1"/>
  <c r="E39" i="23"/>
  <c r="E20" i="23"/>
  <c r="E53" i="23" s="1"/>
  <c r="A26" i="6" l="1"/>
  <c r="A53" i="7" l="1"/>
  <c r="A19" i="7"/>
  <c r="D12" i="7"/>
  <c r="AJ12" i="7" s="1"/>
  <c r="E4" i="25"/>
  <c r="G4" i="25"/>
  <c r="H4" i="25" s="1"/>
  <c r="I4" i="25"/>
  <c r="J4" i="25"/>
  <c r="B4" i="25"/>
  <c r="A11" i="7"/>
  <c r="F4" i="25" l="1"/>
  <c r="C11" i="7" s="1"/>
  <c r="AI11" i="7" s="1"/>
  <c r="G26" i="25"/>
  <c r="H26" i="25" s="1"/>
  <c r="J26" i="25"/>
  <c r="B26" i="25"/>
  <c r="C44" i="10" s="1"/>
  <c r="E25" i="25"/>
  <c r="G25" i="25"/>
  <c r="H25" i="25" s="1"/>
  <c r="I25" i="25"/>
  <c r="J25" i="25"/>
  <c r="B25" i="25"/>
  <c r="G6" i="25"/>
  <c r="H6" i="25" s="1"/>
  <c r="I6" i="25"/>
  <c r="J6" i="25"/>
  <c r="B6" i="25"/>
  <c r="G38" i="25"/>
  <c r="H38" i="25" s="1"/>
  <c r="I38" i="25"/>
  <c r="J38" i="25"/>
  <c r="B38" i="25"/>
  <c r="C9" i="10" s="1"/>
  <c r="G23" i="25"/>
  <c r="H23" i="25" s="1"/>
  <c r="I23" i="25"/>
  <c r="J23" i="25"/>
  <c r="B23" i="25"/>
  <c r="C13" i="10" s="1"/>
  <c r="N54" i="25"/>
  <c r="C12" i="10" l="1"/>
  <c r="F26" i="25"/>
  <c r="F25" i="25"/>
  <c r="C55" i="7" s="1"/>
  <c r="AI55" i="7" s="1"/>
  <c r="F38" i="25"/>
  <c r="F25" i="6" l="1"/>
  <c r="D56" i="7"/>
  <c r="AJ56" i="7" s="1"/>
  <c r="A16" i="3"/>
  <c r="D25" i="7"/>
  <c r="AJ25" i="7" s="1"/>
  <c r="AY25" i="6" l="1"/>
  <c r="AX25" i="6"/>
  <c r="B25" i="6"/>
  <c r="D25" i="6"/>
  <c r="H66" i="22"/>
  <c r="H59" i="22"/>
  <c r="H25" i="22"/>
  <c r="H29" i="22"/>
  <c r="H10" i="22"/>
  <c r="H68" i="22" s="1"/>
  <c r="H24" i="22" l="1"/>
  <c r="H46" i="22"/>
  <c r="H67" i="22"/>
  <c r="H28" i="22"/>
  <c r="H27" i="22"/>
  <c r="H52" i="22"/>
  <c r="H62" i="22"/>
  <c r="H56" i="23"/>
  <c r="H48" i="23"/>
  <c r="H44" i="23"/>
  <c r="H36" i="23"/>
  <c r="H32" i="23"/>
  <c r="H19" i="23"/>
  <c r="H37" i="23"/>
  <c r="H12" i="23"/>
  <c r="H47" i="23"/>
  <c r="H41" i="23"/>
  <c r="H35" i="23"/>
  <c r="H31" i="23"/>
  <c r="H18" i="23"/>
  <c r="H49" i="23"/>
  <c r="H24" i="23"/>
  <c r="H50" i="23"/>
  <c r="H46" i="23"/>
  <c r="H38" i="23"/>
  <c r="H34" i="23"/>
  <c r="H27" i="23"/>
  <c r="H15" i="23"/>
  <c r="H20" i="23" s="1"/>
  <c r="H60" i="23"/>
  <c r="H45" i="23"/>
  <c r="H33" i="23"/>
  <c r="H53" i="23"/>
  <c r="H17" i="22"/>
  <c r="H26" i="22"/>
  <c r="H20" i="22"/>
  <c r="H58" i="22"/>
  <c r="H60" i="22" s="1"/>
  <c r="H65" i="22"/>
  <c r="H69" i="22"/>
  <c r="H32" i="22"/>
  <c r="F44" i="6"/>
  <c r="F43" i="6"/>
  <c r="E3" i="25"/>
  <c r="E7" i="25"/>
  <c r="E8" i="25"/>
  <c r="E9" i="25"/>
  <c r="E10" i="25"/>
  <c r="E11" i="25"/>
  <c r="E12" i="25"/>
  <c r="E13" i="25"/>
  <c r="E16" i="25"/>
  <c r="E17" i="25"/>
  <c r="E18" i="25"/>
  <c r="E19" i="25"/>
  <c r="E20" i="25"/>
  <c r="E21" i="25"/>
  <c r="E22" i="25"/>
  <c r="E24" i="25"/>
  <c r="E32" i="25"/>
  <c r="E33" i="25"/>
  <c r="E34" i="25"/>
  <c r="E35" i="25"/>
  <c r="E37" i="25"/>
  <c r="E39" i="25"/>
  <c r="E40" i="25"/>
  <c r="E41" i="25"/>
  <c r="E42" i="25"/>
  <c r="E45" i="25"/>
  <c r="E47" i="25"/>
  <c r="E48" i="25"/>
  <c r="E49" i="25"/>
  <c r="E51" i="25"/>
  <c r="E52" i="25"/>
  <c r="E53" i="25"/>
  <c r="E54" i="25"/>
  <c r="F54" i="25" s="1"/>
  <c r="E2" i="25"/>
  <c r="A32" i="7"/>
  <c r="B11" i="25"/>
  <c r="G11" i="25"/>
  <c r="H11" i="25" s="1"/>
  <c r="I11" i="25"/>
  <c r="J11" i="25"/>
  <c r="G21" i="25"/>
  <c r="H21" i="25" s="1"/>
  <c r="I21" i="25"/>
  <c r="J21" i="25"/>
  <c r="B21" i="25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295" i="1"/>
  <c r="H317" i="1"/>
  <c r="H298" i="1"/>
  <c r="H300" i="1"/>
  <c r="H301" i="1"/>
  <c r="H302" i="1"/>
  <c r="H303" i="1"/>
  <c r="H308" i="1"/>
  <c r="H2" i="1"/>
  <c r="I295" i="1"/>
  <c r="I296" i="1"/>
  <c r="J296" i="1" s="1"/>
  <c r="I317" i="1"/>
  <c r="J317" i="1" s="1"/>
  <c r="I298" i="1"/>
  <c r="J298" i="1" s="1"/>
  <c r="I300" i="1"/>
  <c r="J300" i="1" s="1"/>
  <c r="I301" i="1"/>
  <c r="J301" i="1" s="1"/>
  <c r="I302" i="1"/>
  <c r="J302" i="1" s="1"/>
  <c r="I303" i="1"/>
  <c r="J303" i="1" s="1"/>
  <c r="I308" i="1"/>
  <c r="J308" i="1" s="1"/>
  <c r="A24" i="7"/>
  <c r="B12" i="25"/>
  <c r="I12" i="25"/>
  <c r="J12" i="25"/>
  <c r="F30" i="25"/>
  <c r="K3" i="25"/>
  <c r="K7" i="25"/>
  <c r="K8" i="25"/>
  <c r="K9" i="25"/>
  <c r="K10" i="25"/>
  <c r="K13" i="25"/>
  <c r="K15" i="25"/>
  <c r="K16" i="25"/>
  <c r="K17" i="25"/>
  <c r="K18" i="25"/>
  <c r="K19" i="25"/>
  <c r="K20" i="25"/>
  <c r="K22" i="25"/>
  <c r="K24" i="25"/>
  <c r="K27" i="25"/>
  <c r="K29" i="25"/>
  <c r="K30" i="25"/>
  <c r="K31" i="25"/>
  <c r="K32" i="25"/>
  <c r="K33" i="25"/>
  <c r="K34" i="25"/>
  <c r="K35" i="25"/>
  <c r="K36" i="25"/>
  <c r="K37" i="25"/>
  <c r="K39" i="25"/>
  <c r="K40" i="25"/>
  <c r="K41" i="25"/>
  <c r="K42" i="25"/>
  <c r="K43" i="25"/>
  <c r="K45" i="25"/>
  <c r="K47" i="25"/>
  <c r="K48" i="25"/>
  <c r="K49" i="25"/>
  <c r="K50" i="25"/>
  <c r="K51" i="25"/>
  <c r="K52" i="25"/>
  <c r="K53" i="25"/>
  <c r="K54" i="25"/>
  <c r="K2" i="25"/>
  <c r="B3" i="25"/>
  <c r="B7" i="25"/>
  <c r="C18" i="10" s="1"/>
  <c r="B8" i="25"/>
  <c r="B9" i="25"/>
  <c r="B10" i="25"/>
  <c r="B13" i="25"/>
  <c r="B15" i="25"/>
  <c r="B16" i="25"/>
  <c r="B17" i="25"/>
  <c r="B18" i="25"/>
  <c r="B19" i="25"/>
  <c r="B20" i="25"/>
  <c r="B22" i="25"/>
  <c r="C25" i="10" s="1"/>
  <c r="B24" i="25"/>
  <c r="B27" i="25"/>
  <c r="B28" i="25"/>
  <c r="B29" i="25"/>
  <c r="B30" i="25"/>
  <c r="B31" i="25"/>
  <c r="B32" i="25"/>
  <c r="B33" i="25"/>
  <c r="B34" i="25"/>
  <c r="B35" i="25"/>
  <c r="C21" i="10" s="1"/>
  <c r="B36" i="25"/>
  <c r="B37" i="25"/>
  <c r="B39" i="25"/>
  <c r="B40" i="25"/>
  <c r="B41" i="25"/>
  <c r="B42" i="25"/>
  <c r="B43" i="25"/>
  <c r="C17" i="10" s="1"/>
  <c r="B45" i="25"/>
  <c r="B47" i="25"/>
  <c r="B48" i="25"/>
  <c r="B49" i="25"/>
  <c r="C51" i="10" s="1"/>
  <c r="B50" i="25"/>
  <c r="C50" i="10" s="1"/>
  <c r="B51" i="25"/>
  <c r="B52" i="25"/>
  <c r="C22" i="10" s="1"/>
  <c r="B53" i="25"/>
  <c r="B54" i="25"/>
  <c r="B2" i="25"/>
  <c r="J54" i="25"/>
  <c r="I54" i="25"/>
  <c r="G54" i="25"/>
  <c r="H54" i="25" s="1"/>
  <c r="J53" i="25"/>
  <c r="I53" i="25"/>
  <c r="G53" i="25"/>
  <c r="H53" i="25" s="1"/>
  <c r="J52" i="25"/>
  <c r="I52" i="25"/>
  <c r="G52" i="25"/>
  <c r="H52" i="25" s="1"/>
  <c r="J51" i="25"/>
  <c r="I51" i="25"/>
  <c r="G51" i="25"/>
  <c r="H51" i="25" s="1"/>
  <c r="J50" i="25"/>
  <c r="I50" i="25"/>
  <c r="G50" i="25"/>
  <c r="H50" i="25" s="1"/>
  <c r="J49" i="25"/>
  <c r="I49" i="25"/>
  <c r="G49" i="25"/>
  <c r="H49" i="25" s="1"/>
  <c r="J48" i="25"/>
  <c r="I48" i="25"/>
  <c r="G48" i="25"/>
  <c r="H48" i="25" s="1"/>
  <c r="J47" i="25"/>
  <c r="I47" i="25"/>
  <c r="G47" i="25"/>
  <c r="H47" i="25" s="1"/>
  <c r="J45" i="25"/>
  <c r="I45" i="25"/>
  <c r="G45" i="25"/>
  <c r="H45" i="25" s="1"/>
  <c r="J43" i="25"/>
  <c r="I43" i="25"/>
  <c r="G43" i="25"/>
  <c r="H43" i="25" s="1"/>
  <c r="J42" i="25"/>
  <c r="I42" i="25"/>
  <c r="G42" i="25"/>
  <c r="H42" i="25" s="1"/>
  <c r="J41" i="25"/>
  <c r="I41" i="25"/>
  <c r="G41" i="25"/>
  <c r="H41" i="25" s="1"/>
  <c r="J40" i="25"/>
  <c r="I40" i="25"/>
  <c r="G40" i="25"/>
  <c r="H40" i="25" s="1"/>
  <c r="J39" i="25"/>
  <c r="I39" i="25"/>
  <c r="G39" i="25"/>
  <c r="H39" i="25" s="1"/>
  <c r="J37" i="25"/>
  <c r="I37" i="25"/>
  <c r="G37" i="25"/>
  <c r="H37" i="25" s="1"/>
  <c r="J36" i="25"/>
  <c r="I36" i="25"/>
  <c r="G36" i="25"/>
  <c r="H36" i="25" s="1"/>
  <c r="J35" i="25"/>
  <c r="I35" i="25"/>
  <c r="G35" i="25"/>
  <c r="H35" i="25" s="1"/>
  <c r="J34" i="25"/>
  <c r="I34" i="25"/>
  <c r="G34" i="25"/>
  <c r="H34" i="25" s="1"/>
  <c r="J33" i="25"/>
  <c r="I33" i="25"/>
  <c r="G33" i="25"/>
  <c r="H33" i="25" s="1"/>
  <c r="J32" i="25"/>
  <c r="I32" i="25"/>
  <c r="G32" i="25"/>
  <c r="H32" i="25" s="1"/>
  <c r="J31" i="25"/>
  <c r="I31" i="25"/>
  <c r="G31" i="25"/>
  <c r="H31" i="25" s="1"/>
  <c r="J30" i="25"/>
  <c r="I30" i="25"/>
  <c r="G30" i="25"/>
  <c r="H30" i="25" s="1"/>
  <c r="J29" i="25"/>
  <c r="I29" i="25"/>
  <c r="G29" i="25"/>
  <c r="H29" i="25" s="1"/>
  <c r="J28" i="25"/>
  <c r="I28" i="25"/>
  <c r="G28" i="25"/>
  <c r="H28" i="25" s="1"/>
  <c r="J27" i="25"/>
  <c r="I27" i="25"/>
  <c r="G27" i="25"/>
  <c r="H27" i="25" s="1"/>
  <c r="J24" i="25"/>
  <c r="I24" i="25"/>
  <c r="G24" i="25"/>
  <c r="H24" i="25" s="1"/>
  <c r="J22" i="25"/>
  <c r="I22" i="25"/>
  <c r="G22" i="25"/>
  <c r="H22" i="25" s="1"/>
  <c r="J20" i="25"/>
  <c r="I20" i="25"/>
  <c r="G20" i="25"/>
  <c r="H20" i="25" s="1"/>
  <c r="J19" i="25"/>
  <c r="I19" i="25"/>
  <c r="G19" i="25"/>
  <c r="H19" i="25" s="1"/>
  <c r="J18" i="25"/>
  <c r="I18" i="25"/>
  <c r="G18" i="25"/>
  <c r="H18" i="25" s="1"/>
  <c r="J17" i="25"/>
  <c r="I17" i="25"/>
  <c r="G17" i="25"/>
  <c r="H17" i="25" s="1"/>
  <c r="J16" i="25"/>
  <c r="I16" i="25"/>
  <c r="G16" i="25"/>
  <c r="H16" i="25" s="1"/>
  <c r="J13" i="25"/>
  <c r="I13" i="25"/>
  <c r="G13" i="25"/>
  <c r="H13" i="25" s="1"/>
  <c r="J10" i="25"/>
  <c r="I10" i="25"/>
  <c r="G10" i="25"/>
  <c r="H10" i="25" s="1"/>
  <c r="J9" i="25"/>
  <c r="I9" i="25"/>
  <c r="G9" i="25"/>
  <c r="H9" i="25" s="1"/>
  <c r="J8" i="25"/>
  <c r="I8" i="25"/>
  <c r="G8" i="25"/>
  <c r="H8" i="25" s="1"/>
  <c r="J7" i="25"/>
  <c r="I7" i="25"/>
  <c r="G7" i="25"/>
  <c r="H7" i="25" s="1"/>
  <c r="J3" i="25"/>
  <c r="I3" i="25"/>
  <c r="G3" i="25"/>
  <c r="H3" i="25" s="1"/>
  <c r="J2" i="25"/>
  <c r="I2" i="25"/>
  <c r="C27" i="3" s="1"/>
  <c r="G2" i="25"/>
  <c r="AX44" i="6" l="1"/>
  <c r="AY44" i="6"/>
  <c r="AX43" i="6"/>
  <c r="AY43" i="6"/>
  <c r="C35" i="3"/>
  <c r="H14" i="4"/>
  <c r="C24" i="10"/>
  <c r="B44" i="6"/>
  <c r="D44" i="6"/>
  <c r="B43" i="6"/>
  <c r="D43" i="6"/>
  <c r="C30" i="10"/>
  <c r="C31" i="10"/>
  <c r="C14" i="10"/>
  <c r="C4" i="10"/>
  <c r="H26" i="4"/>
  <c r="L26" i="4" s="1"/>
  <c r="C10" i="3"/>
  <c r="N317" i="1"/>
  <c r="N301" i="1"/>
  <c r="N308" i="1"/>
  <c r="N298" i="1"/>
  <c r="N303" i="1"/>
  <c r="N300" i="1"/>
  <c r="N302" i="1"/>
  <c r="C10" i="10"/>
  <c r="G65" i="25"/>
  <c r="J295" i="1"/>
  <c r="N295" i="1" s="1"/>
  <c r="H39" i="23"/>
  <c r="H51" i="23"/>
  <c r="H70" i="22"/>
  <c r="H73" i="22" s="1"/>
  <c r="H27" i="4"/>
  <c r="L27" i="4" s="1"/>
  <c r="C5" i="10"/>
  <c r="F11" i="25"/>
  <c r="C24" i="7" s="1"/>
  <c r="AI24" i="7" s="1"/>
  <c r="F21" i="25"/>
  <c r="L54" i="25"/>
  <c r="F47" i="25"/>
  <c r="F41" i="25"/>
  <c r="F28" i="25"/>
  <c r="F20" i="25"/>
  <c r="F16" i="25"/>
  <c r="L16" i="25" s="1"/>
  <c r="F9" i="25"/>
  <c r="C22" i="7" s="1"/>
  <c r="AI22" i="7" s="1"/>
  <c r="F3" i="25"/>
  <c r="F12" i="25"/>
  <c r="C32" i="7" s="1"/>
  <c r="AI32" i="7" s="1"/>
  <c r="F51" i="25"/>
  <c r="F10" i="25"/>
  <c r="C23" i="7" s="1"/>
  <c r="AI23" i="7" s="1"/>
  <c r="F32" i="25"/>
  <c r="F11" i="6" s="1"/>
  <c r="F49" i="25"/>
  <c r="F43" i="25"/>
  <c r="F39" i="25"/>
  <c r="F34" i="25"/>
  <c r="F24" i="25"/>
  <c r="F18" i="25"/>
  <c r="F13" i="25"/>
  <c r="F8" i="25"/>
  <c r="C21" i="7" s="1"/>
  <c r="AI21" i="7" s="1"/>
  <c r="F52" i="25"/>
  <c r="F48" i="25"/>
  <c r="F42" i="25"/>
  <c r="F37" i="25"/>
  <c r="F33" i="25"/>
  <c r="F12" i="6" s="1"/>
  <c r="F29" i="25"/>
  <c r="F22" i="25"/>
  <c r="F17" i="25"/>
  <c r="F7" i="25"/>
  <c r="F53" i="25"/>
  <c r="L53" i="25" s="1"/>
  <c r="F45" i="25"/>
  <c r="F40" i="25"/>
  <c r="F35" i="25"/>
  <c r="F31" i="25"/>
  <c r="F10" i="6" s="1"/>
  <c r="F27" i="25"/>
  <c r="F19" i="25"/>
  <c r="F2" i="25"/>
  <c r="K28" i="25"/>
  <c r="H2" i="25"/>
  <c r="H65" i="25" s="1"/>
  <c r="E17" i="5" l="1"/>
  <c r="E22" i="5"/>
  <c r="C36" i="3"/>
  <c r="F14" i="4"/>
  <c r="L14" i="4"/>
  <c r="AY10" i="6"/>
  <c r="AX10" i="6"/>
  <c r="AX11" i="6"/>
  <c r="AY11" i="6"/>
  <c r="AX12" i="6"/>
  <c r="AY12" i="6"/>
  <c r="B10" i="6"/>
  <c r="D10" i="6"/>
  <c r="B12" i="6"/>
  <c r="D12" i="6"/>
  <c r="B11" i="6"/>
  <c r="D11" i="6"/>
  <c r="D26" i="4"/>
  <c r="F26" i="4"/>
  <c r="D14" i="4"/>
  <c r="D27" i="4"/>
  <c r="F27" i="4"/>
  <c r="L52" i="25"/>
  <c r="H30" i="4"/>
  <c r="L30" i="4" s="1"/>
  <c r="C9" i="3"/>
  <c r="L7" i="25"/>
  <c r="C20" i="7"/>
  <c r="AI20" i="7" s="1"/>
  <c r="C9" i="7"/>
  <c r="AI9" i="7" s="1"/>
  <c r="L28" i="25"/>
  <c r="C16" i="3"/>
  <c r="H19" i="4"/>
  <c r="L19" i="4" s="1"/>
  <c r="H21" i="4"/>
  <c r="L30" i="25"/>
  <c r="H12" i="4"/>
  <c r="L31" i="25"/>
  <c r="L22" i="25"/>
  <c r="C52" i="7"/>
  <c r="AI52" i="7" s="1"/>
  <c r="L42" i="25"/>
  <c r="F40" i="6"/>
  <c r="L13" i="25"/>
  <c r="C33" i="7"/>
  <c r="AI33" i="7" s="1"/>
  <c r="L34" i="25"/>
  <c r="F13" i="6"/>
  <c r="L10" i="25"/>
  <c r="L9" i="25"/>
  <c r="L15" i="25"/>
  <c r="C34" i="7"/>
  <c r="AI34" i="7" s="1"/>
  <c r="L35" i="25"/>
  <c r="F22" i="6"/>
  <c r="L29" i="25"/>
  <c r="L48" i="25"/>
  <c r="F47" i="6"/>
  <c r="L18" i="25"/>
  <c r="C42" i="7"/>
  <c r="AI42" i="7" s="1"/>
  <c r="L39" i="25"/>
  <c r="F27" i="6"/>
  <c r="L51" i="25"/>
  <c r="F58" i="6"/>
  <c r="L41" i="25"/>
  <c r="F39" i="6"/>
  <c r="L19" i="25"/>
  <c r="C43" i="7"/>
  <c r="AI43" i="7" s="1"/>
  <c r="L40" i="25"/>
  <c r="F28" i="6"/>
  <c r="L33" i="25"/>
  <c r="L24" i="25"/>
  <c r="C54" i="7"/>
  <c r="AI54" i="7" s="1"/>
  <c r="L43" i="25"/>
  <c r="F42" i="6"/>
  <c r="L32" i="25"/>
  <c r="L20" i="25"/>
  <c r="C51" i="7"/>
  <c r="AI51" i="7" s="1"/>
  <c r="L47" i="25"/>
  <c r="F46" i="6"/>
  <c r="L27" i="25"/>
  <c r="C63" i="7"/>
  <c r="AI63" i="7" s="1"/>
  <c r="L45" i="25"/>
  <c r="F45" i="6"/>
  <c r="L17" i="25"/>
  <c r="F41" i="6"/>
  <c r="L37" i="25"/>
  <c r="F24" i="6"/>
  <c r="L8" i="25"/>
  <c r="L49" i="25"/>
  <c r="F56" i="6"/>
  <c r="L3" i="25"/>
  <c r="C10" i="7"/>
  <c r="AI10" i="7" s="1"/>
  <c r="C28" i="3"/>
  <c r="C40" i="3"/>
  <c r="J40" i="3" s="1"/>
  <c r="J49" i="3" s="1"/>
  <c r="C19" i="3"/>
  <c r="C20" i="3"/>
  <c r="C39" i="3"/>
  <c r="J39" i="3" s="1"/>
  <c r="C11" i="3"/>
  <c r="L2" i="25"/>
  <c r="E20" i="5" l="1"/>
  <c r="E28" i="5"/>
  <c r="N28" i="5" s="1"/>
  <c r="E27" i="5"/>
  <c r="E34" i="5"/>
  <c r="E35" i="5" s="1"/>
  <c r="E18" i="5"/>
  <c r="N18" i="5" s="1"/>
  <c r="N20" i="5"/>
  <c r="E12" i="5"/>
  <c r="E21" i="5"/>
  <c r="N21" i="5" s="1"/>
  <c r="AX28" i="6"/>
  <c r="AY28" i="6"/>
  <c r="AX27" i="6"/>
  <c r="AY27" i="6"/>
  <c r="F21" i="4"/>
  <c r="L21" i="4"/>
  <c r="AX22" i="6"/>
  <c r="AY22" i="6"/>
  <c r="AX41" i="6"/>
  <c r="AY41" i="6"/>
  <c r="AY45" i="6"/>
  <c r="AX45" i="6"/>
  <c r="AX40" i="6"/>
  <c r="AY40" i="6"/>
  <c r="AX56" i="6"/>
  <c r="AY56" i="6"/>
  <c r="AX42" i="6"/>
  <c r="AY42" i="6"/>
  <c r="AX39" i="6"/>
  <c r="AY39" i="6"/>
  <c r="AX47" i="6"/>
  <c r="AY47" i="6"/>
  <c r="AX13" i="6"/>
  <c r="AY13" i="6"/>
  <c r="AX24" i="6"/>
  <c r="AY24" i="6"/>
  <c r="AX46" i="6"/>
  <c r="AY46" i="6"/>
  <c r="D58" i="6"/>
  <c r="AX58" i="6"/>
  <c r="AY58" i="6"/>
  <c r="BL12" i="4"/>
  <c r="L12" i="4"/>
  <c r="F12" i="4"/>
  <c r="F16" i="4" s="1"/>
  <c r="U14" i="4"/>
  <c r="F19" i="4"/>
  <c r="B24" i="6"/>
  <c r="D24" i="6"/>
  <c r="B46" i="6"/>
  <c r="D46" i="6"/>
  <c r="B22" i="6"/>
  <c r="D22" i="6"/>
  <c r="B27" i="6"/>
  <c r="D27" i="6"/>
  <c r="B41" i="6"/>
  <c r="D41" i="6"/>
  <c r="B28" i="6"/>
  <c r="D28" i="6"/>
  <c r="B40" i="6"/>
  <c r="D40" i="6"/>
  <c r="B45" i="6"/>
  <c r="D45" i="6"/>
  <c r="B56" i="6"/>
  <c r="D56" i="6"/>
  <c r="B42" i="6"/>
  <c r="D42" i="6"/>
  <c r="B39" i="6"/>
  <c r="D39" i="6"/>
  <c r="B47" i="6"/>
  <c r="D47" i="6"/>
  <c r="D12" i="4"/>
  <c r="D16" i="4" s="1"/>
  <c r="D21" i="4"/>
  <c r="D19" i="4"/>
  <c r="B58" i="6"/>
  <c r="B13" i="6"/>
  <c r="B14" i="6" s="1"/>
  <c r="D14" i="6"/>
  <c r="H16" i="4"/>
  <c r="C12" i="7"/>
  <c r="AI12" i="7" s="1"/>
  <c r="E29" i="5" l="1"/>
  <c r="D12" i="5"/>
  <c r="N12" i="5"/>
  <c r="BJ16" i="4"/>
  <c r="L16" i="4"/>
  <c r="D48" i="6"/>
  <c r="D49" i="6" s="1"/>
  <c r="D15" i="6"/>
  <c r="H55" i="22"/>
  <c r="H23" i="22"/>
  <c r="H30" i="22" s="1"/>
  <c r="H38" i="22" s="1"/>
  <c r="I74" i="22" s="1"/>
  <c r="H14" i="22"/>
  <c r="H49" i="22"/>
  <c r="D13" i="3" l="1"/>
  <c r="A10" i="3"/>
  <c r="G59" i="6" l="1"/>
  <c r="G60" i="6" s="1"/>
  <c r="G48" i="6"/>
  <c r="G49" i="6" s="1"/>
  <c r="G29" i="6"/>
  <c r="G30" i="6" s="1"/>
  <c r="G15" i="6"/>
  <c r="D64" i="7"/>
  <c r="D58" i="7"/>
  <c r="AJ58" i="7" s="1"/>
  <c r="D45" i="7"/>
  <c r="AJ45" i="7" s="1"/>
  <c r="D36" i="7"/>
  <c r="AJ36" i="7" s="1"/>
  <c r="D26" i="7"/>
  <c r="AJ26" i="7" s="1"/>
  <c r="D13" i="7"/>
  <c r="AJ13" i="7" s="1"/>
  <c r="I22" i="4"/>
  <c r="M22" i="4" s="1"/>
  <c r="D42" i="3"/>
  <c r="D30" i="3"/>
  <c r="D21" i="3"/>
  <c r="D65" i="7" l="1"/>
  <c r="AJ65" i="7" s="1"/>
  <c r="AJ64" i="7"/>
  <c r="I24" i="4"/>
  <c r="M24" i="4" s="1"/>
  <c r="D44" i="3"/>
  <c r="D23" i="3"/>
  <c r="I28" i="4" l="1"/>
  <c r="I3" i="1"/>
  <c r="J3" i="1" s="1"/>
  <c r="N3" i="1" s="1"/>
  <c r="I4" i="1"/>
  <c r="J4" i="1" s="1"/>
  <c r="N4" i="1" s="1"/>
  <c r="I5" i="1"/>
  <c r="I6" i="1"/>
  <c r="J6" i="1" s="1"/>
  <c r="N6" i="1" s="1"/>
  <c r="I7" i="1"/>
  <c r="J7" i="1" s="1"/>
  <c r="N7" i="1" s="1"/>
  <c r="I8" i="1"/>
  <c r="J8" i="1" s="1"/>
  <c r="N8" i="1" s="1"/>
  <c r="I9" i="1"/>
  <c r="J9" i="1" s="1"/>
  <c r="N9" i="1" s="1"/>
  <c r="I10" i="1"/>
  <c r="J10" i="1" s="1"/>
  <c r="N10" i="1" s="1"/>
  <c r="I11" i="1"/>
  <c r="J11" i="1" s="1"/>
  <c r="N11" i="1" s="1"/>
  <c r="I12" i="1"/>
  <c r="J12" i="1" s="1"/>
  <c r="N12" i="1" s="1"/>
  <c r="I13" i="1"/>
  <c r="J13" i="1" s="1"/>
  <c r="N13" i="1" s="1"/>
  <c r="I14" i="1"/>
  <c r="J14" i="1" s="1"/>
  <c r="N14" i="1" s="1"/>
  <c r="I15" i="1"/>
  <c r="J15" i="1" s="1"/>
  <c r="N15" i="1" s="1"/>
  <c r="I16" i="1"/>
  <c r="J16" i="1" s="1"/>
  <c r="N16" i="1" s="1"/>
  <c r="I17" i="1"/>
  <c r="J17" i="1" s="1"/>
  <c r="N17" i="1" s="1"/>
  <c r="I18" i="1"/>
  <c r="J18" i="1" s="1"/>
  <c r="N18" i="1" s="1"/>
  <c r="I19" i="1"/>
  <c r="J19" i="1" s="1"/>
  <c r="N19" i="1" s="1"/>
  <c r="I20" i="1"/>
  <c r="J20" i="1" s="1"/>
  <c r="N20" i="1" s="1"/>
  <c r="I21" i="1"/>
  <c r="J21" i="1" s="1"/>
  <c r="N21" i="1" s="1"/>
  <c r="I22" i="1"/>
  <c r="J22" i="1" s="1"/>
  <c r="N22" i="1" s="1"/>
  <c r="I23" i="1"/>
  <c r="J23" i="1" s="1"/>
  <c r="N23" i="1" s="1"/>
  <c r="I24" i="1"/>
  <c r="J24" i="1" s="1"/>
  <c r="N24" i="1" s="1"/>
  <c r="I25" i="1"/>
  <c r="J25" i="1" s="1"/>
  <c r="N25" i="1" s="1"/>
  <c r="I26" i="1"/>
  <c r="J26" i="1" s="1"/>
  <c r="N26" i="1" s="1"/>
  <c r="I27" i="1"/>
  <c r="J27" i="1" s="1"/>
  <c r="N27" i="1" s="1"/>
  <c r="I28" i="1"/>
  <c r="J28" i="1" s="1"/>
  <c r="N28" i="1" s="1"/>
  <c r="I29" i="1"/>
  <c r="J29" i="1" s="1"/>
  <c r="N29" i="1" s="1"/>
  <c r="I30" i="1"/>
  <c r="J30" i="1" s="1"/>
  <c r="N30" i="1" s="1"/>
  <c r="I31" i="1"/>
  <c r="J31" i="1" s="1"/>
  <c r="N31" i="1" s="1"/>
  <c r="I32" i="1"/>
  <c r="J32" i="1" s="1"/>
  <c r="N32" i="1" s="1"/>
  <c r="I33" i="1"/>
  <c r="J33" i="1" s="1"/>
  <c r="N33" i="1" s="1"/>
  <c r="I34" i="1"/>
  <c r="J34" i="1" s="1"/>
  <c r="N34" i="1" s="1"/>
  <c r="I35" i="1"/>
  <c r="J35" i="1" s="1"/>
  <c r="N35" i="1" s="1"/>
  <c r="I36" i="1"/>
  <c r="J36" i="1" s="1"/>
  <c r="N36" i="1" s="1"/>
  <c r="I37" i="1"/>
  <c r="J37" i="1" s="1"/>
  <c r="N37" i="1" s="1"/>
  <c r="I38" i="1"/>
  <c r="J38" i="1" s="1"/>
  <c r="N38" i="1" s="1"/>
  <c r="I39" i="1"/>
  <c r="J39" i="1" s="1"/>
  <c r="N39" i="1" s="1"/>
  <c r="I40" i="1"/>
  <c r="J40" i="1" s="1"/>
  <c r="N40" i="1" s="1"/>
  <c r="I41" i="1"/>
  <c r="J41" i="1" s="1"/>
  <c r="N41" i="1" s="1"/>
  <c r="I42" i="1"/>
  <c r="J42" i="1" s="1"/>
  <c r="N42" i="1" s="1"/>
  <c r="I43" i="1"/>
  <c r="J43" i="1" s="1"/>
  <c r="N43" i="1" s="1"/>
  <c r="I44" i="1"/>
  <c r="J44" i="1" s="1"/>
  <c r="N44" i="1" s="1"/>
  <c r="I45" i="1"/>
  <c r="J45" i="1" s="1"/>
  <c r="N45" i="1" s="1"/>
  <c r="I46" i="1"/>
  <c r="J46" i="1" s="1"/>
  <c r="N46" i="1" s="1"/>
  <c r="I47" i="1"/>
  <c r="J47" i="1" s="1"/>
  <c r="N47" i="1" s="1"/>
  <c r="I48" i="1"/>
  <c r="J48" i="1" s="1"/>
  <c r="N48" i="1" s="1"/>
  <c r="I49" i="1"/>
  <c r="J49" i="1" s="1"/>
  <c r="N49" i="1" s="1"/>
  <c r="I50" i="1"/>
  <c r="J50" i="1" s="1"/>
  <c r="N50" i="1" s="1"/>
  <c r="I51" i="1"/>
  <c r="J51" i="1" s="1"/>
  <c r="N51" i="1" s="1"/>
  <c r="I52" i="1"/>
  <c r="J52" i="1" s="1"/>
  <c r="N52" i="1" s="1"/>
  <c r="I53" i="1"/>
  <c r="J53" i="1" s="1"/>
  <c r="N53" i="1" s="1"/>
  <c r="I54" i="1"/>
  <c r="J54" i="1" s="1"/>
  <c r="N54" i="1" s="1"/>
  <c r="I55" i="1"/>
  <c r="J55" i="1" s="1"/>
  <c r="N55" i="1" s="1"/>
  <c r="I56" i="1"/>
  <c r="J56" i="1" s="1"/>
  <c r="N56" i="1" s="1"/>
  <c r="I57" i="1"/>
  <c r="J57" i="1" s="1"/>
  <c r="N57" i="1" s="1"/>
  <c r="I58" i="1"/>
  <c r="J58" i="1" s="1"/>
  <c r="N58" i="1" s="1"/>
  <c r="I59" i="1"/>
  <c r="J59" i="1" s="1"/>
  <c r="N59" i="1" s="1"/>
  <c r="I60" i="1"/>
  <c r="J60" i="1" s="1"/>
  <c r="N60" i="1" s="1"/>
  <c r="I61" i="1"/>
  <c r="J61" i="1" s="1"/>
  <c r="N61" i="1" s="1"/>
  <c r="I62" i="1"/>
  <c r="J62" i="1" s="1"/>
  <c r="N62" i="1" s="1"/>
  <c r="I63" i="1"/>
  <c r="J63" i="1" s="1"/>
  <c r="N63" i="1" s="1"/>
  <c r="I64" i="1"/>
  <c r="J64" i="1" s="1"/>
  <c r="N64" i="1" s="1"/>
  <c r="I65" i="1"/>
  <c r="J65" i="1" s="1"/>
  <c r="N65" i="1" s="1"/>
  <c r="I66" i="1"/>
  <c r="J66" i="1" s="1"/>
  <c r="N66" i="1" s="1"/>
  <c r="I67" i="1"/>
  <c r="J67" i="1" s="1"/>
  <c r="N67" i="1" s="1"/>
  <c r="I68" i="1"/>
  <c r="J68" i="1" s="1"/>
  <c r="N68" i="1" s="1"/>
  <c r="I69" i="1"/>
  <c r="J69" i="1" s="1"/>
  <c r="N69" i="1" s="1"/>
  <c r="I70" i="1"/>
  <c r="J70" i="1" s="1"/>
  <c r="N70" i="1" s="1"/>
  <c r="I71" i="1"/>
  <c r="J71" i="1" s="1"/>
  <c r="N71" i="1" s="1"/>
  <c r="I72" i="1"/>
  <c r="J72" i="1" s="1"/>
  <c r="N72" i="1" s="1"/>
  <c r="I73" i="1"/>
  <c r="J73" i="1" s="1"/>
  <c r="N73" i="1" s="1"/>
  <c r="I74" i="1"/>
  <c r="J74" i="1" s="1"/>
  <c r="N74" i="1" s="1"/>
  <c r="I75" i="1"/>
  <c r="J75" i="1" s="1"/>
  <c r="N75" i="1" s="1"/>
  <c r="I76" i="1"/>
  <c r="J76" i="1" s="1"/>
  <c r="N76" i="1" s="1"/>
  <c r="I77" i="1"/>
  <c r="J77" i="1" s="1"/>
  <c r="N77" i="1" s="1"/>
  <c r="I78" i="1"/>
  <c r="J78" i="1" s="1"/>
  <c r="N78" i="1" s="1"/>
  <c r="I79" i="1"/>
  <c r="J79" i="1" s="1"/>
  <c r="N79" i="1" s="1"/>
  <c r="I80" i="1"/>
  <c r="J80" i="1" s="1"/>
  <c r="N80" i="1" s="1"/>
  <c r="I81" i="1"/>
  <c r="J81" i="1" s="1"/>
  <c r="N81" i="1" s="1"/>
  <c r="I82" i="1"/>
  <c r="J82" i="1" s="1"/>
  <c r="N82" i="1" s="1"/>
  <c r="I83" i="1"/>
  <c r="J83" i="1" s="1"/>
  <c r="N83" i="1" s="1"/>
  <c r="I84" i="1"/>
  <c r="J84" i="1" s="1"/>
  <c r="N84" i="1" s="1"/>
  <c r="I85" i="1"/>
  <c r="J85" i="1" s="1"/>
  <c r="N85" i="1" s="1"/>
  <c r="I86" i="1"/>
  <c r="J86" i="1" s="1"/>
  <c r="N86" i="1" s="1"/>
  <c r="I87" i="1"/>
  <c r="J87" i="1" s="1"/>
  <c r="N87" i="1" s="1"/>
  <c r="I88" i="1"/>
  <c r="J88" i="1" s="1"/>
  <c r="N88" i="1" s="1"/>
  <c r="I89" i="1"/>
  <c r="J89" i="1" s="1"/>
  <c r="N89" i="1" s="1"/>
  <c r="I90" i="1"/>
  <c r="J90" i="1" s="1"/>
  <c r="N90" i="1" s="1"/>
  <c r="I91" i="1"/>
  <c r="J91" i="1" s="1"/>
  <c r="N91" i="1" s="1"/>
  <c r="I92" i="1"/>
  <c r="J92" i="1" s="1"/>
  <c r="N92" i="1" s="1"/>
  <c r="I93" i="1"/>
  <c r="J93" i="1" s="1"/>
  <c r="N93" i="1" s="1"/>
  <c r="I94" i="1"/>
  <c r="J94" i="1" s="1"/>
  <c r="N94" i="1" s="1"/>
  <c r="I95" i="1"/>
  <c r="J95" i="1" s="1"/>
  <c r="N95" i="1" s="1"/>
  <c r="I96" i="1"/>
  <c r="J96" i="1" s="1"/>
  <c r="N96" i="1" s="1"/>
  <c r="I97" i="1"/>
  <c r="J97" i="1" s="1"/>
  <c r="N97" i="1" s="1"/>
  <c r="I98" i="1"/>
  <c r="J98" i="1" s="1"/>
  <c r="N98" i="1" s="1"/>
  <c r="I99" i="1"/>
  <c r="J99" i="1" s="1"/>
  <c r="N99" i="1" s="1"/>
  <c r="I100" i="1"/>
  <c r="J100" i="1" s="1"/>
  <c r="N100" i="1" s="1"/>
  <c r="I101" i="1"/>
  <c r="J101" i="1" s="1"/>
  <c r="N101" i="1" s="1"/>
  <c r="I102" i="1"/>
  <c r="J102" i="1" s="1"/>
  <c r="N102" i="1" s="1"/>
  <c r="I103" i="1"/>
  <c r="J103" i="1" s="1"/>
  <c r="N103" i="1" s="1"/>
  <c r="I104" i="1"/>
  <c r="J104" i="1" s="1"/>
  <c r="N104" i="1" s="1"/>
  <c r="I105" i="1"/>
  <c r="J105" i="1" s="1"/>
  <c r="N105" i="1" s="1"/>
  <c r="I106" i="1"/>
  <c r="J106" i="1" s="1"/>
  <c r="N106" i="1" s="1"/>
  <c r="I107" i="1"/>
  <c r="J107" i="1" s="1"/>
  <c r="N107" i="1" s="1"/>
  <c r="I108" i="1"/>
  <c r="J108" i="1" s="1"/>
  <c r="N108" i="1" s="1"/>
  <c r="I109" i="1"/>
  <c r="J109" i="1" s="1"/>
  <c r="N109" i="1" s="1"/>
  <c r="I110" i="1"/>
  <c r="J110" i="1" s="1"/>
  <c r="N110" i="1" s="1"/>
  <c r="I111" i="1"/>
  <c r="J111" i="1" s="1"/>
  <c r="N111" i="1" s="1"/>
  <c r="I112" i="1"/>
  <c r="J112" i="1" s="1"/>
  <c r="N112" i="1" s="1"/>
  <c r="I113" i="1"/>
  <c r="J113" i="1" s="1"/>
  <c r="N113" i="1" s="1"/>
  <c r="I114" i="1"/>
  <c r="J114" i="1" s="1"/>
  <c r="N114" i="1" s="1"/>
  <c r="I115" i="1"/>
  <c r="J115" i="1" s="1"/>
  <c r="N115" i="1" s="1"/>
  <c r="I116" i="1"/>
  <c r="J116" i="1" s="1"/>
  <c r="N116" i="1" s="1"/>
  <c r="I117" i="1"/>
  <c r="J117" i="1" s="1"/>
  <c r="N117" i="1" s="1"/>
  <c r="I118" i="1"/>
  <c r="J118" i="1" s="1"/>
  <c r="N118" i="1" s="1"/>
  <c r="I119" i="1"/>
  <c r="J119" i="1" s="1"/>
  <c r="N119" i="1" s="1"/>
  <c r="I120" i="1"/>
  <c r="J120" i="1" s="1"/>
  <c r="N120" i="1" s="1"/>
  <c r="I121" i="1"/>
  <c r="J121" i="1" s="1"/>
  <c r="N121" i="1" s="1"/>
  <c r="I122" i="1"/>
  <c r="J122" i="1" s="1"/>
  <c r="N122" i="1" s="1"/>
  <c r="I123" i="1"/>
  <c r="J123" i="1" s="1"/>
  <c r="N123" i="1" s="1"/>
  <c r="I124" i="1"/>
  <c r="J124" i="1" s="1"/>
  <c r="N124" i="1" s="1"/>
  <c r="I125" i="1"/>
  <c r="J125" i="1" s="1"/>
  <c r="N125" i="1" s="1"/>
  <c r="I126" i="1"/>
  <c r="J126" i="1" s="1"/>
  <c r="N126" i="1" s="1"/>
  <c r="I127" i="1"/>
  <c r="J127" i="1" s="1"/>
  <c r="N127" i="1" s="1"/>
  <c r="I128" i="1"/>
  <c r="J128" i="1" s="1"/>
  <c r="N128" i="1" s="1"/>
  <c r="I129" i="1"/>
  <c r="J129" i="1" s="1"/>
  <c r="N129" i="1" s="1"/>
  <c r="I130" i="1"/>
  <c r="J130" i="1" s="1"/>
  <c r="N130" i="1" s="1"/>
  <c r="I131" i="1"/>
  <c r="J131" i="1" s="1"/>
  <c r="N131" i="1" s="1"/>
  <c r="I132" i="1"/>
  <c r="J132" i="1" s="1"/>
  <c r="N132" i="1" s="1"/>
  <c r="I133" i="1"/>
  <c r="J133" i="1" s="1"/>
  <c r="N133" i="1" s="1"/>
  <c r="I134" i="1"/>
  <c r="J134" i="1" s="1"/>
  <c r="N134" i="1" s="1"/>
  <c r="I135" i="1"/>
  <c r="J135" i="1" s="1"/>
  <c r="N135" i="1" s="1"/>
  <c r="I136" i="1"/>
  <c r="J136" i="1" s="1"/>
  <c r="N136" i="1" s="1"/>
  <c r="I137" i="1"/>
  <c r="J137" i="1" s="1"/>
  <c r="N137" i="1" s="1"/>
  <c r="I138" i="1"/>
  <c r="J138" i="1" s="1"/>
  <c r="N138" i="1" s="1"/>
  <c r="I139" i="1"/>
  <c r="J139" i="1" s="1"/>
  <c r="N139" i="1" s="1"/>
  <c r="I140" i="1"/>
  <c r="J140" i="1" s="1"/>
  <c r="N140" i="1" s="1"/>
  <c r="I141" i="1"/>
  <c r="J141" i="1" s="1"/>
  <c r="N141" i="1" s="1"/>
  <c r="I142" i="1"/>
  <c r="J142" i="1" s="1"/>
  <c r="N142" i="1" s="1"/>
  <c r="I143" i="1"/>
  <c r="J143" i="1" s="1"/>
  <c r="N143" i="1" s="1"/>
  <c r="I144" i="1"/>
  <c r="J144" i="1" s="1"/>
  <c r="N144" i="1" s="1"/>
  <c r="I145" i="1"/>
  <c r="J145" i="1" s="1"/>
  <c r="N145" i="1" s="1"/>
  <c r="I146" i="1"/>
  <c r="J146" i="1" s="1"/>
  <c r="N146" i="1" s="1"/>
  <c r="I147" i="1"/>
  <c r="J147" i="1" s="1"/>
  <c r="N147" i="1" s="1"/>
  <c r="I148" i="1"/>
  <c r="J148" i="1" s="1"/>
  <c r="N148" i="1" s="1"/>
  <c r="I149" i="1"/>
  <c r="J149" i="1" s="1"/>
  <c r="N149" i="1" s="1"/>
  <c r="I150" i="1"/>
  <c r="J150" i="1" s="1"/>
  <c r="N150" i="1" s="1"/>
  <c r="I151" i="1"/>
  <c r="J151" i="1" s="1"/>
  <c r="N151" i="1" s="1"/>
  <c r="I152" i="1"/>
  <c r="J152" i="1" s="1"/>
  <c r="N152" i="1" s="1"/>
  <c r="I153" i="1"/>
  <c r="J153" i="1" s="1"/>
  <c r="N153" i="1" s="1"/>
  <c r="I154" i="1"/>
  <c r="J154" i="1" s="1"/>
  <c r="N154" i="1" s="1"/>
  <c r="I155" i="1"/>
  <c r="J155" i="1" s="1"/>
  <c r="N155" i="1" s="1"/>
  <c r="I156" i="1"/>
  <c r="J156" i="1" s="1"/>
  <c r="N156" i="1" s="1"/>
  <c r="I157" i="1"/>
  <c r="J157" i="1" s="1"/>
  <c r="N157" i="1" s="1"/>
  <c r="I158" i="1"/>
  <c r="J158" i="1" s="1"/>
  <c r="N158" i="1" s="1"/>
  <c r="I159" i="1"/>
  <c r="J159" i="1" s="1"/>
  <c r="N159" i="1" s="1"/>
  <c r="I160" i="1"/>
  <c r="J160" i="1" s="1"/>
  <c r="N160" i="1" s="1"/>
  <c r="I161" i="1"/>
  <c r="J161" i="1" s="1"/>
  <c r="N161" i="1" s="1"/>
  <c r="I162" i="1"/>
  <c r="J162" i="1" s="1"/>
  <c r="N162" i="1" s="1"/>
  <c r="I163" i="1"/>
  <c r="J163" i="1" s="1"/>
  <c r="N163" i="1" s="1"/>
  <c r="I164" i="1"/>
  <c r="J164" i="1" s="1"/>
  <c r="N164" i="1" s="1"/>
  <c r="I165" i="1"/>
  <c r="J165" i="1" s="1"/>
  <c r="N165" i="1" s="1"/>
  <c r="I31" i="4" l="1"/>
  <c r="M28" i="4"/>
  <c r="J5" i="1"/>
  <c r="N5" i="1" s="1"/>
  <c r="D46" i="3"/>
  <c r="H33" i="4" l="1"/>
  <c r="L33" i="4" s="1"/>
  <c r="M31" i="4"/>
  <c r="D6" i="25"/>
  <c r="D65" i="25" s="1"/>
  <c r="H296" i="1"/>
  <c r="N296" i="1" s="1"/>
  <c r="I2" i="1"/>
  <c r="E12" i="10" l="1"/>
  <c r="D14" i="10" s="1"/>
  <c r="E50" i="25" s="1"/>
  <c r="F50" i="25" s="1"/>
  <c r="F57" i="6" s="1"/>
  <c r="A43" i="7"/>
  <c r="A42" i="7"/>
  <c r="C40" i="7"/>
  <c r="C39" i="7"/>
  <c r="AY57" i="6" l="1"/>
  <c r="AX57" i="6"/>
  <c r="B57" i="6"/>
  <c r="B59" i="6" s="1"/>
  <c r="D57" i="6"/>
  <c r="D59" i="6" s="1"/>
  <c r="H25" i="4"/>
  <c r="L50" i="25"/>
  <c r="E55" i="25"/>
  <c r="F55" i="25" s="1"/>
  <c r="A21" i="7"/>
  <c r="A22" i="7"/>
  <c r="F25" i="4" l="1"/>
  <c r="D60" i="6" s="1"/>
  <c r="L25" i="4"/>
  <c r="D25" i="4"/>
  <c r="B60" i="6" s="1"/>
  <c r="B54" i="6"/>
  <c r="B53" i="6"/>
  <c r="B37" i="6"/>
  <c r="B36" i="6"/>
  <c r="B20" i="6"/>
  <c r="B19" i="6"/>
  <c r="B7" i="6"/>
  <c r="B6" i="6"/>
  <c r="D7" i="4" l="1"/>
  <c r="D6" i="4"/>
  <c r="A12" i="6" l="1"/>
  <c r="A11" i="6"/>
  <c r="A28" i="6"/>
  <c r="A27" i="6"/>
  <c r="A24" i="6"/>
  <c r="A23" i="6"/>
  <c r="A22" i="6"/>
  <c r="F20" i="6"/>
  <c r="F19" i="6"/>
  <c r="A20" i="4"/>
  <c r="A21" i="4"/>
  <c r="A33" i="7" l="1"/>
  <c r="A51" i="7" l="1"/>
  <c r="A20" i="7"/>
  <c r="A57" i="6" l="1"/>
  <c r="C61" i="7"/>
  <c r="AI61" i="7" s="1"/>
  <c r="C60" i="7"/>
  <c r="AI60" i="7" s="1"/>
  <c r="A11" i="3" l="1"/>
  <c r="A23" i="7" l="1"/>
  <c r="O31" i="20" l="1"/>
  <c r="O29" i="20"/>
  <c r="H19" i="20" l="1"/>
  <c r="L19" i="20"/>
  <c r="I19" i="20"/>
  <c r="E19" i="20"/>
  <c r="M32" i="20"/>
  <c r="L32" i="20"/>
  <c r="K32" i="20"/>
  <c r="J32" i="20"/>
  <c r="I32" i="20"/>
  <c r="E32" i="20"/>
  <c r="H32" i="20"/>
  <c r="G32" i="20"/>
  <c r="F28" i="20"/>
  <c r="F32" i="20" s="1"/>
  <c r="J19" i="20"/>
  <c r="G19" i="20"/>
  <c r="F15" i="20"/>
  <c r="F19" i="20" s="1"/>
  <c r="K19" i="20"/>
  <c r="M19" i="20" l="1"/>
  <c r="A58" i="6" l="1"/>
  <c r="B14" i="19" l="1"/>
  <c r="J2" i="1" l="1"/>
  <c r="C12" i="19" l="1"/>
  <c r="C15" i="19" s="1"/>
  <c r="C14" i="19"/>
  <c r="C16" i="19" l="1"/>
  <c r="B12" i="19"/>
  <c r="D12" i="19" s="1"/>
  <c r="C35" i="7" l="1"/>
  <c r="AI35" i="7" s="1"/>
  <c r="A47" i="6"/>
  <c r="M2" i="1"/>
  <c r="C64" i="7" l="1"/>
  <c r="N2" i="1"/>
  <c r="A41" i="6"/>
  <c r="A63" i="7"/>
  <c r="C65" i="7" l="1"/>
  <c r="AI65" i="7" s="1"/>
  <c r="AI64" i="7"/>
  <c r="F14" i="6"/>
  <c r="AX14" i="6" l="1"/>
  <c r="AY14" i="6"/>
  <c r="B48" i="6"/>
  <c r="F48" i="6"/>
  <c r="A27" i="3"/>
  <c r="AX48" i="6" l="1"/>
  <c r="AY48" i="6"/>
  <c r="G33" i="16"/>
  <c r="F23" i="18" l="1"/>
  <c r="D44" i="18"/>
  <c r="F45" i="18"/>
  <c r="F46" i="18" s="1"/>
  <c r="D43" i="18"/>
  <c r="F40" i="18"/>
  <c r="D20" i="18" s="1"/>
  <c r="D40" i="18"/>
  <c r="F20" i="18"/>
  <c r="F13" i="18"/>
  <c r="D13" i="18"/>
  <c r="F15" i="18"/>
  <c r="D15" i="18"/>
  <c r="F9" i="18"/>
  <c r="D9" i="18"/>
  <c r="D21" i="16"/>
  <c r="C10" i="16"/>
  <c r="Q12" i="14"/>
  <c r="Q11" i="14"/>
  <c r="Q10" i="14"/>
  <c r="F19" i="18" l="1"/>
  <c r="D45" i="18"/>
  <c r="D46" i="18" s="1"/>
  <c r="D48" i="18" s="1"/>
  <c r="D24" i="18" s="1"/>
  <c r="D25" i="18" s="1"/>
  <c r="D27" i="18" s="1"/>
  <c r="F48" i="18"/>
  <c r="F24" i="18" s="1"/>
  <c r="F25" i="18" s="1"/>
  <c r="F27" i="18" s="1"/>
  <c r="B15" i="14" s="1"/>
  <c r="I27" i="18" l="1"/>
  <c r="G32" i="16" s="1"/>
  <c r="G31" i="16" l="1"/>
  <c r="G6" i="14"/>
  <c r="E20" i="17" s="1"/>
  <c r="G8" i="14"/>
  <c r="G9" i="14"/>
  <c r="I9" i="14" s="1"/>
  <c r="G29" i="16"/>
  <c r="C44" i="7" l="1"/>
  <c r="AI44" i="7" s="1"/>
  <c r="I8" i="14"/>
  <c r="G19" i="17" s="1"/>
  <c r="E19" i="17"/>
  <c r="G7" i="14"/>
  <c r="E14" i="17" s="1"/>
  <c r="A42" i="6"/>
  <c r="A43" i="6"/>
  <c r="A26" i="3" l="1"/>
  <c r="A12" i="4" l="1"/>
  <c r="A10" i="7"/>
  <c r="E10" i="16" l="1"/>
  <c r="C21" i="16" s="1"/>
  <c r="G21" i="16" s="1"/>
  <c r="H7" i="14" l="1"/>
  <c r="I7" i="14" s="1"/>
  <c r="G14" i="17" s="1"/>
  <c r="A52" i="7" l="1"/>
  <c r="G42" i="17" l="1"/>
  <c r="C42" i="17"/>
  <c r="G48" i="17" s="1"/>
  <c r="E39" i="17"/>
  <c r="E38" i="17"/>
  <c r="E37" i="17"/>
  <c r="E36" i="17"/>
  <c r="E35" i="17"/>
  <c r="E34" i="17"/>
  <c r="E33" i="17"/>
  <c r="E32" i="17"/>
  <c r="E31" i="17"/>
  <c r="E30" i="17"/>
  <c r="E29" i="17"/>
  <c r="E28" i="17"/>
  <c r="E42" i="17" s="1"/>
  <c r="G58" i="17" s="1"/>
  <c r="E25" i="17"/>
  <c r="L5" i="17"/>
  <c r="K5" i="17"/>
  <c r="A13" i="6" l="1"/>
  <c r="A40" i="3" l="1"/>
  <c r="A46" i="6" l="1"/>
  <c r="A44" i="6" l="1"/>
  <c r="A45" i="6" l="1"/>
  <c r="G26" i="13" l="1"/>
  <c r="G27" i="13" s="1"/>
  <c r="G21" i="13"/>
  <c r="E15" i="13"/>
  <c r="C15" i="13"/>
  <c r="G13" i="13"/>
  <c r="G15" i="13" s="1"/>
  <c r="B15" i="12"/>
  <c r="E8" i="11"/>
  <c r="H8" i="11" s="1"/>
  <c r="E7" i="11"/>
  <c r="H7" i="11" s="1"/>
  <c r="E6" i="11"/>
  <c r="E14" i="15"/>
  <c r="H13" i="12"/>
  <c r="H14" i="12" s="1"/>
  <c r="B13" i="12" s="1"/>
  <c r="A56" i="6"/>
  <c r="F54" i="6"/>
  <c r="F53" i="6"/>
  <c r="A40" i="6"/>
  <c r="A39" i="6"/>
  <c r="F37" i="6"/>
  <c r="F36" i="6"/>
  <c r="A10" i="6"/>
  <c r="F7" i="6"/>
  <c r="F6" i="6"/>
  <c r="A1" i="6"/>
  <c r="C49" i="7"/>
  <c r="C48" i="7"/>
  <c r="A34" i="7"/>
  <c r="C30" i="7"/>
  <c r="AI30" i="7" s="1"/>
  <c r="C29" i="7"/>
  <c r="AI29" i="7" s="1"/>
  <c r="C17" i="7"/>
  <c r="AI17" i="7" s="1"/>
  <c r="C16" i="7"/>
  <c r="AI16" i="7" s="1"/>
  <c r="A9" i="7"/>
  <c r="C6" i="7"/>
  <c r="C5" i="7"/>
  <c r="A1" i="7"/>
  <c r="A43" i="5"/>
  <c r="F40" i="5"/>
  <c r="D38" i="5"/>
  <c r="I34" i="5"/>
  <c r="D18" i="5"/>
  <c r="D14" i="5"/>
  <c r="E6" i="5"/>
  <c r="D6" i="5"/>
  <c r="E5" i="5"/>
  <c r="D5" i="5"/>
  <c r="A1" i="5"/>
  <c r="A27" i="4"/>
  <c r="A25" i="4"/>
  <c r="A22" i="4"/>
  <c r="A19" i="4"/>
  <c r="H7" i="4"/>
  <c r="H6" i="4"/>
  <c r="A1" i="4"/>
  <c r="A41" i="3"/>
  <c r="A39" i="3"/>
  <c r="A29" i="3"/>
  <c r="A28" i="3"/>
  <c r="A20" i="3"/>
  <c r="A19" i="3"/>
  <c r="A12" i="3"/>
  <c r="A9" i="3"/>
  <c r="C5" i="3"/>
  <c r="C4" i="3"/>
  <c r="A1" i="3"/>
  <c r="C45" i="7" l="1"/>
  <c r="AI45" i="7" s="1"/>
  <c r="C36" i="7"/>
  <c r="AI36" i="7" s="1"/>
  <c r="C18" i="12"/>
  <c r="F8" i="11"/>
  <c r="B22" i="12"/>
  <c r="C23" i="12" s="1"/>
  <c r="E9" i="11"/>
  <c r="H6" i="11"/>
  <c r="H9" i="11" s="1"/>
  <c r="I13" i="13"/>
  <c r="F7" i="11"/>
  <c r="F6" i="11"/>
  <c r="C13" i="7" l="1"/>
  <c r="AI13" i="7" s="1"/>
  <c r="B49" i="6"/>
  <c r="F49" i="6"/>
  <c r="K34" i="20"/>
  <c r="C21" i="3"/>
  <c r="B21" i="14"/>
  <c r="F9" i="11"/>
  <c r="I15" i="13"/>
  <c r="B17" i="12"/>
  <c r="AX49" i="6" l="1"/>
  <c r="AY49" i="6"/>
  <c r="C26" i="3"/>
  <c r="D20" i="5"/>
  <c r="N35" i="5" l="1"/>
  <c r="I6" i="14"/>
  <c r="D34" i="5" l="1"/>
  <c r="D35" i="5" s="1"/>
  <c r="N34" i="5"/>
  <c r="D27" i="5"/>
  <c r="D29" i="5" s="1"/>
  <c r="N27" i="5"/>
  <c r="I11" i="14"/>
  <c r="B12" i="14" s="1"/>
  <c r="G20" i="17"/>
  <c r="G25" i="17" s="1"/>
  <c r="N29" i="5" l="1"/>
  <c r="I25" i="17"/>
  <c r="G56" i="17" s="1"/>
  <c r="G60" i="17" s="1"/>
  <c r="G46" i="17"/>
  <c r="G50" i="17" s="1"/>
  <c r="D21" i="5" l="1"/>
  <c r="B13" i="14" l="1"/>
  <c r="E21" i="15" l="1"/>
  <c r="E11" i="16" l="1"/>
  <c r="C22" i="16" s="1"/>
  <c r="E22" i="16" l="1"/>
  <c r="D22" i="16"/>
  <c r="D24" i="16" s="1"/>
  <c r="G22" i="16" l="1"/>
  <c r="O19" i="20" l="1"/>
  <c r="N19" i="20"/>
  <c r="B15" i="6" l="1"/>
  <c r="F15" i="6"/>
  <c r="O21" i="20"/>
  <c r="AX15" i="6" l="1"/>
  <c r="AY15" i="6"/>
  <c r="F59" i="6"/>
  <c r="F60" i="6" l="1"/>
  <c r="AX59" i="6"/>
  <c r="AY59" i="6"/>
  <c r="G1" i="10"/>
  <c r="AX60" i="6" l="1"/>
  <c r="AY60" i="6"/>
  <c r="F1" i="10"/>
  <c r="M34" i="20" l="1"/>
  <c r="E19" i="15"/>
  <c r="E22" i="15" s="1"/>
  <c r="C13" i="15" s="1"/>
  <c r="G28" i="16"/>
  <c r="G34" i="16" s="1"/>
  <c r="C12" i="16" s="1"/>
  <c r="C14" i="13"/>
  <c r="G20" i="13"/>
  <c r="G22" i="13" s="1"/>
  <c r="G29" i="13" s="1"/>
  <c r="G31" i="13" s="1"/>
  <c r="G10" i="14" l="1"/>
  <c r="E18" i="17" s="1"/>
  <c r="C23" i="16"/>
  <c r="E12" i="16"/>
  <c r="B14" i="14" s="1"/>
  <c r="C17" i="14" s="1"/>
  <c r="G14" i="13"/>
  <c r="I14" i="13" s="1"/>
  <c r="G13" i="15"/>
  <c r="G14" i="15" s="1"/>
  <c r="C14" i="15"/>
  <c r="I10" i="14" l="1"/>
  <c r="G18" i="17" s="1"/>
  <c r="I13" i="15"/>
  <c r="I14" i="15" s="1"/>
  <c r="E23" i="16"/>
  <c r="E24" i="16" s="1"/>
  <c r="B20" i="14" s="1"/>
  <c r="C22" i="14" s="1"/>
  <c r="C24" i="16"/>
  <c r="C9" i="14" l="1"/>
  <c r="C24" i="14" s="1"/>
  <c r="C28" i="14" s="1"/>
  <c r="G23" i="16"/>
  <c r="G24" i="16" s="1"/>
  <c r="C9" i="12" l="1"/>
  <c r="C27" i="12" s="1"/>
  <c r="C30" i="12" s="1"/>
  <c r="N30" i="20"/>
  <c r="O30" i="20" s="1"/>
  <c r="O32" i="20" s="1"/>
  <c r="N32" i="20" l="1"/>
  <c r="O34" i="20"/>
  <c r="E36" i="25" l="1"/>
  <c r="F36" i="25" s="1"/>
  <c r="L36" i="25" s="1"/>
  <c r="F23" i="6" l="1"/>
  <c r="AX23" i="6" l="1"/>
  <c r="AY23" i="6"/>
  <c r="B23" i="6"/>
  <c r="D23" i="6"/>
  <c r="F26" i="6"/>
  <c r="H20" i="4"/>
  <c r="L20" i="4" s="1"/>
  <c r="AX26" i="6" l="1"/>
  <c r="AY26" i="6"/>
  <c r="F20" i="4"/>
  <c r="F22" i="4" s="1"/>
  <c r="F24" i="4" s="1"/>
  <c r="F28" i="4" s="1"/>
  <c r="F31" i="4" s="1"/>
  <c r="H22" i="4"/>
  <c r="B26" i="6"/>
  <c r="D26" i="6"/>
  <c r="D29" i="6" s="1"/>
  <c r="D20" i="4"/>
  <c r="D22" i="4" s="1"/>
  <c r="F29" i="6"/>
  <c r="F30" i="6" l="1"/>
  <c r="AY29" i="6"/>
  <c r="AX29" i="6"/>
  <c r="H24" i="4"/>
  <c r="L24" i="4" s="1"/>
  <c r="L22" i="4"/>
  <c r="D24" i="4"/>
  <c r="D28" i="4" s="1"/>
  <c r="D31" i="4" s="1"/>
  <c r="D30" i="6"/>
  <c r="H28" i="4"/>
  <c r="L28" i="4" s="1"/>
  <c r="BH30" i="4" s="1"/>
  <c r="AX30" i="6" l="1"/>
  <c r="AY30" i="6"/>
  <c r="E9" i="5"/>
  <c r="H31" i="4"/>
  <c r="D9" i="5" l="1"/>
  <c r="N9" i="5"/>
  <c r="F33" i="4"/>
  <c r="L31" i="4"/>
  <c r="D33" i="4"/>
  <c r="C41" i="3"/>
  <c r="C42" i="3" l="1"/>
  <c r="B29" i="6"/>
  <c r="B30" i="6" s="1"/>
  <c r="E23" i="25" l="1"/>
  <c r="F23" i="25" s="1"/>
  <c r="E6" i="25"/>
  <c r="D1" i="10"/>
  <c r="E1" i="10"/>
  <c r="E65" i="25" l="1"/>
  <c r="F6" i="25"/>
  <c r="F65" i="25" s="1"/>
  <c r="C29" i="3"/>
  <c r="C53" i="7"/>
  <c r="J24" i="6"/>
  <c r="E23" i="5" l="1"/>
  <c r="N23" i="5" s="1"/>
  <c r="C56" i="7"/>
  <c r="AI56" i="7" s="1"/>
  <c r="AI53" i="7"/>
  <c r="C30" i="3"/>
  <c r="C12" i="3"/>
  <c r="C19" i="7"/>
  <c r="J26" i="6"/>
  <c r="J25" i="6"/>
  <c r="C58" i="7" l="1"/>
  <c r="AI58" i="7" s="1"/>
  <c r="D23" i="5"/>
  <c r="E19" i="5"/>
  <c r="C13" i="3"/>
  <c r="C44" i="3"/>
  <c r="C25" i="7"/>
  <c r="AI25" i="7" s="1"/>
  <c r="AI19" i="7"/>
  <c r="E24" i="5" l="1"/>
  <c r="E37" i="5" s="1"/>
  <c r="E39" i="5" s="1"/>
  <c r="D19" i="5"/>
  <c r="D24" i="5" s="1"/>
  <c r="D31" i="5" s="1"/>
  <c r="C26" i="7"/>
  <c r="AI26" i="7" s="1"/>
  <c r="N19" i="5"/>
  <c r="C23" i="3"/>
  <c r="E31" i="5" l="1"/>
  <c r="D37" i="5"/>
  <c r="D39" i="5" s="1"/>
  <c r="D40" i="5" s="1"/>
  <c r="N37" i="5"/>
  <c r="N31" i="5"/>
  <c r="N24" i="5"/>
  <c r="C46" i="3"/>
  <c r="N39" i="5" l="1"/>
  <c r="B27" i="51"/>
  <c r="E40" i="5" l="1"/>
  <c r="N40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tc={82EC02F8-AE45-478F-BD4B-580E7A72D8B3}</author>
  </authors>
  <commentList>
    <comment ref="A69" authorId="0" shapeId="0" xr:uid="{82EC02F8-AE45-478F-BD4B-580E7A72D8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מתייחס לחו"ז בין חברתי וצריך להיות מאוזן במאוחד 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tc={60FA932D-7E2F-45F1-90F3-9073B4DFA07B}</author>
  </authors>
  <commentList>
    <comment ref="A69" authorId="0" shapeId="0" xr:uid="{60FA932D-7E2F-45F1-90F3-9073B4DFA07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מתייחס לחו"ז בין חברתי וצריך להיות מאוזן במאוחד 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Elena Labranov</author>
  </authors>
  <commentList>
    <comment ref="E16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Elena Labranov:</t>
        </r>
        <r>
          <rPr>
            <sz val="9"/>
            <color indexed="81"/>
            <rFont val="Tahoma"/>
            <family val="2"/>
          </rPr>
          <t xml:space="preserve">
חו"ז בינחברתי</t>
        </r>
      </text>
    </comment>
    <comment ref="C40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Elena Labranov:</t>
        </r>
        <r>
          <rPr>
            <sz val="9"/>
            <color indexed="81"/>
            <rFont val="Tahoma"/>
            <family val="2"/>
          </rPr>
          <t xml:space="preserve">
עודפים
</t>
        </r>
      </text>
    </comment>
    <comment ref="D50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Elena Labranov:</t>
        </r>
        <r>
          <rPr>
            <sz val="9"/>
            <color indexed="81"/>
            <rFont val="Tahoma"/>
            <family val="2"/>
          </rPr>
          <t xml:space="preserve">
Travel expenses 1,500 evro + selling cost (Tecum)  € 6.480,00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Elena Labranov</author>
  </authors>
  <commentList>
    <comment ref="H6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Elena Labranov:</t>
        </r>
        <r>
          <rPr>
            <sz val="9"/>
            <color indexed="81"/>
            <rFont val="Tahoma"/>
            <family val="2"/>
          </rPr>
          <t xml:space="preserve">
לפי דוח זקופות
</t>
        </r>
      </text>
    </comment>
    <comment ref="H8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Elena Labranov:</t>
        </r>
        <r>
          <rPr>
            <sz val="9"/>
            <color indexed="81"/>
            <rFont val="Tahoma"/>
            <family val="2"/>
          </rPr>
          <t xml:space="preserve">
לפי דוח זקופות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ofir</author>
  </authors>
  <commentList>
    <comment ref="B12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ofir:</t>
        </r>
        <r>
          <rPr>
            <sz val="9"/>
            <color indexed="81"/>
            <rFont val="Tahoma"/>
            <family val="2"/>
          </rPr>
          <t xml:space="preserve">
ראה נייר עבודה לחישוב עודפות</t>
        </r>
      </text>
    </comment>
  </commentList>
</comments>
</file>

<file path=xl/sharedStrings.xml><?xml version="1.0" encoding="utf-8"?>
<sst xmlns="http://schemas.openxmlformats.org/spreadsheetml/2006/main" count="5704" uniqueCount="1432">
  <si>
    <t>CURRENT ASSETS</t>
  </si>
  <si>
    <t>Cash and cash equivalents</t>
  </si>
  <si>
    <t>Short term deposit</t>
  </si>
  <si>
    <t>Other current assets</t>
  </si>
  <si>
    <t>FIXED ASSETS</t>
  </si>
  <si>
    <t>Fixed assets, gross</t>
  </si>
  <si>
    <t>Accumulated depreciation</t>
  </si>
  <si>
    <t>CURRENT LIABILITIES</t>
  </si>
  <si>
    <t>Accounts payable</t>
  </si>
  <si>
    <t>Other liabilities</t>
  </si>
  <si>
    <t>LONG TERM LIABILITIES</t>
  </si>
  <si>
    <t>U.S. Dollars</t>
  </si>
  <si>
    <t>Unaudited</t>
  </si>
  <si>
    <t>Overhead Expense Summary</t>
  </si>
  <si>
    <t>Operating Expenses</t>
  </si>
  <si>
    <t>STATEMENT OF OPERATIONS</t>
  </si>
  <si>
    <t>BALANCE SHEET</t>
  </si>
  <si>
    <t>Cash flows from operating activities</t>
  </si>
  <si>
    <t>Cash flows from investing activities</t>
  </si>
  <si>
    <t>Cash flows from financing activities</t>
  </si>
  <si>
    <t>Increase(decrease) in cash and cash equivalents</t>
  </si>
  <si>
    <t>Cash and cash equivalents at beginning of period</t>
  </si>
  <si>
    <t>Cash and cash equivalents at end of period</t>
  </si>
  <si>
    <t>Depreciation</t>
  </si>
  <si>
    <t>Changes in operating asset and liability items:</t>
  </si>
  <si>
    <t>STATEMENT OF CASH FLOW</t>
  </si>
  <si>
    <t>Related company</t>
  </si>
  <si>
    <t>Checks payable</t>
  </si>
  <si>
    <t>Employees</t>
  </si>
  <si>
    <t>Financial</t>
  </si>
  <si>
    <t>Bank commission and interest</t>
  </si>
  <si>
    <t>Exchange difference rate</t>
  </si>
  <si>
    <t>NOTES TO FINANCIAL STATEMENTS</t>
  </si>
  <si>
    <t>INDEX</t>
  </si>
  <si>
    <t xml:space="preserve">- - - - - - - </t>
  </si>
  <si>
    <t>- - - - - - - - -</t>
  </si>
  <si>
    <t>קוד 4 ספרות</t>
  </si>
  <si>
    <t>קוד 3 ספרות</t>
  </si>
  <si>
    <t>קוד 2 ספרות</t>
  </si>
  <si>
    <t>Sales &amp; Marketing</t>
  </si>
  <si>
    <t>Prepaid expenses</t>
  </si>
  <si>
    <t>Short Term Loans</t>
  </si>
  <si>
    <t>Interest Expenses (Income)</t>
  </si>
  <si>
    <t>SHAREHOLDER'S EQUITY</t>
  </si>
  <si>
    <t>Share capital</t>
  </si>
  <si>
    <t>Note</t>
  </si>
  <si>
    <t>קוד חשבון</t>
  </si>
  <si>
    <t>יתרה $</t>
  </si>
  <si>
    <t>פקודות נוספות $ (-) חובה</t>
  </si>
  <si>
    <t>Israeli currency</t>
  </si>
  <si>
    <t>Petty Cash</t>
  </si>
  <si>
    <t>Guaranty deposits</t>
  </si>
  <si>
    <t>Accounts receivable</t>
  </si>
  <si>
    <t>Income receivable</t>
  </si>
  <si>
    <t>Checks receivable</t>
  </si>
  <si>
    <t>Allowance For Doubtful Account</t>
  </si>
  <si>
    <t>Investments</t>
  </si>
  <si>
    <t>Investment in subsidiary</t>
  </si>
  <si>
    <t>Decreased Assets</t>
  </si>
  <si>
    <t>Decreased Accumulated Depreciation</t>
  </si>
  <si>
    <t>Short Term Loans From Banks</t>
  </si>
  <si>
    <t>Short Term Loans From Others</t>
  </si>
  <si>
    <t>Vacation &amp; Convalescence</t>
  </si>
  <si>
    <t>Expenses Payable</t>
  </si>
  <si>
    <t>Accrued severance pay</t>
  </si>
  <si>
    <t>LONG TERM DEBT</t>
  </si>
  <si>
    <t>Additional paid-in capital</t>
  </si>
  <si>
    <t>Warrants premium</t>
  </si>
  <si>
    <t>Capital fund</t>
  </si>
  <si>
    <t>Cost of Goods Sold</t>
  </si>
  <si>
    <t>Shipment Expenses</t>
  </si>
  <si>
    <t>Travel Abroad</t>
  </si>
  <si>
    <t>Employee Courses &amp; Others</t>
  </si>
  <si>
    <t>Over Head Expenses</t>
  </si>
  <si>
    <t>Changes in Inventory</t>
  </si>
  <si>
    <t>General &amp; Administrative</t>
  </si>
  <si>
    <t>Interest Income</t>
  </si>
  <si>
    <t>Other revenues</t>
  </si>
  <si>
    <t>Capital loss</t>
  </si>
  <si>
    <t>Opening Retained Earnings (Deficit)</t>
  </si>
  <si>
    <t>Accumulated deficit / surplus</t>
  </si>
  <si>
    <t>Beginning of period</t>
  </si>
  <si>
    <t>Deficit / surplus accumulated</t>
  </si>
  <si>
    <t>Revenues</t>
  </si>
  <si>
    <t>Services</t>
  </si>
  <si>
    <t>Note 1 - Cash and Cash Equivalents</t>
  </si>
  <si>
    <t>Allocated Costs</t>
  </si>
  <si>
    <t>Insurance</t>
  </si>
  <si>
    <t>Incentives</t>
  </si>
  <si>
    <t>Benefits &amp; Taxes</t>
  </si>
  <si>
    <t>Telephone/Postage</t>
  </si>
  <si>
    <t>ACCUMULATED EARNINGS (LOSS)</t>
  </si>
  <si>
    <t>Tax Expenses</t>
  </si>
  <si>
    <t>Salaries</t>
  </si>
  <si>
    <t>Travel &amp; Meals &amp; Cars</t>
  </si>
  <si>
    <t>Net profit (Loss)</t>
  </si>
  <si>
    <t>Deferred Tax</t>
  </si>
  <si>
    <t>Severance pay fund</t>
  </si>
  <si>
    <t>AE #</t>
  </si>
  <si>
    <t>Code #</t>
  </si>
  <si>
    <t>Code name</t>
  </si>
  <si>
    <t>Debit</t>
  </si>
  <si>
    <t>Credit</t>
  </si>
  <si>
    <t xml:space="preserve">שער </t>
  </si>
  <si>
    <t>Operating expenses</t>
  </si>
  <si>
    <t>Operations</t>
  </si>
  <si>
    <t xml:space="preserve">Hosting &amp; Bandwidth </t>
  </si>
  <si>
    <t>Furniture &amp; Fixtures General</t>
  </si>
  <si>
    <t>Computer Hardware S&amp;M</t>
  </si>
  <si>
    <t>Computer Software R&amp;D</t>
  </si>
  <si>
    <t>Computer Software G&amp;A</t>
  </si>
  <si>
    <t>Computer Software S&amp;M</t>
  </si>
  <si>
    <t>פקודות נוספות ש"ח (-) חובה</t>
  </si>
  <si>
    <t>יתרה ישראל - ₪</t>
  </si>
  <si>
    <t>Current Maturity of Long Term Loans</t>
  </si>
  <si>
    <t>₪</t>
  </si>
  <si>
    <t>Purchase of fixed assets</t>
  </si>
  <si>
    <t>$</t>
  </si>
  <si>
    <t>VAT</t>
  </si>
  <si>
    <t>Long Term loans</t>
  </si>
  <si>
    <t>Municipal taxes</t>
  </si>
  <si>
    <t>- - - - - - - -</t>
  </si>
  <si>
    <t>זכות ₪</t>
  </si>
  <si>
    <t>חובה ₪</t>
  </si>
  <si>
    <t>שיפורים במושכר</t>
  </si>
  <si>
    <t>YTD</t>
  </si>
  <si>
    <t>Total Cash Outflow before financing</t>
  </si>
  <si>
    <t>Outsourcing &amp; Consultation</t>
  </si>
  <si>
    <t>Salaries and social benefits</t>
  </si>
  <si>
    <t>Office Maintenance</t>
  </si>
  <si>
    <t>Electronic equipment</t>
  </si>
  <si>
    <t>Expenses not involving cash flows:</t>
  </si>
  <si>
    <t>Other</t>
  </si>
  <si>
    <t>Communication &amp; Computer Maintenance</t>
  </si>
  <si>
    <t>NET INCOME (LOSS)</t>
  </si>
  <si>
    <t>Opening Retained Earnings</t>
  </si>
  <si>
    <t xml:space="preserve">Accumulated Earnings </t>
  </si>
  <si>
    <t>Office maintenance</t>
  </si>
  <si>
    <t>Professional services</t>
  </si>
  <si>
    <t>Office Insurance</t>
  </si>
  <si>
    <t>Interest on loans</t>
  </si>
  <si>
    <t>הפרשה לחופשה והבראה</t>
  </si>
  <si>
    <t>Interest to (from) authorities</t>
  </si>
  <si>
    <t>Hardware &amp; Software</t>
  </si>
  <si>
    <t>Shareholders</t>
  </si>
  <si>
    <t>NIS</t>
  </si>
  <si>
    <t>הלוואה יוהנה ברטוב</t>
  </si>
  <si>
    <t>הלוואה - חיים וציפורה ארל</t>
  </si>
  <si>
    <t>ריבית הלוואות המירות</t>
  </si>
  <si>
    <t>ניכוי במקור ספקים</t>
  </si>
  <si>
    <t>הלוואה - תמיר בוסתנאי</t>
  </si>
  <si>
    <t>(Increase) Decrease in accounts receivable</t>
  </si>
  <si>
    <t>(Increase) Decrease in other current assets</t>
  </si>
  <si>
    <t>Increase (Decrease) in accounts payable and accruals</t>
  </si>
  <si>
    <t>Increase (Decrease) in other liabilities</t>
  </si>
  <si>
    <t>Convertible Loans</t>
  </si>
  <si>
    <t>הנפקת חשבוניות עצמיות</t>
  </si>
  <si>
    <t>סכום לפי מע"מ</t>
  </si>
  <si>
    <t>כולל מע"מ</t>
  </si>
  <si>
    <t>QTD</t>
  </si>
  <si>
    <t>Other expenses</t>
  </si>
  <si>
    <t>הפרשות עובדים</t>
  </si>
  <si>
    <t xml:space="preserve">הפסד לפי דוח רווח והפסד </t>
  </si>
  <si>
    <t>הוסף:</t>
  </si>
  <si>
    <t>הוצאות עודפות</t>
  </si>
  <si>
    <t>י.פ</t>
  </si>
  <si>
    <t>גידול בהפרשה לחופשה והבראה</t>
  </si>
  <si>
    <t>י.ס</t>
  </si>
  <si>
    <t>תנועה</t>
  </si>
  <si>
    <t>ריבית למוסדות</t>
  </si>
  <si>
    <t>הפסדים מועברים משנה קודמת, ראה נספח 1344</t>
  </si>
  <si>
    <t>רווח (הפסד) לפני יישום חוק התיאומים</t>
  </si>
  <si>
    <t>=======</t>
  </si>
  <si>
    <t>______________</t>
  </si>
  <si>
    <t xml:space="preserve">                                                                             מנהל</t>
  </si>
  <si>
    <t xml:space="preserve">                             סמארט שוטר בע"מ</t>
  </si>
  <si>
    <t xml:space="preserve">                                                ח/פ 514615590</t>
  </si>
  <si>
    <t>חשבון</t>
  </si>
  <si>
    <t>אופציות לעובדים</t>
  </si>
  <si>
    <t>הפסד לשנת המס 2013 מועבר לשנים הבאות</t>
  </si>
  <si>
    <r>
      <t>ביאורים</t>
    </r>
    <r>
      <rPr>
        <b/>
        <sz val="10"/>
        <rFont val="David"/>
        <family val="2"/>
        <charset val="177"/>
      </rPr>
      <t>:</t>
    </r>
  </si>
  <si>
    <t>הוצאות הפחת בספרים זהותלפחת לצרכי מס.</t>
  </si>
  <si>
    <t>הוצאות מחקר ופיתוח המותרות בניכוי על פני שלוש שנים לפי סעיף 20 א' לפקודת מס הכנסה</t>
  </si>
  <si>
    <t>ויתרתן המותרות בניכוי בשנים הבאות כדלקמן:</t>
  </si>
  <si>
    <t>הסכום שהוכר</t>
  </si>
  <si>
    <t>הסכום שיוכר</t>
  </si>
  <si>
    <t>יתרה לשנים</t>
  </si>
  <si>
    <t>סכום ההוצאה</t>
  </si>
  <si>
    <t>בשנים קודמות</t>
  </si>
  <si>
    <t>בשנת המס</t>
  </si>
  <si>
    <t>הבאות</t>
  </si>
  <si>
    <t>שקלים חדשים</t>
  </si>
  <si>
    <t>***</t>
  </si>
  <si>
    <t>יש לנכות הפרשות חופשה הבראה ופיצויים</t>
  </si>
  <si>
    <t>סמארט שוטר בע"מ</t>
  </si>
  <si>
    <t>ויותרו בניכוי בשנים הבאות על פי סעיף 20 א' לפקודה</t>
  </si>
  <si>
    <t>הפחת:</t>
  </si>
  <si>
    <t>הוצאות מחקר ופיתוח שלא הוכרו בשנים קודמות</t>
  </si>
  <si>
    <t>לפי סעיף 20 א' לפקודת מס הכנסה</t>
  </si>
  <si>
    <t xml:space="preserve">Compensation charged in respect of options </t>
  </si>
  <si>
    <t>granted to employee</t>
  </si>
  <si>
    <t>Creative &amp; branding</t>
  </si>
  <si>
    <t xml:space="preserve">Employees institutions </t>
  </si>
  <si>
    <t xml:space="preserve">                            דוח התאמה לצרכי מס הכנסה לשנת המס 2013</t>
  </si>
  <si>
    <t>שני שליש מהוצאות מחקר ופיתוח שהוצאו בשנת 2012</t>
  </si>
  <si>
    <t>תל-אביב,___________, 2014</t>
  </si>
  <si>
    <t>הוצאות מו"פ לחלוקה:</t>
  </si>
  <si>
    <t>הוצאות מו"פ בספרים:</t>
  </si>
  <si>
    <t>בתוספת מענק שנוכה:</t>
  </si>
  <si>
    <t>הוצאות מו"פ בפועל</t>
  </si>
  <si>
    <t>בניכוי הוצאות שכבר תואמו בדוח:</t>
  </si>
  <si>
    <t>סה"כ</t>
  </si>
  <si>
    <t>הוצאות מוכרות למדען</t>
  </si>
  <si>
    <t>הוצאות שנותרו לחלוקה ע"פ ס' 20א'</t>
  </si>
  <si>
    <t>הוצאות אופציות:</t>
  </si>
  <si>
    <t>הפרשה לחופשה והבראה:</t>
  </si>
  <si>
    <t>Restricted deposit</t>
  </si>
  <si>
    <t>Others</t>
  </si>
  <si>
    <t>Vehicle expense</t>
  </si>
  <si>
    <t>Rent &amp; Management fees</t>
  </si>
  <si>
    <t xml:space="preserve">                                                                   מנהל</t>
  </si>
  <si>
    <t>הוצאות הפחת בספרים זהות לפחת לצרכי מס.</t>
  </si>
  <si>
    <t>יש לנכות הפרשות חופשה הבראה ופיצויים וכן אופציות לעובדים</t>
  </si>
  <si>
    <t>סה"כ הוצאות מו"פ</t>
  </si>
  <si>
    <t>אופציות</t>
  </si>
  <si>
    <t>חופשה והבראה</t>
  </si>
  <si>
    <t>סה"כ לטובת 20 א'</t>
  </si>
  <si>
    <t>קיולוג'יק ישראל בע"מ</t>
  </si>
  <si>
    <t>2014 + 2015</t>
  </si>
  <si>
    <t>הוצאות מסים</t>
  </si>
  <si>
    <t>ריבית מוסדות</t>
  </si>
  <si>
    <t>Details</t>
  </si>
  <si>
    <t>PROFIT (LOSS) FROM OPERATIONS</t>
  </si>
  <si>
    <t>Computers &amp; Software</t>
  </si>
  <si>
    <t>Research &amp; Development</t>
  </si>
  <si>
    <t>הפסד השנה</t>
  </si>
  <si>
    <t>Income receivable P&amp;L</t>
  </si>
  <si>
    <t>ארוחות</t>
  </si>
  <si>
    <t>ח/פ 515125748</t>
  </si>
  <si>
    <t>סכום בחשבון</t>
  </si>
  <si>
    <t>מוכר</t>
  </si>
  <si>
    <t>לתיאום</t>
  </si>
  <si>
    <t>נסיעות לחו"ל</t>
  </si>
  <si>
    <t>מחקר ופיתוח</t>
  </si>
  <si>
    <t>כללי:</t>
  </si>
  <si>
    <t>בהתאם לסעיף 20א' לפקודה, רשאית החברה לתבוע את הוצאות המו"פ שלה בפריסה של שלוש שנים.</t>
  </si>
  <si>
    <t>הוצאות המו"פ לפי שנים:</t>
  </si>
  <si>
    <t>הוצאה בדוח</t>
  </si>
  <si>
    <t xml:space="preserve">סה"כ </t>
  </si>
  <si>
    <t>הערה</t>
  </si>
  <si>
    <t>הוצאות מחקר ופיתוח בגין שנת 2014</t>
  </si>
  <si>
    <t>בוקר בשנת 2014</t>
  </si>
  <si>
    <t>חישוב תאום הוצאות מחקר ופיתוח בגין טיפלתי:</t>
  </si>
  <si>
    <t>בהתאם לסעיף 20א לפקודת מס הכנסה, 2/3 מההוצאה אינה מוכרת. ראה גליון מצורף</t>
  </si>
  <si>
    <t xml:space="preserve">לכבוד </t>
  </si>
  <si>
    <t>פ"ש</t>
  </si>
  <si>
    <t>כפר סבא</t>
  </si>
  <si>
    <t>דו"ח על הוצאות עודפות</t>
  </si>
  <si>
    <t>צורת ההתאגדות</t>
  </si>
  <si>
    <t>חברה</t>
  </si>
  <si>
    <t>שותפות</t>
  </si>
  <si>
    <t>מלכ"ר</t>
  </si>
  <si>
    <t>אחר, פרט/י _______________________</t>
  </si>
  <si>
    <r>
      <t>טבלה א</t>
    </r>
    <r>
      <rPr>
        <sz val="9"/>
        <rFont val="David"/>
        <family val="2"/>
        <charset val="177"/>
      </rPr>
      <t xml:space="preserve"> יש למלא את הנתונים הרלוונטיים כמפורט להלן. לכל סעיף יש לצרף פירוט החישוב המדוייק של סכום ההוצאה העודפת</t>
    </r>
  </si>
  <si>
    <t>ההוצאה</t>
  </si>
  <si>
    <t>סעיף בפקודה</t>
  </si>
  <si>
    <t>תקנות</t>
  </si>
  <si>
    <t>סה"כ הוצאה בספרים בש"ח*</t>
  </si>
  <si>
    <t>סכום ההוצאה העודפת בש"ח*</t>
  </si>
  <si>
    <t>סה"כ המקדמה</t>
  </si>
  <si>
    <t>רכב</t>
  </si>
  <si>
    <r>
      <t xml:space="preserve">הרכב </t>
    </r>
    <r>
      <rPr>
        <sz val="8"/>
        <rFont val="David"/>
        <family val="2"/>
        <charset val="177"/>
      </rPr>
      <t>(1)</t>
    </r>
  </si>
  <si>
    <r>
      <t xml:space="preserve">הוצאות מסויימיות </t>
    </r>
    <r>
      <rPr>
        <sz val="8"/>
        <rFont val="David"/>
        <family val="2"/>
        <charset val="177"/>
      </rPr>
      <t>(2)</t>
    </r>
  </si>
  <si>
    <t>הוצאות לימודים</t>
  </si>
  <si>
    <t>בדיקות רפואיות</t>
  </si>
  <si>
    <t>אש"ל</t>
  </si>
  <si>
    <t>מתנות + שי לחג</t>
  </si>
  <si>
    <t>שיחות טלפון</t>
  </si>
  <si>
    <t>אירוח בארץ</t>
  </si>
  <si>
    <t>טובות הנאה לעובדים</t>
  </si>
  <si>
    <t>(11)32</t>
  </si>
  <si>
    <t>שלא ניתנות לייחוס</t>
  </si>
  <si>
    <t>טבלה ב</t>
  </si>
  <si>
    <t>חודש הדיווח</t>
  </si>
  <si>
    <t>סה"כ הוצאה עודפת עפ"י הדיווח בטופס 102</t>
  </si>
  <si>
    <t>סכום המקדמה המחושב</t>
  </si>
  <si>
    <t xml:space="preserve">הסכום ששולם בפועל 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</si>
  <si>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</si>
  <si>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</si>
  <si>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</si>
  <si>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</si>
  <si>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</si>
  <si>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</si>
  <si>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</si>
  <si>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</si>
  <si>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</si>
  <si>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</si>
  <si>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</si>
  <si>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</si>
  <si>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דיווח נוסף 1</t>
  </si>
  <si>
    <t>דיווח נוסף 2</t>
  </si>
  <si>
    <t>תקנות מס הכנסה (ניכוי הוצאות רכב) התשנ"ה - 1995</t>
  </si>
  <si>
    <t>*</t>
  </si>
  <si>
    <t>משוערך ע"פ שער חליפין ממוצע.</t>
  </si>
  <si>
    <t>.1</t>
  </si>
  <si>
    <t>סה"כ הוצאות עודפות לפי טבלה א</t>
  </si>
  <si>
    <t>סה"כ הוצאות עודפות לפי טבלה ב</t>
  </si>
  <si>
    <t>ההפרש</t>
  </si>
  <si>
    <t>סיבת ההפרש</t>
  </si>
  <si>
    <t>החברה לא אמדה כראוי את הוצאותיה העודפות.</t>
  </si>
  <si>
    <t>.2</t>
  </si>
  <si>
    <t>סה"כ מקדמות בגין הוצאות בפועל לפי טבלה א</t>
  </si>
  <si>
    <t>סה"כ מקדמות בגין הוצאות עודפות ששולמו בפועל לפי טבלה ב</t>
  </si>
  <si>
    <t>תאריך</t>
  </si>
  <si>
    <t>שם המנהל/ת</t>
  </si>
  <si>
    <t>חתימה</t>
  </si>
  <si>
    <t>שם המייצג</t>
  </si>
  <si>
    <t>כיבודים</t>
  </si>
  <si>
    <t>הוצאות מחקר ופיתוח בגין שנת 2015</t>
  </si>
  <si>
    <t>טרם בוקר</t>
  </si>
  <si>
    <t>הוצאות מו"פ בספרים</t>
  </si>
  <si>
    <t>הוצאות חופשה והבראה</t>
  </si>
  <si>
    <t>תשלום מבוסס מניות</t>
  </si>
  <si>
    <t>עודפות במסגרת מו"פ</t>
  </si>
  <si>
    <t>לפריסה</t>
  </si>
  <si>
    <t>סה"כ הוצאות מו"פ לתקופה</t>
  </si>
  <si>
    <t>הוצאות מו"פ מוכרות השנה</t>
  </si>
  <si>
    <t>אקספוזבוקס בע"מ</t>
  </si>
  <si>
    <t>Gross profit</t>
  </si>
  <si>
    <t>Subcontractors</t>
  </si>
  <si>
    <t>ארוחות לעובדים</t>
  </si>
  <si>
    <t>מתנות לעובדים</t>
  </si>
  <si>
    <t>טרם בוצע חישוב</t>
  </si>
  <si>
    <t xml:space="preserve">                            דוח התאמה לצרכי מס הכנסה לשנת המס 2016</t>
  </si>
  <si>
    <t>מצ"ב כרטסת ברשת</t>
  </si>
  <si>
    <t>979001+915008</t>
  </si>
  <si>
    <t>מתנות לספקים</t>
  </si>
  <si>
    <t>מצ"ב דוח זקופות וכרטסת ברשת</t>
  </si>
  <si>
    <t>עמית פולק מטלון - 2</t>
  </si>
  <si>
    <t>זאפ - 1</t>
  </si>
  <si>
    <t>רפדור נכסים - 1</t>
  </si>
  <si>
    <r>
      <rPr>
        <b/>
        <u/>
        <sz val="12"/>
        <rFont val="Times New Roman"/>
        <family val="1"/>
      </rPr>
      <t xml:space="preserve">שר המשקאות </t>
    </r>
    <r>
      <rPr>
        <u/>
        <sz val="12"/>
        <rFont val="Times New Roman"/>
        <family val="1"/>
      </rPr>
      <t>- 4 חבילות שי עבור ספקים:</t>
    </r>
  </si>
  <si>
    <t>מצ"ב תשובה של עדי</t>
  </si>
  <si>
    <t>979001+915008+979005</t>
  </si>
  <si>
    <t>הפרשה לבעלי שליטה, סעף 32(9)</t>
  </si>
  <si>
    <t>הטבה בגין אוציות לעובדים ויועצים</t>
  </si>
  <si>
    <t>אקספוז בוקס בע"מ</t>
  </si>
  <si>
    <t>בוקר בשנת 2015</t>
  </si>
  <si>
    <t>הוצאות מחקר ופיתוח בגין שנת 2016</t>
  </si>
  <si>
    <t>טרם חושב</t>
  </si>
  <si>
    <t>הפרשות לבעלי שליטה</t>
  </si>
  <si>
    <t>תשלומים לבעלי שליטה</t>
  </si>
  <si>
    <t>אמיר שדה</t>
  </si>
  <si>
    <t>הדר אשל</t>
  </si>
  <si>
    <t>תשלומים לקופ"ג קיצבה לבעל שליטה על פי סעיף 32(9):</t>
  </si>
  <si>
    <t>הפקדות שנעשו במהלך השנה</t>
  </si>
  <si>
    <t>הסעיף רלוונטי לבדיקה רק לגבי עובד+בעל שליטה שבשנת המס
הנוכחית אינו בעל שליטה, אך ממשיך לעבוד בחברה.
במצב כזה יש לעשות את החישוב לפי הסעיף 32 (9) (א) (3)</t>
  </si>
  <si>
    <t>תקרת הפקדה עפ"י ס' 32(9) לפק' מ"ה</t>
  </si>
  <si>
    <t>עודף הפקדה</t>
  </si>
  <si>
    <t>תשלומים לקופ"ג פיצויים לבעל שליטה על פי סעיף 32(9):</t>
  </si>
  <si>
    <t>תשלומים לקה"ש לבעל שליטה על פי סעיף 32(9)</t>
  </si>
  <si>
    <t>תשלומים לא.כ.ע לבעל שליטה על פי סעיף 32(14)</t>
  </si>
  <si>
    <t>תקרת הפקדה עפ"י סעיף 32(14)</t>
  </si>
  <si>
    <t>סה"כ הוצאה לא מותרת לדו"ח התאמה</t>
  </si>
  <si>
    <t xml:space="preserve">סה"כ הוצאה לא מותרת </t>
  </si>
  <si>
    <t>סכומים מותרים בניכוי עבור קופת גמל + קצבה:</t>
  </si>
  <si>
    <t>לפי הפקודה סעיף 32 9 (א)- יותרו בניכוי תשלומים לקופת גמל כנמוך מבין:</t>
  </si>
  <si>
    <t>הסכום שהופקד ע"י החברה</t>
  </si>
  <si>
    <t>סכום של 12,120 לכל שנת העבודה (יש להתחשב במספר חודשי העבודה).</t>
  </si>
  <si>
    <t>סכומים המותרים בניכוי עובר קה"ש</t>
  </si>
  <si>
    <t>משכורת קובעת לפי ס' 3(ה')</t>
  </si>
  <si>
    <t>אחוז לתקרת הפקדה מהמשכורת הקובעת</t>
  </si>
  <si>
    <t>תקרה להפקדות לקה"ש</t>
  </si>
  <si>
    <t>סכומים מותרים בניכוי עבור אובדן כושר עבודה:</t>
  </si>
  <si>
    <t>תשלומי מעביד לקופת גמל</t>
  </si>
  <si>
    <t>עמודה של שונות</t>
  </si>
  <si>
    <t>עלות שכר שנתית לסוציאליות (ללא שווי רכב וללא ב"ל מעביד)</t>
  </si>
  <si>
    <t>שיעור תגמולי מעביד מהשכר לבדיקה האם מעל 4%</t>
  </si>
  <si>
    <t>תקרה 1 באחוזים</t>
  </si>
  <si>
    <t>אם מעל 4% אז התקרה היא3.5% בניכוי ההפרש בין המעל לתקרה ל4%</t>
  </si>
  <si>
    <t>תקרה 2 באחוזים</t>
  </si>
  <si>
    <t>קבועה לפי הסעיף.</t>
  </si>
  <si>
    <t>תקרה מותרת</t>
  </si>
  <si>
    <t>הנמוך מבין התקרות אך לא מעבר לשכר הממוצע במשק לחלק ל3</t>
  </si>
  <si>
    <t>ראה גליון צת"ב</t>
  </si>
  <si>
    <t>הוצאות לא מזומן</t>
  </si>
  <si>
    <t>לשנת המס 2016</t>
  </si>
  <si>
    <t>הפסד מועבר משנים קודמות</t>
  </si>
  <si>
    <t>סה"כ הפסד מועבר לשנים הבאות</t>
  </si>
  <si>
    <t>לפי דוח חתום</t>
  </si>
  <si>
    <t>תל-אביב,___________, 2016</t>
  </si>
  <si>
    <t>שכר ממוצע לשנת 2016</t>
  </si>
  <si>
    <t>מצ"ב ריכוז הוצאות מכל נתון</t>
  </si>
  <si>
    <t>Non - current assets</t>
  </si>
  <si>
    <t>Lease and garanty deposits</t>
  </si>
  <si>
    <t>Leased property under capital lease, net</t>
  </si>
  <si>
    <t>OCS Liability</t>
  </si>
  <si>
    <t>Marketing fund liability</t>
  </si>
  <si>
    <t>Current maturities of obligation under capital lease</t>
  </si>
  <si>
    <t>OCS participation grants</t>
  </si>
  <si>
    <t>Deferred revenues</t>
  </si>
  <si>
    <t>Laboratory equipment</t>
  </si>
  <si>
    <t>Obligation under capital lease</t>
  </si>
  <si>
    <t>Preferred shares</t>
  </si>
  <si>
    <t>Reveivable on account of shares</t>
  </si>
  <si>
    <t>Conference and shows</t>
  </si>
  <si>
    <t>Meals and entertainment</t>
  </si>
  <si>
    <t>הפרשי שער</t>
  </si>
  <si>
    <t>Marketing exepences</t>
  </si>
  <si>
    <t>Recruitment</t>
  </si>
  <si>
    <t>שער</t>
  </si>
  <si>
    <t>430001+430002</t>
  </si>
  <si>
    <t>יתרה לא מותאמת, ₪</t>
  </si>
  <si>
    <t>יתרה לא מותאמת, $</t>
  </si>
  <si>
    <t>Evigilo</t>
  </si>
  <si>
    <t>Retained Earning</t>
  </si>
  <si>
    <t>LTD</t>
  </si>
  <si>
    <t>December 31, 2015</t>
  </si>
  <si>
    <t>Stockholders' Equity</t>
  </si>
  <si>
    <t>Number of ordinary shares</t>
  </si>
  <si>
    <t>Number of series A-1 preferred shares</t>
  </si>
  <si>
    <t>Number of series A-2 preferred shares</t>
  </si>
  <si>
    <t>Number of series A-3 preferred shares</t>
  </si>
  <si>
    <t>Number of series B preferred shares</t>
  </si>
  <si>
    <t>Number of series C preferred shares</t>
  </si>
  <si>
    <t>Receivables on account of shares</t>
  </si>
  <si>
    <t>Additional paid in capital</t>
  </si>
  <si>
    <t>Accumulated deficit</t>
  </si>
  <si>
    <t>Total</t>
  </si>
  <si>
    <t>Opening balance</t>
  </si>
  <si>
    <t>Conversion of convertible loan</t>
  </si>
  <si>
    <t>Investment</t>
  </si>
  <si>
    <t>Issuance of anti-dilution shares</t>
  </si>
  <si>
    <t>Share based payment</t>
  </si>
  <si>
    <t>profit for the year</t>
  </si>
  <si>
    <t>Total Stockholders' Equity</t>
  </si>
  <si>
    <t>Liabilities to suppliers and service providers</t>
  </si>
  <si>
    <t>Note 2 - Other current assets</t>
  </si>
  <si>
    <t>Note 3 - Fixed assets, gross</t>
  </si>
  <si>
    <t>חוז בינחברתי</t>
  </si>
  <si>
    <t>LOUIS KERNER</t>
  </si>
  <si>
    <t>FRASER MCCOMS</t>
  </si>
  <si>
    <t>NORCAD LLC</t>
  </si>
  <si>
    <t>TAS CAPITAL LT</t>
  </si>
  <si>
    <t>MARK BOYCE</t>
  </si>
  <si>
    <t>עיצוב:</t>
  </si>
  <si>
    <t>להקפיד</t>
  </si>
  <si>
    <t>ספק 30070 - לבטל הפרשי שער ולבקש מהנה"ח לתקן את הפקודה כולל מט"ח</t>
  </si>
  <si>
    <t xml:space="preserve">מקדמות מס הכנסה - </t>
  </si>
  <si>
    <t>להפיק שאילתה הנה"ח משע"מ ולבדוק האם התקזז עם משהו</t>
  </si>
  <si>
    <t>הון מניות - לעדכו לאחר קבלת מסמכים</t>
  </si>
  <si>
    <t>הפרשי שער - לבדוק סבירות</t>
  </si>
  <si>
    <t>NOTES BS</t>
  </si>
  <si>
    <t>מקדמות בגין עודפות להוציא לקוד נפרד 1356</t>
  </si>
  <si>
    <t>להוסיף ביאור על Accounts payable</t>
  </si>
  <si>
    <t>NOTES P&amp;L</t>
  </si>
  <si>
    <t>למה חשבון 8209 מסווג במו"פ?</t>
  </si>
  <si>
    <t>למה חשבון 8019 מסווג ב-OCS?</t>
  </si>
  <si>
    <t>לבדוק מיונים וסיווגים</t>
  </si>
  <si>
    <t>היון מניות</t>
  </si>
  <si>
    <t>לבטל שיערוך</t>
  </si>
  <si>
    <t>לעדכן הון לאחר גיוס</t>
  </si>
  <si>
    <t>V</t>
  </si>
  <si>
    <t>Note 4 - Accounts payable</t>
  </si>
  <si>
    <t>Note 5 - Other liabilities</t>
  </si>
  <si>
    <t>Note 6 - Share capital</t>
  </si>
  <si>
    <t>Note 7 - Research &amp; Development</t>
  </si>
  <si>
    <t>Note 8 - Sales &amp; Marketing</t>
  </si>
  <si>
    <t>Note 9 - General &amp; Administrative</t>
  </si>
  <si>
    <t>Note 10 - Interest expenses (income)</t>
  </si>
  <si>
    <t>Exchange rate</t>
  </si>
  <si>
    <t>Issuance of shares</t>
  </si>
  <si>
    <t>תואם לריכוז יתרות 30.06.19</t>
  </si>
  <si>
    <t>תואם לנייר עבודה Q2 2019</t>
  </si>
  <si>
    <t>ללא שינוי משנה קודמת. לקבל בסוף שנה אישור מהספק</t>
  </si>
  <si>
    <t>מקדמות בגין עודפות 2017. לסגור מול הפרשה בסוף שנה</t>
  </si>
  <si>
    <t>תשומות בגין 5-6.2019. טרם הועברה פקודת מע"מ</t>
  </si>
  <si>
    <t>תואם לטופס פחת 30.06.19</t>
  </si>
  <si>
    <t>בגין שכר 6.19. תואם לפקודת שכר</t>
  </si>
  <si>
    <t xml:space="preserve">ללא שינוי </t>
  </si>
  <si>
    <t>גידול בתעריף שכר דירה</t>
  </si>
  <si>
    <t>Daimler AG - לקוח 20007 -</t>
  </si>
  <si>
    <t>תואם לפירוט כ"א</t>
  </si>
  <si>
    <t>Investment in subsidiary GMBH</t>
  </si>
  <si>
    <t xml:space="preserve"> </t>
  </si>
  <si>
    <t>INTERIM BALANCE SHEET</t>
  </si>
  <si>
    <t/>
  </si>
  <si>
    <t>ACCOUNTS as at</t>
  </si>
  <si>
    <t>Aurora Labs Germany GmbH Entwicklung und Vertrieb von Software, Unterschleißheim</t>
  </si>
  <si>
    <t>ASSETS</t>
  </si>
  <si>
    <t>Financial year</t>
  </si>
  <si>
    <t>Previous year</t>
  </si>
  <si>
    <t>יחס</t>
  </si>
  <si>
    <t xml:space="preserve">קוד רו"ח </t>
  </si>
  <si>
    <t>Account</t>
  </si>
  <si>
    <t>Description</t>
  </si>
  <si>
    <t>EUR</t>
  </si>
  <si>
    <t>Other equipment,
operating and office
equipment</t>
  </si>
  <si>
    <t>490</t>
  </si>
  <si>
    <t>Other operating and office equipment</t>
  </si>
  <si>
    <t>Other assets</t>
  </si>
  <si>
    <t>1525</t>
  </si>
  <si>
    <t>Security deposits</t>
  </si>
  <si>
    <t>1570</t>
  </si>
  <si>
    <t>Deductible input tax</t>
  </si>
  <si>
    <t>1571</t>
  </si>
  <si>
    <t>Deductible input tax, 7%</t>
  </si>
  <si>
    <t>1576</t>
  </si>
  <si>
    <t>Deductible input tax, 19%</t>
  </si>
  <si>
    <t>1780</t>
  </si>
  <si>
    <t>VAT prepayments</t>
  </si>
  <si>
    <t>1790</t>
  </si>
  <si>
    <t>VAT, previous year</t>
  </si>
  <si>
    <t>Cash-in-hand, central
bank balances, bank
balances and cheques</t>
  </si>
  <si>
    <t>1200</t>
  </si>
  <si>
    <t>Bank</t>
  </si>
  <si>
    <t>Deficit not covered by equity</t>
  </si>
  <si>
    <t>Equity deficit</t>
  </si>
  <si>
    <t>Total assets</t>
  </si>
  <si>
    <t>EQUITY AND LIABILITIES</t>
  </si>
  <si>
    <t>Subscribed capital</t>
  </si>
  <si>
    <t>800</t>
  </si>
  <si>
    <t>Deficit not covered</t>
  </si>
  <si>
    <t>Other provisions</t>
  </si>
  <si>
    <t>977</t>
  </si>
  <si>
    <t>Provsns period-end closing/ audit costs</t>
  </si>
  <si>
    <t>1700</t>
  </si>
  <si>
    <t>1701</t>
  </si>
  <si>
    <t>Other liabilities due w/in 1 year</t>
  </si>
  <si>
    <t>Wage and church tax payables</t>
  </si>
  <si>
    <t>Total equity and liabilities</t>
  </si>
  <si>
    <t xml:space="preserve">LTD $ </t>
  </si>
  <si>
    <t xml:space="preserve">GMBH $ </t>
  </si>
  <si>
    <t>Aurora Labs Consolidated</t>
  </si>
  <si>
    <t xml:space="preserve"> Income tax</t>
  </si>
  <si>
    <t>שע"ח $ 30.09.19</t>
  </si>
  <si>
    <t>שע"ח יורו 30.09.19</t>
  </si>
  <si>
    <t>30.09.2019</t>
  </si>
  <si>
    <t>Trade receivables</t>
  </si>
  <si>
    <t>1410</t>
  </si>
  <si>
    <t>Unpaid contributions to
subscribed capital</t>
  </si>
  <si>
    <t>830</t>
  </si>
  <si>
    <t>Unpd called capital (receivables)</t>
  </si>
  <si>
    <t>1755</t>
  </si>
  <si>
    <t>Payroll allocation</t>
  </si>
  <si>
    <t>Net income for the
financial year</t>
  </si>
  <si>
    <t>Net income for the financial year</t>
  </si>
  <si>
    <t>Net retained profits</t>
  </si>
  <si>
    <t>Provisions for taxes</t>
  </si>
  <si>
    <t>956</t>
  </si>
  <si>
    <t>Provision for trade tax, EStG s. 4(5b)</t>
  </si>
  <si>
    <t>963</t>
  </si>
  <si>
    <t>Provisions for corporate income tax</t>
  </si>
  <si>
    <t>1705</t>
  </si>
  <si>
    <t>Loans</t>
  </si>
  <si>
    <t>1740</t>
  </si>
  <si>
    <t>Payroll liabilities</t>
  </si>
  <si>
    <t>1742</t>
  </si>
  <si>
    <t>Social security liabilities</t>
  </si>
  <si>
    <t>Subcontructors GMBH</t>
  </si>
  <si>
    <t>NON - CURRENT ASSETS</t>
  </si>
  <si>
    <t>GMBH</t>
  </si>
  <si>
    <t>EURO currency</t>
  </si>
  <si>
    <t>USD currency</t>
  </si>
  <si>
    <t>KONTENNACHWEIS</t>
  </si>
  <si>
    <t>zur G.u.V. vom</t>
  </si>
  <si>
    <t>01.01.2019 bis 30.09.2019</t>
  </si>
  <si>
    <t>Geschäftsjahr</t>
  </si>
  <si>
    <t>Vorjahr</t>
  </si>
  <si>
    <t>Konto</t>
  </si>
  <si>
    <t>Bezeichnung</t>
  </si>
  <si>
    <t>Umsatzerlöse</t>
  </si>
  <si>
    <t>8338</t>
  </si>
  <si>
    <t>Sales</t>
  </si>
  <si>
    <t>Nicht steuerbare Umsätze Drittland</t>
  </si>
  <si>
    <t>Löhne und Gehälter</t>
  </si>
  <si>
    <t>4100</t>
  </si>
  <si>
    <t>Wages and salaries</t>
  </si>
  <si>
    <t>soziale Abgaben und
Aufwendungen für
Altersversorgung und
für Unterstützung</t>
  </si>
  <si>
    <t>4130</t>
  </si>
  <si>
    <t>Statutory social security expenses</t>
  </si>
  <si>
    <t>Gesetzliche Sozialaufwendungen</t>
  </si>
  <si>
    <t>4138</t>
  </si>
  <si>
    <t>Beiträge zur Berufsgenossenschaft</t>
  </si>
  <si>
    <t>Abschreibungen</t>
  </si>
  <si>
    <t>auf immaterielle Vermögens-
gegenstände des Anlage-
vermögens und Sachanlagen</t>
  </si>
  <si>
    <t>4830</t>
  </si>
  <si>
    <t>Abschreibungen auf Sachanlagen</t>
  </si>
  <si>
    <t>Raumkosten</t>
  </si>
  <si>
    <t>4210</t>
  </si>
  <si>
    <t>Rent (immovable property)</t>
  </si>
  <si>
    <t>Miete, unbewegliche Wirtschaftsgüter</t>
  </si>
  <si>
    <t>4280</t>
  </si>
  <si>
    <t>Sonstige Raumkosten</t>
  </si>
  <si>
    <t>Werbe- und Reisekosten</t>
  </si>
  <si>
    <t>4600</t>
  </si>
  <si>
    <t>Advertising costs</t>
  </si>
  <si>
    <t>Werbekosten</t>
  </si>
  <si>
    <t>4650</t>
  </si>
  <si>
    <t>Entertainment expenses</t>
  </si>
  <si>
    <t>Bewirtungskosten</t>
  </si>
  <si>
    <t>4651</t>
  </si>
  <si>
    <t>Eingeschr. abziehb.BA, abz. Anteil</t>
  </si>
  <si>
    <t>4660</t>
  </si>
  <si>
    <t>Employee travel expenses</t>
  </si>
  <si>
    <t>Reisekosten Arbeitnehmer</t>
  </si>
  <si>
    <t>4663</t>
  </si>
  <si>
    <t>Employee travel expnses, cost of travel</t>
  </si>
  <si>
    <t>Reisekosten Arbeitnehmer, Fahrtkosten</t>
  </si>
  <si>
    <t>4664</t>
  </si>
  <si>
    <t>Employee trav. expn, addnl substnc costs</t>
  </si>
  <si>
    <t>Reisekosten AN Verpfleg.mehraufwand</t>
  </si>
  <si>
    <t>4666</t>
  </si>
  <si>
    <t>Employee trav. expn, accommodation costs</t>
  </si>
  <si>
    <t>Reisekosten AN Übernachtungsaufwand</t>
  </si>
  <si>
    <t>4668</t>
  </si>
  <si>
    <t>Employee mileage reimbursement</t>
  </si>
  <si>
    <t>Kilometergelderstattung Arbeitnehmer</t>
  </si>
  <si>
    <t>Kosten der Warenabgabe</t>
  </si>
  <si>
    <t>4780</t>
  </si>
  <si>
    <t>Fremdarbeiten (Vertrieb)</t>
  </si>
  <si>
    <t>verschiedene betriebliche
Kosten</t>
  </si>
  <si>
    <t>4900</t>
  </si>
  <si>
    <t>Other operating expenses</t>
  </si>
  <si>
    <t>Sonstige betriebliche Aufwendungen</t>
  </si>
  <si>
    <t>4920</t>
  </si>
  <si>
    <t>Telephone</t>
  </si>
  <si>
    <t>Telefon</t>
  </si>
  <si>
    <t>4930</t>
  </si>
  <si>
    <t>Bürobedarf</t>
  </si>
  <si>
    <t>4950</t>
  </si>
  <si>
    <t>Legal and consulting costs</t>
  </si>
  <si>
    <t>Rechts- und Beratungskosten</t>
  </si>
  <si>
    <t>4955</t>
  </si>
  <si>
    <t>Bookkeeping costs</t>
  </si>
  <si>
    <t>Buchführungskosten</t>
  </si>
  <si>
    <t>4960</t>
  </si>
  <si>
    <t>Mieten für Einrichtungen bewegliche WG</t>
  </si>
  <si>
    <t>4970</t>
  </si>
  <si>
    <t>Incidental monetary transaction costs</t>
  </si>
  <si>
    <t>Nebenkosten des Geldverkehrs</t>
  </si>
  <si>
    <t>Jahresüberschuss</t>
  </si>
  <si>
    <t>Gewinnvortrag aus
dem Vorjahr</t>
  </si>
  <si>
    <t>2860</t>
  </si>
  <si>
    <t>Accumulated losses brought forward</t>
  </si>
  <si>
    <t>Gewinnvortrag nach Verwendung</t>
  </si>
  <si>
    <t>Bilanzgewinn</t>
  </si>
  <si>
    <t>Net accumulated losses</t>
  </si>
  <si>
    <t>Dues for professional organizations</t>
  </si>
  <si>
    <t>Depreciation on property, plant and equipment</t>
  </si>
  <si>
    <t>קוד רו"ח</t>
  </si>
  <si>
    <t>office supplies</t>
  </si>
  <si>
    <t>Net income</t>
  </si>
  <si>
    <t>Foreign operations (sales)</t>
  </si>
  <si>
    <t>Accrual for non deductible expenses</t>
  </si>
  <si>
    <t>31.12.2019</t>
  </si>
  <si>
    <t>Retained profits
brought forward</t>
  </si>
  <si>
    <t>860</t>
  </si>
  <si>
    <t>Retained profits bef apprprtn net profit</t>
  </si>
  <si>
    <t>970</t>
  </si>
  <si>
    <t>975</t>
  </si>
  <si>
    <t>1741</t>
  </si>
  <si>
    <t>of which taxes EUR 825,13</t>
  </si>
  <si>
    <t>of which due within
one year EUR 12.815,06</t>
  </si>
  <si>
    <t>Provision for accounting</t>
  </si>
  <si>
    <t>י.פ.</t>
  </si>
  <si>
    <t>לסגור מול חו"ז</t>
  </si>
  <si>
    <t>Income statement</t>
  </si>
  <si>
    <t>ACCOUNTS from</t>
  </si>
  <si>
    <t>01.01.2019 to 31.12.2019</t>
  </si>
  <si>
    <t>Tax-exempt sales 3rd country</t>
  </si>
  <si>
    <t>Social security,
post-employment and other
employee benefit costs</t>
  </si>
  <si>
    <t>Contrb. to occup. health/safety agency</t>
  </si>
  <si>
    <t>Depreciation, amortisation
and write-downs</t>
  </si>
  <si>
    <t>Amortisation and write-downs
of intangible fixed assets
and depreciation and
write downs of tangible
fixed assets</t>
  </si>
  <si>
    <t>Depreciation of tangible fixed assets</t>
  </si>
  <si>
    <t>Occupancy costs</t>
  </si>
  <si>
    <t>Advertising and travel
expenses</t>
  </si>
  <si>
    <t>Selling and distribution
expenses</t>
  </si>
  <si>
    <t>Third-party services (distribution)</t>
  </si>
  <si>
    <t>Miscellaneous operating
costs</t>
  </si>
  <si>
    <t>Office supplies</t>
  </si>
  <si>
    <t>שע"ח יורה 31.09.19</t>
  </si>
  <si>
    <t>שע"ח דולר 30.09.19</t>
  </si>
  <si>
    <t>29.02.2020</t>
  </si>
  <si>
    <t>שע"ח $ 29.02.20</t>
  </si>
  <si>
    <t>שע"ח יורו 29.02.20</t>
  </si>
  <si>
    <t>1548</t>
  </si>
  <si>
    <t>Input tax ded. following period/year</t>
  </si>
  <si>
    <t>1791</t>
  </si>
  <si>
    <t>VAT, earlier years</t>
  </si>
  <si>
    <t>Trade payables</t>
  </si>
  <si>
    <t>1610</t>
  </si>
  <si>
    <t>Trade pybls, no sep. rec./pybls accntng</t>
  </si>
  <si>
    <t>of which due within
one year EUR 3.332,00
(EUR 10.425,36)</t>
  </si>
  <si>
    <t>1665</t>
  </si>
  <si>
    <t>Liabilities to GmbH shareholders</t>
  </si>
  <si>
    <t>of which to shareholders
EUR 0,00 (EUR 20.000,00)</t>
  </si>
  <si>
    <t>of which taxes EUR 807,76
(EUR 25.363,52)</t>
  </si>
  <si>
    <t>of which social security
EUR 0,00 (EUR 3.165,08)</t>
  </si>
  <si>
    <t>of which due within
one year EUR 5.912,17
(EUR 70.216,97)</t>
  </si>
  <si>
    <t>01.01.2020 to 29.02.2020</t>
  </si>
  <si>
    <t>Advertising expenses</t>
  </si>
  <si>
    <t>Legal and consulting expenses</t>
  </si>
  <si>
    <t>LG ELECTRONICS</t>
  </si>
  <si>
    <t>UL LLC MAIN AC</t>
  </si>
  <si>
    <t>MARIUS NACHT/1</t>
  </si>
  <si>
    <t>GEMINI CAPITAL</t>
  </si>
  <si>
    <t>GANGGA OH RES</t>
  </si>
  <si>
    <t>Preferred B Shares</t>
  </si>
  <si>
    <t>MTD</t>
  </si>
  <si>
    <t>01.01.2020 to 31.03.2020</t>
  </si>
  <si>
    <t>Income from reversal
of provisions</t>
  </si>
  <si>
    <t>2735</t>
  </si>
  <si>
    <t>Income from reversal of provisions</t>
  </si>
  <si>
    <t>31.03.2020</t>
  </si>
  <si>
    <t>of which due within
one year EUR 0,00 (EUR 822,76)</t>
  </si>
  <si>
    <t>of which to shareholders
EUR 0,00 (EUR 60.000,00)</t>
  </si>
  <si>
    <t>of which taxes EUR 807,76
(EUR 27.863,88)</t>
  </si>
  <si>
    <t>of which due within
one year EUR 5.553,20
(EUR 99.414,04)</t>
  </si>
  <si>
    <t>שע"ח $ 31.03.20</t>
  </si>
  <si>
    <t>שע"ח יורו 31.03.20</t>
  </si>
  <si>
    <t>9004</t>
  </si>
  <si>
    <t>חש' COST+</t>
  </si>
  <si>
    <t>30.04.2020</t>
  </si>
  <si>
    <t>Items in transit</t>
  </si>
  <si>
    <t>Liabilities to banks</t>
  </si>
  <si>
    <t>of which due within
one year EUR 448,68 (EUR 0,00)</t>
  </si>
  <si>
    <t>of which to shareholders
EUR 0,00 (EUR 80.000,00)</t>
  </si>
  <si>
    <t>of which taxes EUR 807,76
(EUR 30.364,24)</t>
  </si>
  <si>
    <t>of which social security
EUR 0,00 (EUR 1.582,54)</t>
  </si>
  <si>
    <t>of which due within
one year EUR 5.550,20
(EUR 122.636,37)</t>
  </si>
  <si>
    <t>01.01.2020 to 30.04.2020</t>
  </si>
  <si>
    <t>חו"ז בינחברתי</t>
  </si>
  <si>
    <t>שע"ח $ 31.05.20</t>
  </si>
  <si>
    <t>31.05.2020</t>
  </si>
  <si>
    <t>שע"ח יורו 31.05.20</t>
  </si>
  <si>
    <t>1590</t>
  </si>
  <si>
    <t>of which taxes EUR 0,00
(EUR 30.826,07)</t>
  </si>
  <si>
    <t>of which due within
one year EUR 4.697,08
(EUR 121.515,66)</t>
  </si>
  <si>
    <t>שע"ח ממצוע $ 1-5.2020</t>
  </si>
  <si>
    <t>01.01.2020 to 31.05.2020</t>
  </si>
  <si>
    <t>שע"ח ממצוע יורו 1-5.2020</t>
  </si>
  <si>
    <t>Insurance premiums, fees
and contributions</t>
  </si>
  <si>
    <t>4396</t>
  </si>
  <si>
    <t>Late filing penalties/ admin. fines</t>
  </si>
  <si>
    <t>Bookkeeping expenses</t>
  </si>
  <si>
    <t>01.01.2020 to 30.06.2020</t>
  </si>
  <si>
    <t>Taxes on income</t>
  </si>
  <si>
    <t>Corporate income tax</t>
  </si>
  <si>
    <t>30.06.2020</t>
  </si>
  <si>
    <t>of which taxes EUR 0,00
(EUR 461,83)</t>
  </si>
  <si>
    <t>of which due within
one year EUR 4.697,08
(EUR 12.316,65)</t>
  </si>
  <si>
    <t>שע"ח ממצוע $ 1-6.2020</t>
  </si>
  <si>
    <t>שע"ח ממצוע יורו 1-6.2020</t>
  </si>
  <si>
    <t>;</t>
  </si>
  <si>
    <t>Porshe Dritte</t>
  </si>
  <si>
    <t>31.07.2020</t>
  </si>
  <si>
    <t>1575</t>
  </si>
  <si>
    <t>of which taxes EUR 0,00
(EUR 825,13)</t>
  </si>
  <si>
    <t>of which due within
one year EUR 4.697,08
(EUR 12.679,95)</t>
  </si>
  <si>
    <t>01.01.2020 to 31.07.2020</t>
  </si>
  <si>
    <t>2200</t>
  </si>
  <si>
    <t>שע"ח $ 31.07.20</t>
  </si>
  <si>
    <t>שע"ח יורו 31.07.20</t>
  </si>
  <si>
    <t>שע"ח ממצוע $ 1-7.2020</t>
  </si>
  <si>
    <t>שע"ח ממצוע יורו 1-7.2020</t>
  </si>
  <si>
    <t>TOYOTA TSUS</t>
  </si>
  <si>
    <t>31.08.2020</t>
  </si>
  <si>
    <t>of which due within
one year EUR 4.697,08
(EUR 18.599,15)</t>
  </si>
  <si>
    <t>01.01.2020 to 31.08.2020</t>
  </si>
  <si>
    <t>הכנסות</t>
  </si>
  <si>
    <t>30.09.2020</t>
  </si>
  <si>
    <t>01.01.2020 to 30.09.2020</t>
  </si>
  <si>
    <t>שע"ח $ 30.09.20</t>
  </si>
  <si>
    <t>שע"ח יורו 30.09.20</t>
  </si>
  <si>
    <t>1540</t>
  </si>
  <si>
    <t>Receivables from trade tax overpaymts</t>
  </si>
  <si>
    <t>Deductible input tax 16%</t>
  </si>
  <si>
    <t>Deductible input tax 19%</t>
  </si>
  <si>
    <t>of which due within
one year EUR 4.697,08
(EUR 21.504,84)</t>
  </si>
  <si>
    <t>שע"ח $ 31.10.20</t>
  </si>
  <si>
    <t>שע"ח יורו 31.10.20</t>
  </si>
  <si>
    <t>Interest and similar
expenses</t>
  </si>
  <si>
    <t>2105</t>
  </si>
  <si>
    <t>Int. expns. sec 233a AO, non-deductible</t>
  </si>
  <si>
    <t>of which due within
one year EUR 4.697,08
(EUR 17.097,17)</t>
  </si>
  <si>
    <t>Company name</t>
  </si>
  <si>
    <t>Date</t>
  </si>
  <si>
    <t>CompareDate</t>
  </si>
  <si>
    <t>exchange rate</t>
  </si>
  <si>
    <t>USD/NIS</t>
  </si>
  <si>
    <t>Euro NIS</t>
  </si>
  <si>
    <t>Sanity check - בדיקת סך בקרות הסיכום בחוברת</t>
  </si>
  <si>
    <t>חייב להיות אפס</t>
  </si>
  <si>
    <t>INTERNAL</t>
  </si>
  <si>
    <t>FINANCIAL</t>
  </si>
  <si>
    <t xml:space="preserve"> STATEMENTS</t>
  </si>
  <si>
    <t>UNAUDITED</t>
  </si>
  <si>
    <t>Revenue from the sale of fixed assets</t>
  </si>
  <si>
    <t>.</t>
  </si>
  <si>
    <t>2208</t>
  </si>
  <si>
    <t>Solidarity surcharge</t>
  </si>
  <si>
    <t>1789</t>
  </si>
  <si>
    <t>VAT, current year</t>
  </si>
  <si>
    <t>4260</t>
  </si>
  <si>
    <t>Maintenance of operating premises</t>
  </si>
  <si>
    <t>4957</t>
  </si>
  <si>
    <t>Period-end closing and audit costs</t>
  </si>
  <si>
    <t>4320</t>
  </si>
  <si>
    <t>Trade tax</t>
  </si>
  <si>
    <t>הוצאה</t>
  </si>
  <si>
    <t>Other equity
and liabilities</t>
  </si>
  <si>
    <t>4120</t>
  </si>
  <si>
    <t>תואם לריכוז יתרות 30.06.20</t>
  </si>
  <si>
    <t>תואם לריכוז יתרות 30.06.21</t>
  </si>
  <si>
    <t>תואם לריכוז יתרות 30.06.22</t>
  </si>
  <si>
    <t>תואם לריכוז יתרות 30.06.23</t>
  </si>
  <si>
    <t>תואם לריכוז יתרות 30.06.24</t>
  </si>
  <si>
    <t>תואם לריכוז יתרות 30.06.25</t>
  </si>
  <si>
    <t>תואם לריכוז יתרות 30.06.26</t>
  </si>
  <si>
    <t>תואם לריכוז יתרות 30.06.27</t>
  </si>
  <si>
    <t>תואם לריכוז יתרות 30.06.28</t>
  </si>
  <si>
    <t>תואם לריכוז יתרות 30.06.29</t>
  </si>
  <si>
    <t>תואם לריכוז יתרות 30.06.30</t>
  </si>
  <si>
    <t>תואם לריכוז יתרות 30.06.31</t>
  </si>
  <si>
    <t>תואם לריכוז יתרות 30.06.32</t>
  </si>
  <si>
    <t>תואם לריכוז יתרות 30.06.33</t>
  </si>
  <si>
    <t>תואם לריכוז יתרות 30.06.34</t>
  </si>
  <si>
    <t>תואם לריכוז יתרות 30.06.35</t>
  </si>
  <si>
    <t>תואם לריכוז יתרות 30.06.36</t>
  </si>
  <si>
    <t>תואם לריכוז יתרות 30.06.37</t>
  </si>
  <si>
    <t>תואם לריכוז יתרות 30.06.38</t>
  </si>
  <si>
    <t>תואם לריכוז יתרות 30.06.39</t>
  </si>
  <si>
    <t>תואם לריכוז יתרות 30.06.40</t>
  </si>
  <si>
    <t>תואם לריכוז יתרות 30.06.41</t>
  </si>
  <si>
    <t>תואם לריכוז יתרות 30.06.42</t>
  </si>
  <si>
    <t>תואם לריכוז יתרות 30.06.43</t>
  </si>
  <si>
    <t>תואם לריכוז יתרות 30.06.44</t>
  </si>
  <si>
    <t>תואם לריכוז יתרות 30.06.45</t>
  </si>
  <si>
    <t>תואם לריכוז יתרות 30.06.46</t>
  </si>
  <si>
    <t>תואם לריכוז יתרות 30.06.47</t>
  </si>
  <si>
    <t>תואם לריכוז יתרות 30.06.48</t>
  </si>
  <si>
    <t>תואם לריכוז יתרות 30.06.49</t>
  </si>
  <si>
    <t>תואם לריכוז יתרות 30.06.50</t>
  </si>
  <si>
    <t>תואם לריכוז יתרות 30.06.51</t>
  </si>
  <si>
    <t>תואם לריכוז יתרות 30.06.52</t>
  </si>
  <si>
    <t>תואם לריכוז יתרות 30.06.53</t>
  </si>
  <si>
    <t>תואם לריכוז יתרות 30.06.54</t>
  </si>
  <si>
    <t>תואם לריכוז יתרות 30.06.55</t>
  </si>
  <si>
    <t>תואם לריכוז יתרות 30.06.56</t>
  </si>
  <si>
    <t>תואם לריכוז יתרות 30.06.57</t>
  </si>
  <si>
    <t>תואם לריכוז יתרות 30.06.58</t>
  </si>
  <si>
    <t>תואם לריכוז יתרות 30.06.59</t>
  </si>
  <si>
    <t>תואם לריכוז יתרות 30.06.60</t>
  </si>
  <si>
    <t>תואם לריכוז יתרות 30.06.61</t>
  </si>
  <si>
    <t>תואם לריכוז יתרות 30.06.62</t>
  </si>
  <si>
    <t>תואם לריכוז יתרות 30.06.63</t>
  </si>
  <si>
    <t>תואם לריכוז יתרות 30.06.64</t>
  </si>
  <si>
    <t>תואם לריכוז יתרות 30.06.65</t>
  </si>
  <si>
    <t>תואם לריכוז יתרות 30.06.66</t>
  </si>
  <si>
    <t>תואם לריכוז יתרות 30.06.67</t>
  </si>
  <si>
    <t>תואם לריכוז יתרות 30.06.68</t>
  </si>
  <si>
    <t>תואם לריכוז יתרות 30.06.69</t>
  </si>
  <si>
    <t>תואם לריכוז יתרות 30.06.70</t>
  </si>
  <si>
    <t>תואם לריכוז יתרות 30.06.71</t>
  </si>
  <si>
    <t>תואם לריכוז יתרות 30.06.72</t>
  </si>
  <si>
    <t>תואם לריכוז יתרות 30.06.73</t>
  </si>
  <si>
    <t>תואם לריכוז יתרות 30.06.74</t>
  </si>
  <si>
    <t>תואם לריכוז יתרות 30.06.75</t>
  </si>
  <si>
    <t>תואם לריכוז יתרות 30.06.76</t>
  </si>
  <si>
    <t>תואם לריכוז יתרות 30.06.77</t>
  </si>
  <si>
    <t>תואם לריכוז יתרות 30.06.78</t>
  </si>
  <si>
    <t>תואם לריכוז יתרות 30.06.79</t>
  </si>
  <si>
    <t>תואם לריכוז יתרות 30.06.80</t>
  </si>
  <si>
    <t>תואם לריכוז יתרות 30.06.81</t>
  </si>
  <si>
    <t>תואם לריכוז יתרות 30.06.82</t>
  </si>
  <si>
    <t>תואם לריכוז יתרות 30.06.83</t>
  </si>
  <si>
    <t>תואם לריכוז יתרות 30.06.84</t>
  </si>
  <si>
    <t>תואם לריכוז יתרות 30.06.85</t>
  </si>
  <si>
    <t>תואם לריכוז יתרות 30.06.86</t>
  </si>
  <si>
    <t>תואם לריכוז יתרות 30.06.87</t>
  </si>
  <si>
    <t>תואם לריכוז יתרות 30.06.88</t>
  </si>
  <si>
    <t>תואם לריכוז יתרות 30.06.89</t>
  </si>
  <si>
    <t>תואם לריכוז יתרות 30.06.90</t>
  </si>
  <si>
    <t>תואם לריכוז יתרות 30.06.91</t>
  </si>
  <si>
    <t>תואם לריכוז יתרות 30.06.92</t>
  </si>
  <si>
    <t>תואם לריכוז יתרות 30.06.93</t>
  </si>
  <si>
    <t>תואם לריכוז יתרות 30.06.94</t>
  </si>
  <si>
    <t>תואם לריכוז יתרות 30.06.95</t>
  </si>
  <si>
    <t>תואם לריכוז יתרות 30.06.96</t>
  </si>
  <si>
    <t>תואם לריכוז יתרות 30.06.97</t>
  </si>
  <si>
    <t>תואם לריכוז יתרות 30.06.98</t>
  </si>
  <si>
    <t>תואם לריכוז יתרות 30.06.99</t>
  </si>
  <si>
    <t>תואם לריכוז יתרות 30.06.100</t>
  </si>
  <si>
    <t>תואם לריכוז יתרות 30.06.101</t>
  </si>
  <si>
    <t>תואם לריכוז יתרות 30.06.102</t>
  </si>
  <si>
    <t>תואם לריכוז יתרות 30.06.103</t>
  </si>
  <si>
    <t>תואם לריכוז יתרות 30.06.104</t>
  </si>
  <si>
    <t>תואם לריכוז יתרות 30.06.105</t>
  </si>
  <si>
    <t>תואם לריכוז יתרות 30.06.106</t>
  </si>
  <si>
    <t>תואם לריכוז יתרות 30.06.107</t>
  </si>
  <si>
    <t>תואם לריכוז יתרות 30.06.108</t>
  </si>
  <si>
    <t>תואם לריכוז יתרות 30.06.109</t>
  </si>
  <si>
    <t>תואם לריכוז יתרות 30.06.110</t>
  </si>
  <si>
    <t>תואם לריכוז יתרות 30.06.111</t>
  </si>
  <si>
    <t>תואם לריכוז יתרות 30.06.112</t>
  </si>
  <si>
    <t>תואם לריכוז יתרות 30.06.113</t>
  </si>
  <si>
    <t>תואם לריכוז יתרות 30.06.114</t>
  </si>
  <si>
    <t>תואם לריכוז יתרות 30.06.115</t>
  </si>
  <si>
    <t>תואם לריכוז יתרות 30.06.116</t>
  </si>
  <si>
    <t>תואם לריכוז יתרות 30.06.117</t>
  </si>
  <si>
    <t>תואם לריכוז יתרות 30.06.118</t>
  </si>
  <si>
    <t>תואם לריכוז יתרות 30.06.119</t>
  </si>
  <si>
    <t>תואם לריכוז יתרות 30.06.120</t>
  </si>
  <si>
    <t>תואם לריכוז יתרות 30.06.121</t>
  </si>
  <si>
    <t>תואם לריכוז יתרות 30.06.122</t>
  </si>
  <si>
    <t>תואם לריכוז יתרות 30.06.123</t>
  </si>
  <si>
    <t>תואם לריכוז יתרות 30.06.124</t>
  </si>
  <si>
    <t>תואם לריכוז יתרות 30.06.125</t>
  </si>
  <si>
    <t>תואם לריכוז יתרות 30.06.126</t>
  </si>
  <si>
    <t>תואם לריכוז יתרות 30.06.127</t>
  </si>
  <si>
    <t>תואם לריכוז יתרות 30.06.128</t>
  </si>
  <si>
    <t>תואם לריכוז יתרות 30.06.129</t>
  </si>
  <si>
    <t>תואם לריכוז יתרות 30.06.130</t>
  </si>
  <si>
    <t>תואם לריכוז יתרות 30.06.131</t>
  </si>
  <si>
    <t>תואם לריכוז יתרות 30.06.132</t>
  </si>
  <si>
    <t>תואם לריכוז יתרות 30.06.133</t>
  </si>
  <si>
    <t>תואם לריכוז יתרות 30.06.134</t>
  </si>
  <si>
    <t>תואם לריכוז יתרות 30.06.135</t>
  </si>
  <si>
    <t>תואם לריכוז יתרות 30.06.136</t>
  </si>
  <si>
    <t>תואם לריכוז יתרות 30.06.137</t>
  </si>
  <si>
    <t>תואם לריכוז יתרות 30.06.138</t>
  </si>
  <si>
    <t>תואם לריכוז יתרות 30.06.139</t>
  </si>
  <si>
    <t>תואם לריכוז יתרות 30.06.140</t>
  </si>
  <si>
    <t>תואם לריכוז יתרות 30.06.141</t>
  </si>
  <si>
    <t>תואם לריכוז יתרות 30.06.142</t>
  </si>
  <si>
    <t>תואם לריכוז יתרות 30.06.143</t>
  </si>
  <si>
    <t>תואם לריכוז יתרות 30.06.144</t>
  </si>
  <si>
    <t>תואם לריכוז יתרות 30.06.145</t>
  </si>
  <si>
    <t>תואם לריכוז יתרות 30.06.146</t>
  </si>
  <si>
    <t>תואם לריכוז יתרות 30.06.147</t>
  </si>
  <si>
    <t>תואם לריכוז יתרות 30.06.148</t>
  </si>
  <si>
    <t>תואם לריכוז יתרות 30.06.149</t>
  </si>
  <si>
    <t>תואם לריכוז יתרות 30.06.150</t>
  </si>
  <si>
    <t>תואם לריכוז יתרות 30.06.151</t>
  </si>
  <si>
    <t>תואם לריכוז יתרות 30.06.152</t>
  </si>
  <si>
    <t>תואם לריכוז יתרות 30.06.153</t>
  </si>
  <si>
    <t>תואם לריכוז יתרות 30.06.154</t>
  </si>
  <si>
    <t>תואם לריכוז יתרות 30.06.155</t>
  </si>
  <si>
    <t>תואם לריכוז יתרות 30.06.156</t>
  </si>
  <si>
    <t>תואם לריכוז יתרות 30.06.157</t>
  </si>
  <si>
    <t>תואם לריכוז יתרות 30.06.158</t>
  </si>
  <si>
    <t>תואם לריכוז יתרות 30.06.159</t>
  </si>
  <si>
    <t>תואם לריכוז יתרות 30.06.160</t>
  </si>
  <si>
    <t>תואם לריכוז יתרות 30.06.161</t>
  </si>
  <si>
    <t>תואם לריכוז יתרות 30.06.162</t>
  </si>
  <si>
    <t>תואם לריכוז יתרות 30.06.163</t>
  </si>
  <si>
    <t>תואם לריכוז יתרות 30.06.164</t>
  </si>
  <si>
    <t>תואם לריכוז יתרות 30.06.165</t>
  </si>
  <si>
    <t>תואם לריכוז יתרות 30.06.166</t>
  </si>
  <si>
    <t>תואם לריכוז יתרות 30.06.167</t>
  </si>
  <si>
    <t>תואם לריכוז יתרות 30.06.168</t>
  </si>
  <si>
    <t>תואם לריכוז יתרות 30.06.169</t>
  </si>
  <si>
    <t>תואם לריכוז יתרות 30.06.170</t>
  </si>
  <si>
    <t>תואם לריכוז יתרות 30.06.171</t>
  </si>
  <si>
    <t>תואם לריכוז יתרות 30.06.172</t>
  </si>
  <si>
    <t>תואם לריכוז יתרות 30.06.173</t>
  </si>
  <si>
    <t>תואם לריכוז יתרות 30.06.174</t>
  </si>
  <si>
    <t>תואם לריכוז יתרות 30.06.175</t>
  </si>
  <si>
    <t>תואם לריכוז יתרות 30.06.176</t>
  </si>
  <si>
    <t>תואם לריכוז יתרות 30.06.177</t>
  </si>
  <si>
    <t>תואם לריכוז יתרות 30.06.178</t>
  </si>
  <si>
    <t>תואם לריכוז יתרות 30.06.179</t>
  </si>
  <si>
    <t>תואם לריכוז יתרות 30.06.180</t>
  </si>
  <si>
    <t>תואם לריכוז יתרות 30.06.181</t>
  </si>
  <si>
    <t>תואם לריכוז יתרות 30.06.182</t>
  </si>
  <si>
    <t>תואם לריכוז יתרות 30.06.183</t>
  </si>
  <si>
    <t>תואם לריכוז יתרות 30.06.184</t>
  </si>
  <si>
    <t>תואם לריכוז יתרות 30.06.185</t>
  </si>
  <si>
    <t>תואם לריכוז יתרות 30.06.186</t>
  </si>
  <si>
    <t>תואם לריכוז יתרות 30.06.187</t>
  </si>
  <si>
    <t>תואם לריכוז יתרות 30.06.188</t>
  </si>
  <si>
    <t>תואם לריכוז יתרות 30.06.189</t>
  </si>
  <si>
    <t>תואם לריכוז יתרות 30.06.190</t>
  </si>
  <si>
    <t>תואם לריכוז יתרות 30.06.191</t>
  </si>
  <si>
    <t>תואם לריכוז יתרות 30.06.192</t>
  </si>
  <si>
    <t>תואם לריכוז יתרות 30.06.193</t>
  </si>
  <si>
    <t>תואם לריכוז יתרות 30.06.194</t>
  </si>
  <si>
    <t>תואם לריכוז יתרות 30.06.195</t>
  </si>
  <si>
    <t>תואם לריכוז יתרות 30.06.196</t>
  </si>
  <si>
    <t>תואם לריכוז יתרות 30.06.197</t>
  </si>
  <si>
    <t>תואם לריכוז יתרות 30.06.198</t>
  </si>
  <si>
    <t>תואם לריכוז יתרות 30.06.199</t>
  </si>
  <si>
    <t>תואם לריכוז יתרות 30.06.200</t>
  </si>
  <si>
    <t>תואם לריכוז יתרות 30.06.201</t>
  </si>
  <si>
    <t>תואם לריכוז יתרות 30.06.202</t>
  </si>
  <si>
    <t>תואם לריכוז יתרות 30.06.203</t>
  </si>
  <si>
    <t>תואם לריכוז יתרות 30.06.204</t>
  </si>
  <si>
    <t>תואם לריכוז יתרות 30.06.205</t>
  </si>
  <si>
    <t>תואם לריכוז יתרות 30.06.206</t>
  </si>
  <si>
    <t>תואם לריכוז יתרות 30.06.207</t>
  </si>
  <si>
    <t>תואם לריכוז יתרות 30.06.208</t>
  </si>
  <si>
    <t>תואם לריכוז יתרות 30.06.209</t>
  </si>
  <si>
    <t>תואם לריכוז יתרות 30.06.210</t>
  </si>
  <si>
    <t>תואם לריכוז יתרות 30.06.211</t>
  </si>
  <si>
    <t>תואם לריכוז יתרות 30.06.212</t>
  </si>
  <si>
    <t>תואם לריכוז יתרות 30.06.213</t>
  </si>
  <si>
    <t>תואם לריכוז יתרות 30.06.214</t>
  </si>
  <si>
    <t>תואם לריכוז יתרות 30.06.215</t>
  </si>
  <si>
    <t>תואם לריכוז יתרות 30.06.216</t>
  </si>
  <si>
    <t>תואם לריכוז יתרות 30.06.217</t>
  </si>
  <si>
    <t>תואם לריכוז יתרות 30.06.218</t>
  </si>
  <si>
    <t>תואם לריכוז יתרות 30.06.219</t>
  </si>
  <si>
    <t>Investment in the subsidiary for a share-based payment</t>
  </si>
  <si>
    <t>Capital fund for share-based payment</t>
  </si>
  <si>
    <t>תואם לריכוז יתרות 30.06.220</t>
  </si>
  <si>
    <t>תואם לריכוז יתרות 30.06.221</t>
  </si>
  <si>
    <t>תואם לריכוז יתרות 30.06.222</t>
  </si>
  <si>
    <t>תואם לריכוז יתרות 30.06.223</t>
  </si>
  <si>
    <t>תואם לריכוז יתרות 30.06.224</t>
  </si>
  <si>
    <t>2375</t>
  </si>
  <si>
    <t>פקודה קבועה עד להעברה בספרים של GMBH</t>
  </si>
  <si>
    <t>Aurora Labs Germany GmbH Entwicklung und Vertrieb von Software, München</t>
  </si>
  <si>
    <t>N-tx dedctbl l.filg. penlts/admin. fines</t>
  </si>
  <si>
    <t>Non-deductible business expenses</t>
  </si>
  <si>
    <t>Other interest and
similar income</t>
  </si>
  <si>
    <t>Other interest and similar income</t>
  </si>
  <si>
    <t>Consulting</t>
  </si>
  <si>
    <t>Liabilities from taxes and levies</t>
  </si>
  <si>
    <t>יחס 31.12.2021</t>
  </si>
  <si>
    <t>Interim Balance Sheet Accounts as at 31/03/2022</t>
  </si>
  <si>
    <t xml:space="preserve">
ASSETS</t>
  </si>
  <si>
    <t>Financial Year
EUR</t>
  </si>
  <si>
    <t>Prior Year
EUR</t>
  </si>
  <si>
    <t>Noncurrent assets</t>
  </si>
  <si>
    <t>1.00</t>
  </si>
  <si>
    <t>211.75</t>
  </si>
  <si>
    <t>Current assets</t>
  </si>
  <si>
    <t>2,399.29</t>
  </si>
  <si>
    <t>1,285.12</t>
  </si>
  <si>
    <t>45,754.26</t>
  </si>
  <si>
    <t>45,067.52</t>
  </si>
  <si>
    <t>0.00</t>
  </si>
  <si>
    <t>324.50</t>
  </si>
  <si>
    <t>171.32</t>
  </si>
  <si>
    <t>Reclaimed corporate income tax</t>
  </si>
  <si>
    <t>205.82</t>
  </si>
  <si>
    <t>155.08</t>
  </si>
  <si>
    <t>2,270.97</t>
  </si>
  <si>
    <t>48,308.63</t>
  </si>
  <si>
    <t>49,325.25</t>
  </si>
  <si>
    <t>149.46</t>
  </si>
  <si>
    <t>638.97</t>
  </si>
  <si>
    <t>1,480.10</t>
  </si>
  <si>
    <t>3,078.63</t>
  </si>
  <si>
    <t>771.66</t>
  </si>
  <si>
    <t>3,867.06</t>
  </si>
  <si>
    <t>2,251.76</t>
  </si>
  <si>
    <t>52,175.69</t>
  </si>
  <si>
    <t>51,577.01</t>
  </si>
  <si>
    <t>52,501.19</t>
  </si>
  <si>
    <t>51,788.76</t>
  </si>
  <si>
    <t>TOTAL EQUITY AND LIABILITIES</t>
  </si>
  <si>
    <t>Equity</t>
  </si>
  <si>
    <t>2,383.31</t>
  </si>
  <si>
    <t>2,425.06</t>
  </si>
  <si>
    <t>25,000.00</t>
  </si>
  <si>
    <t>24,578.41</t>
  </si>
  <si>
    <t>17,586.45</t>
  </si>
  <si>
    <t>51,961.72</t>
  </si>
  <si>
    <t>45,011.51</t>
  </si>
  <si>
    <t>Provisions</t>
  </si>
  <si>
    <t>73.00</t>
  </si>
  <si>
    <t>293.47</t>
  </si>
  <si>
    <t>1,187.93</t>
  </si>
  <si>
    <t>172.00</t>
  </si>
  <si>
    <t>3,250.00</t>
  </si>
  <si>
    <t>538.47</t>
  </si>
  <si>
    <t>4,437.93</t>
  </si>
  <si>
    <t>Liabilities</t>
  </si>
  <si>
    <t>2,306.12</t>
  </si>
  <si>
    <t xml:space="preserve"> of which remaining term up to 1 year EUR 1.00 (EUR 2,306.12)</t>
  </si>
  <si>
    <t xml:space="preserve"> Trade pybls, no sep. rec./pybls accntng</t>
  </si>
  <si>
    <t xml:space="preserve"> Wage and church tax payables</t>
  </si>
  <si>
    <t>Other equity and liabilities</t>
  </si>
  <si>
    <t>33.20</t>
  </si>
  <si>
    <t>R&amp;D options expenses</t>
  </si>
  <si>
    <t>S&amp;M options expenses</t>
  </si>
  <si>
    <t>G&amp;A options expenses</t>
  </si>
  <si>
    <t>I/C adjustment</t>
  </si>
  <si>
    <t xml:space="preserve">שע"ח $  </t>
  </si>
  <si>
    <t xml:space="preserve">שע"ח יורו  </t>
  </si>
  <si>
    <t xml:space="preserve">יחס </t>
  </si>
  <si>
    <t>MOORE STRATEGI</t>
  </si>
  <si>
    <t>COLMOBIL LTD</t>
  </si>
  <si>
    <t>NANYAH CARS LT</t>
  </si>
  <si>
    <t>Preferred C Shares</t>
  </si>
  <si>
    <t>הוצאות מראש בגין ביטוח מוצר של MARSH לתקופה של 15.09.21-15.09-24</t>
  </si>
  <si>
    <t>Insurance premiums</t>
  </si>
  <si>
    <t>דולר</t>
  </si>
  <si>
    <t xml:space="preserve">אירו </t>
  </si>
  <si>
    <t>הרכב אחרי סגירת דוח שנתי</t>
  </si>
  <si>
    <t>פרטים</t>
  </si>
  <si>
    <t>תאריך תחילה</t>
  </si>
  <si>
    <t>תאריך סיום</t>
  </si>
  <si>
    <t>תאריך חתך</t>
  </si>
  <si>
    <t>סה"כ ימים</t>
  </si>
  <si>
    <t>יתרת ימים</t>
  </si>
  <si>
    <t>יתרת סגירה הוצאות מראש (מחושב, צ"ל)</t>
  </si>
  <si>
    <t>יתרה שנה קודמת + רישום שוטף (SAP)</t>
  </si>
  <si>
    <t>להפחתה החודש</t>
  </si>
  <si>
    <t>מס' חשבון</t>
  </si>
  <si>
    <t>הוצאות הנפקה</t>
  </si>
  <si>
    <r>
      <rPr>
        <b/>
        <u/>
        <sz val="11"/>
        <color indexed="8"/>
        <rFont val="Arial"/>
        <family val="2"/>
      </rPr>
      <t>ספק-שבלת ושות'</t>
    </r>
    <r>
      <rPr>
        <sz val="10"/>
        <rFont val="Arial"/>
        <family val="2"/>
      </rPr>
      <t xml:space="preserve"> </t>
    </r>
  </si>
  <si>
    <t>שע"ח</t>
  </si>
  <si>
    <t>חשבונת מס/קבלה</t>
  </si>
  <si>
    <t>סה"כ לפני הנחה</t>
  </si>
  <si>
    <t>מיוחס להוצאות הנפקה</t>
  </si>
  <si>
    <t>הוצאות הנפקה אחרי הנחה של 20%</t>
  </si>
  <si>
    <t xml:space="preserve">הפרשים </t>
  </si>
  <si>
    <t xml:space="preserve">סה"כ אחרי הנחה </t>
  </si>
  <si>
    <t xml:space="preserve">הערות </t>
  </si>
  <si>
    <t>הפרשי חודש ספטמבר-20</t>
  </si>
  <si>
    <t>הפרשי חודש אוגוסט-20</t>
  </si>
  <si>
    <t>-</t>
  </si>
  <si>
    <t>רייטינר 9-20</t>
  </si>
  <si>
    <t>רייטינר 10-20</t>
  </si>
  <si>
    <t>MARSH</t>
  </si>
  <si>
    <t>סכום מקורי דולר</t>
  </si>
  <si>
    <t>Advance expenses for MARSH product insurance for the period of 09.15-21-09-15-24</t>
  </si>
  <si>
    <t xml:space="preserve"> Balance Sheet Accounts as at  31/10/2022</t>
  </si>
  <si>
    <t>Bank Hapoalim NIS</t>
  </si>
  <si>
    <t>Bank Hapoalim $</t>
  </si>
  <si>
    <t>Bank Hapoalim EURO</t>
  </si>
  <si>
    <t>Bank Hapoalim Deposit</t>
  </si>
  <si>
    <t>Customers</t>
  </si>
  <si>
    <t>Other Debtors</t>
  </si>
  <si>
    <t>Prepaid expense</t>
  </si>
  <si>
    <t>Deposit for Rent</t>
  </si>
  <si>
    <t>Income Tax Advances</t>
  </si>
  <si>
    <t>Deduction at Source Cust.</t>
  </si>
  <si>
    <t>Advances - Income Tax</t>
  </si>
  <si>
    <t>Non deductible expenses 2021</t>
  </si>
  <si>
    <t>Non deductible expenses 2022</t>
  </si>
  <si>
    <t>VAT on Input</t>
  </si>
  <si>
    <t>VAT on Input Fixed Assets</t>
  </si>
  <si>
    <t>VAT provission for debit vendors</t>
  </si>
  <si>
    <t>Loan Asia Binygoyev</t>
  </si>
  <si>
    <t>Investment GMBH</t>
  </si>
  <si>
    <t>Computers &amp; Softwares</t>
  </si>
  <si>
    <t>Furniture &amp; Office Equipment</t>
  </si>
  <si>
    <t>Accumulated Depreciation Computers &amp; Softwares</t>
  </si>
  <si>
    <t>accumulated depreciation Electronic equipment</t>
  </si>
  <si>
    <t>accumulated depreciation Furniture &amp; Office Equipment</t>
  </si>
  <si>
    <t>Suppliers</t>
  </si>
  <si>
    <t>Provision for vendors in debit</t>
  </si>
  <si>
    <t>Credit Card 9239</t>
  </si>
  <si>
    <t>Credit Card 6523</t>
  </si>
  <si>
    <t xml:space="preserve">Credit Card 6523ִ $ </t>
  </si>
  <si>
    <t>Provision for vacation</t>
  </si>
  <si>
    <t>Provision for Convalescence</t>
  </si>
  <si>
    <t>Deductions Social Security</t>
  </si>
  <si>
    <t>Income Tax Deductions</t>
  </si>
  <si>
    <t>Employee Ori Lederman</t>
  </si>
  <si>
    <t>Employee Zohar Fox</t>
  </si>
  <si>
    <t>Employee Kfir Ben Shimon</t>
  </si>
  <si>
    <t>Employee Carmit Pikalni</t>
  </si>
  <si>
    <t>Karmeli Ori</t>
  </si>
  <si>
    <t>Cherpes Zorik</t>
  </si>
  <si>
    <t>Employee Mandel Eliyahu</t>
  </si>
  <si>
    <t>Employee Rosenbaum Rami</t>
  </si>
  <si>
    <t>Employee Ordman Roger Michael</t>
  </si>
  <si>
    <t>Orli Ben Ari</t>
  </si>
  <si>
    <t>Sokoler Oren</t>
  </si>
  <si>
    <t>Avidan Tal</t>
  </si>
  <si>
    <t>Snior Sahar</t>
  </si>
  <si>
    <t>Shiovitz Noam</t>
  </si>
  <si>
    <t>Levin Claudia</t>
  </si>
  <si>
    <t>Tymonina Maria</t>
  </si>
  <si>
    <t>Ben Shoshan Yishai</t>
  </si>
  <si>
    <t>Bixenshpaner Hillary</t>
  </si>
  <si>
    <t>Martin Israel</t>
  </si>
  <si>
    <t>Morav Gregory</t>
  </si>
  <si>
    <t>SADA BROCH</t>
  </si>
  <si>
    <t>GORNLK OMER</t>
  </si>
  <si>
    <t>Yitzkan Assaf</t>
  </si>
  <si>
    <t>Naman Erz</t>
  </si>
  <si>
    <t>Baruch gil</t>
  </si>
  <si>
    <t>Arnon Rotem</t>
  </si>
  <si>
    <t>Nami Hezekiah</t>
  </si>
  <si>
    <t>Barak Rani</t>
  </si>
  <si>
    <t>Avraham Sagiv</t>
  </si>
  <si>
    <t>Kiryev Alexander</t>
  </si>
  <si>
    <t>Lupo Aviram Sivan</t>
  </si>
  <si>
    <t>Sturdy oak</t>
  </si>
  <si>
    <t>Livnat Rene</t>
  </si>
  <si>
    <t>Katz Yehonatan</t>
  </si>
  <si>
    <t>Yaakobi Itamar</t>
  </si>
  <si>
    <t>Bernstein Abraham</t>
  </si>
  <si>
    <t>Elisha Yossi</t>
  </si>
  <si>
    <t>Waldman Mosh</t>
  </si>
  <si>
    <t>Baruch Gil</t>
  </si>
  <si>
    <t>Shlavi Mirvah</t>
  </si>
  <si>
    <t>Vrublevsky Jonathan</t>
  </si>
  <si>
    <t>Zagagi Sagi</t>
  </si>
  <si>
    <t>Hait Moore</t>
  </si>
  <si>
    <t>Raz David</t>
  </si>
  <si>
    <t>Binyegayev Asia</t>
  </si>
  <si>
    <t>Itamar Stoller</t>
  </si>
  <si>
    <t>Orgel Ofer</t>
  </si>
  <si>
    <t>Eliav Rei Yonatan</t>
  </si>
  <si>
    <t>Daniel Goldman</t>
  </si>
  <si>
    <t>Yona Daniel</t>
  </si>
  <si>
    <t>Assayag Ayala</t>
  </si>
  <si>
    <t>Yulevitz Saar</t>
  </si>
  <si>
    <t>Refaelov Eden</t>
  </si>
  <si>
    <t>Greenspan Tali</t>
  </si>
  <si>
    <t>Rosenberg Yevgeny</t>
  </si>
  <si>
    <t>Zichel Shifra</t>
  </si>
  <si>
    <t>Misha Doron</t>
  </si>
  <si>
    <t>Shem Tov Hagar</t>
  </si>
  <si>
    <t>Sakharov Tal</t>
  </si>
  <si>
    <t>Ohayon Yochai</t>
  </si>
  <si>
    <t>Levi Eitan</t>
  </si>
  <si>
    <t>Altshuler Shaham</t>
  </si>
  <si>
    <t>Altshuler Advanced Study Fund</t>
  </si>
  <si>
    <t>Eilon- Insurance Company</t>
  </si>
  <si>
    <t>Clal Insurance Company</t>
  </si>
  <si>
    <t>Clal Pension</t>
  </si>
  <si>
    <t>Migdal Makefet Insurance Company (Personal)</t>
  </si>
  <si>
    <t>Fnx-Insurance Company</t>
  </si>
  <si>
    <t>migdal-Insurance Company</t>
  </si>
  <si>
    <t>Yalin Lapidot-Education fund</t>
  </si>
  <si>
    <t>Fnx-Comprehensive pension</t>
  </si>
  <si>
    <t>Provident fund</t>
  </si>
  <si>
    <t>Harel Gilad pension</t>
  </si>
  <si>
    <t>Harel Insurance</t>
  </si>
  <si>
    <t>MeitavDash pension</t>
  </si>
  <si>
    <t>IBI extension of study</t>
  </si>
  <si>
    <t>Psagot pension fund</t>
  </si>
  <si>
    <t>Altshuler</t>
  </si>
  <si>
    <t>MOR</t>
  </si>
  <si>
    <t>MOR pension fund</t>
  </si>
  <si>
    <t>helman</t>
  </si>
  <si>
    <t>Alman Aldony</t>
  </si>
  <si>
    <t>I.B.R funds</t>
  </si>
  <si>
    <t>I.R. Funds</t>
  </si>
  <si>
    <t>clal Funds</t>
  </si>
  <si>
    <t>Excellence</t>
  </si>
  <si>
    <t>metab dash</t>
  </si>
  <si>
    <t>klal tmar</t>
  </si>
  <si>
    <t>Analyst</t>
  </si>
  <si>
    <t>Harel Pension</t>
  </si>
  <si>
    <t>HISHTALMUT KLALIT</t>
  </si>
  <si>
    <t>Fnx Pension</t>
  </si>
  <si>
    <t>Comprehensive Moore</t>
  </si>
  <si>
    <t>D/C intercompany balance</t>
  </si>
  <si>
    <t>Payable expenses</t>
  </si>
  <si>
    <t>Lt. Col. Sid</t>
  </si>
  <si>
    <t>Preferred Shares A</t>
  </si>
  <si>
    <t>Debtors for shares</t>
  </si>
  <si>
    <t>Flight VC Angellist-invesment</t>
  </si>
  <si>
    <t>MVH Holddings-investment</t>
  </si>
  <si>
    <t>Expansion VC-invesment</t>
  </si>
  <si>
    <t>Trucks VC-invesment</t>
  </si>
  <si>
    <t>Maniv Mobility- investment</t>
  </si>
  <si>
    <t>MizMaa-investment</t>
  </si>
  <si>
    <t>Allied Holdings Ltd.</t>
  </si>
  <si>
    <t>Issue expenses</t>
  </si>
  <si>
    <t>Lior Elkan was recruited</t>
  </si>
  <si>
    <t>Exercise of Oren Ronit option</t>
  </si>
  <si>
    <t>Exercise of shgia option</t>
  </si>
  <si>
    <t xml:space="preserve">S.H.R. Motorization </t>
  </si>
  <si>
    <t>Exercise of Amos Rosemary  option</t>
  </si>
  <si>
    <t>Exempt Local Sales</t>
  </si>
  <si>
    <t>Training Revenues</t>
  </si>
  <si>
    <t>Contracting Revenues</t>
  </si>
  <si>
    <t>Self-invoice</t>
  </si>
  <si>
    <t>Vacation expenses</t>
  </si>
  <si>
    <t>R&amp;D convalescence expenses</t>
  </si>
  <si>
    <t>Conference &amp; Training R&amp;D</t>
  </si>
  <si>
    <t>Refund Psagot Provident Funds</t>
  </si>
  <si>
    <t>Research and development Wage</t>
  </si>
  <si>
    <t>Research and development national insurancet</t>
  </si>
  <si>
    <t>Research and development-Worth debit</t>
  </si>
  <si>
    <t>Research and development-Worth credit</t>
  </si>
  <si>
    <t>Employment compensation-Research and development</t>
  </si>
  <si>
    <t>study fund-Research and development</t>
  </si>
  <si>
    <t>Compensation management-Research and development</t>
  </si>
  <si>
    <t>Miscellaneous-Research and development</t>
  </si>
  <si>
    <t>R&amp;D reserve rewards</t>
  </si>
  <si>
    <t>Advisory services</t>
  </si>
  <si>
    <t>Patents</t>
  </si>
  <si>
    <t>Software and domain</t>
  </si>
  <si>
    <t>refund GMBH Expenses</t>
  </si>
  <si>
    <t>S&amp;M Vacation Expenses</t>
  </si>
  <si>
    <t>S&amp;M salary</t>
  </si>
  <si>
    <t>S&amp;M Social Security</t>
  </si>
  <si>
    <t>Mandatory value S&amp;M</t>
  </si>
  <si>
    <t>The value of the S&amp;M right</t>
  </si>
  <si>
    <t>S&amp;M employer benefits</t>
  </si>
  <si>
    <t>S&amp;M Employer Training Fund</t>
  </si>
  <si>
    <t>S&amp;M compensation</t>
  </si>
  <si>
    <t>Miscellaneous S&amp;M employer</t>
  </si>
  <si>
    <t>S&amp;M convalescence expenses</t>
  </si>
  <si>
    <t>PR &amp; ABM</t>
  </si>
  <si>
    <t>Mary M. Maguire exp.</t>
  </si>
  <si>
    <t>Conference</t>
  </si>
  <si>
    <t>Graphic Design</t>
  </si>
  <si>
    <t>Consulting S&amp;M</t>
  </si>
  <si>
    <t>G&amp;A convalescence expenses</t>
  </si>
  <si>
    <t>Wage/Salary</t>
  </si>
  <si>
    <t>Social Security Administration</t>
  </si>
  <si>
    <t>Worth debit</t>
  </si>
  <si>
    <t>Worth credit</t>
  </si>
  <si>
    <t>Employment compensation</t>
  </si>
  <si>
    <t>study fund</t>
  </si>
  <si>
    <t>Compensation management</t>
  </si>
  <si>
    <t>Miscellaneous employer management</t>
  </si>
  <si>
    <t>G&amp;A Vacation Expenses</t>
  </si>
  <si>
    <t>Legals</t>
  </si>
  <si>
    <t>Accountancy</t>
  </si>
  <si>
    <t>Audit</t>
  </si>
  <si>
    <t xml:space="preserve">Management and loyalty services of the employee option plan </t>
  </si>
  <si>
    <t>Computers Depreciation Expenses</t>
  </si>
  <si>
    <t>Equipment Depreciation Expenses</t>
  </si>
  <si>
    <t>Minor depreciation expenses and office equipment</t>
  </si>
  <si>
    <t>Fundraising Expenses 2022</t>
  </si>
  <si>
    <t>Consulting G&amp;A</t>
  </si>
  <si>
    <t>Directors insurance</t>
  </si>
  <si>
    <t>Social care allowance</t>
  </si>
  <si>
    <t>Rent.</t>
  </si>
  <si>
    <t>Office Supply</t>
  </si>
  <si>
    <t>parking</t>
  </si>
  <si>
    <t>Mobile Phone</t>
  </si>
  <si>
    <t>Travel - Admin.</t>
  </si>
  <si>
    <t>Refreshments &amp; Presents</t>
  </si>
  <si>
    <t>Taxes &amp; Charges</t>
  </si>
  <si>
    <t>Professional literature</t>
  </si>
  <si>
    <t>Hosting</t>
  </si>
  <si>
    <t>meals</t>
  </si>
  <si>
    <t>Computer and Internet maintenance</t>
  </si>
  <si>
    <t>Car 37-726-30 Uri</t>
  </si>
  <si>
    <t>Travel1</t>
  </si>
  <si>
    <t>Travel to Germany Zoer Fuchs-19-22.10.2021</t>
  </si>
  <si>
    <t>Travel to Dubbay Uri Lederman- 16-21.10.2021</t>
  </si>
  <si>
    <t>Travel Japan Zoar Fox 19-26.06.2022</t>
  </si>
  <si>
    <t>Travel to Germany Zoer Fuchs 27-29.06.2022</t>
  </si>
  <si>
    <t>Travel to Germany Uri Lederman 26-29.06.2022</t>
  </si>
  <si>
    <t>Travel to Uri Lederman 15-21.06.2022</t>
  </si>
  <si>
    <t>Traveling to Germany Uri Lederman. Zohar Fuchs 24-26.10.2021</t>
  </si>
  <si>
    <t>Traveling to the USA Roger Ordman 26.04-03.05.2022</t>
  </si>
  <si>
    <t>Traveling to Germany Roger Ordman 19-24.10.2021</t>
  </si>
  <si>
    <t>Travel-Travel to Germany Roger Ordman 15-18.11.2021</t>
  </si>
  <si>
    <t>Travel abroad Zohar 03-05.08.2022</t>
  </si>
  <si>
    <t>Traveling to Sweden, Netherlands Zoer Fox 12-14.9.22</t>
  </si>
  <si>
    <t>Traveling to Germany Zoer Fuchs 18-21.09.2022</t>
  </si>
  <si>
    <t>Japan Travel Report Zohar Fuchs</t>
  </si>
  <si>
    <t>Gifts</t>
  </si>
  <si>
    <t>Fines from institutions</t>
  </si>
  <si>
    <t>delivery$Shipments</t>
  </si>
  <si>
    <t>clothing</t>
  </si>
  <si>
    <t>Welfare</t>
  </si>
  <si>
    <t>General and adminisrtrative expenses</t>
  </si>
  <si>
    <t>Interest and fine from institutions</t>
  </si>
  <si>
    <t>Banks Commissions</t>
  </si>
  <si>
    <t>credit card commissions</t>
  </si>
  <si>
    <t>Interest on loan A</t>
  </si>
  <si>
    <t>Interest from a deposit</t>
  </si>
  <si>
    <t>Balance Cancellation</t>
  </si>
  <si>
    <t>Surplus 2017</t>
  </si>
  <si>
    <t>Surpluses 2017</t>
  </si>
  <si>
    <t>Surpluses 2018</t>
  </si>
  <si>
    <t>Surpluses 2019</t>
  </si>
  <si>
    <t>Surpluses 2020</t>
  </si>
  <si>
    <t>Surpluses 2021</t>
  </si>
  <si>
    <t>Migdal Insurance Company For: Acha Rena Livnat Debt</t>
  </si>
  <si>
    <t>Audited</t>
  </si>
  <si>
    <t>Income Statement Accounts from 01/01/2022 to 30/11/2022</t>
  </si>
  <si>
    <t>VAT Transactions</t>
  </si>
  <si>
    <t>Provision for reimbursement of travel abroad</t>
  </si>
  <si>
    <t>Credit Card 6523ִ  €</t>
  </si>
  <si>
    <t>Giat Ido</t>
  </si>
  <si>
    <t>Zuder Yehudit</t>
  </si>
  <si>
    <t>Yellin Daniel</t>
  </si>
  <si>
    <t>Travel to Germany for Livnat Rena 08-13.05.2022</t>
  </si>
  <si>
    <t>Travel abroad -08.12.2022</t>
  </si>
  <si>
    <t>Traveling abroad Uri Lederman</t>
  </si>
  <si>
    <t>Travel Abroad 11.2022</t>
  </si>
  <si>
    <t>Glowing Sand Travel Report-12.2022</t>
  </si>
  <si>
    <t>Loans Related company</t>
  </si>
  <si>
    <t>447,683.95</t>
  </si>
  <si>
    <t>Immediate write-off of low-value assets</t>
  </si>
  <si>
    <t>share-based payments</t>
  </si>
  <si>
    <t>Expenses for share-based payment  2019-2021 - GMBH</t>
  </si>
  <si>
    <t>לא לרשום פקודה במאוחד  למחוק אותה ב2023</t>
  </si>
  <si>
    <t>2022 changes</t>
  </si>
  <si>
    <t>difference 2022</t>
  </si>
  <si>
    <t>euro</t>
  </si>
  <si>
    <t>2022 changes V1</t>
  </si>
  <si>
    <t>difference 2022 V1</t>
  </si>
  <si>
    <t>Backp/refunds trade tax pr yrs, s 4/5</t>
  </si>
  <si>
    <t xml:space="preserve"> Balance Sheet Accounts as at  31/12/2022</t>
  </si>
  <si>
    <t>Income Statement Accounts from 01/01/2022 to 31/12/2022</t>
  </si>
  <si>
    <t xml:space="preserve"> Cancel Expenses for share-based payment  2019-2021 - GMBH</t>
  </si>
  <si>
    <t>ביטול הוצאות אופציות שנרשמו בכל השנים 2019-2021</t>
  </si>
  <si>
    <t>NEW2</t>
  </si>
  <si>
    <t>NEW1</t>
  </si>
  <si>
    <t>COGS - Reclassification of expenses</t>
  </si>
  <si>
    <t>Reclassification of R&amp;D expenses</t>
  </si>
  <si>
    <t>4720</t>
  </si>
  <si>
    <t>Lease liabilities</t>
  </si>
  <si>
    <t>Long Term Lease</t>
  </si>
  <si>
    <t xml:space="preserve">פקודות יומן בגין חכירה </t>
  </si>
  <si>
    <t>פקודה בגין חלויות שוטפות 2023  בגין התחייבות</t>
  </si>
  <si>
    <t>Leased property under capital lease</t>
  </si>
  <si>
    <t>הפחתת נכס והפחת התחייבות חצי שנתית 2022</t>
  </si>
  <si>
    <t>מ1.7.22-.31.12.22</t>
  </si>
  <si>
    <t>הקמת נכס והתחייבות בגין  חכירה</t>
  </si>
  <si>
    <t>Proceeds from Additional paid-in capital</t>
  </si>
  <si>
    <t>(Increase)Decrease in Share capital</t>
  </si>
  <si>
    <t>(Increase) Decrease in Leased property under capital lease</t>
  </si>
  <si>
    <t>(Increase) Decrease in Short term deposit</t>
  </si>
  <si>
    <t>Increase (Decrease) in obligation under capital lease</t>
  </si>
  <si>
    <t>שינוי בהון</t>
  </si>
  <si>
    <t>שינוי בפרמיה</t>
  </si>
  <si>
    <t>הרכב שינוי בפרמיה:</t>
  </si>
  <si>
    <t>תשלום במוסס מניות</t>
  </si>
  <si>
    <t>גיוס 2022</t>
  </si>
  <si>
    <t>מימוש אופציות</t>
  </si>
  <si>
    <t>הפרש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</si>
</sst>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6">
    <numFmt numFmtId="43" formatCode="_(* #,##0.00_);_(* \(#,##0.00\);_(* &quot;-&quot;??_);_(@_)"/>
    <numFmt numFmtId="164" formatCode="_ * #,##0_ ;_ * \-#,##0_ ;_ * &quot;-&quot;_ ;_ @_ "/>
    <numFmt numFmtId="165" formatCode="_ &quot;₪&quot;\ * #,##0.00_ ;_ &quot;₪&quot;\ * \-#,##0.00_ ;_ &quot;₪&quot;\ * &quot;-&quot;??_ ;_ @_ "/>
    <numFmt numFmtId="166" formatCode="_ * #,##0.00_ ;_ * \-#,##0.00_ ;_ * &quot;-&quot;??_ ;_ @_ "/>
    <numFmt numFmtId="167" formatCode="_-&quot;₪&quot;* #,##0.00_-;\-&quot;₪&quot;* #,##0.00_-;_-&quot;₪&quot;* &quot;-&quot;??_-;_-@_-"/>
    <numFmt numFmtId="168" formatCode="_-* #,##0.00_-;\-* #,##0.00_-;_-* &quot;-&quot;??_-;_-@_-"/>
    <numFmt numFmtId="169" formatCode="_(* #,##0_);[Red]_(* \(#,##0\);_(* &quot;-&quot;_);_(@_)"/>
    <numFmt numFmtId="170" formatCode="B1dd\-mmmm"/>
    <numFmt numFmtId="171" formatCode="_(* #,##0.000_);[Red]_(* \(#,##0.000\);_(* &quot;-&quot;_);_(@_)"/>
    <numFmt numFmtId="172" formatCode="yyyy"/>
    <numFmt numFmtId="173" formatCode="_(* #,##0_);[Black]_(* \(#,##0\);_(* &quot;-&quot;_);_(@_)"/>
    <numFmt numFmtId="174" formatCode="_(* #,##0_);_(* \(#,##0\);_(* &quot;-&quot;??_);_(@_)"/>
    <numFmt numFmtId="175" formatCode="_ * #,##0_ ;_ * \-#,##0_ ;_ * &quot;-&quot;??_ ;_ @_ "/>
    <numFmt numFmtId="176" formatCode="\ #,##0;[Red]\(#,##0\);_ * &quot;-&quot;"/>
    <numFmt numFmtId="177" formatCode="_-[$$-409]* #,##0.00_ ;_-[$$-409]* \-#,##0.00\ ;_-[$$-409]* &quot;-&quot;??_ ;_-@_ "/>
    <numFmt numFmtId="178" formatCode="_-[$$-409]* #,##0.0000_ ;_-[$$-409]* \-#,##0.0000\ ;_-[$$-409]* &quot;-&quot;??_ ;_-@_ "/>
    <numFmt numFmtId="179" formatCode="_-* #,##0_-;\-* #,##0_-;_-* &quot;-&quot;??_-;_-@_-"/>
    <numFmt numFmtId="180" formatCode="_ [$₪-40D]\ * #,##0_ ;_ [$₪-40D]\ * \-#,##0_ ;_ [$₪-40D]\ * &quot;-&quot;??_ ;_ @_ "/>
    <numFmt numFmtId="181" formatCode="0.0%"/>
    <numFmt numFmtId="182" formatCode="_(* #,##0.00_);[Red]_(* \(#,##0.00\);_(* &quot;-&quot;_);_(@_)"/>
    <numFmt numFmtId="183" formatCode="_ [$₪-40D]\ * #,##0.00_ ;_ [$₪-40D]\ * \-#,##0.00_ ;_ [$₪-40D]\ * &quot;-&quot;??_ ;_ @_ "/>
    <numFmt numFmtId="184" formatCode="&quot;₪&quot;\ #,##0"/>
    <numFmt numFmtId="185" formatCode="##,###,##0.00"/>
    <numFmt numFmtId="186" formatCode="_(* #,##0.00_);[Black]_(* \(#,##0.00\);_(* &quot;-&quot;_);_(@_)"/>
    <numFmt numFmtId="187" formatCode="_(* #,##0.0000_);[Red]_(* \(#,##0.0000\);_(* &quot;-&quot;_);_(@_)"/>
    <numFmt numFmtId="188" formatCode="_ * #,##0.0000_ ;_ * \-#,##0.0000_ ;_ * &quot;-&quot;????_ ;_ @_ "/>
    <numFmt numFmtId="189" formatCode="_ * #,##0.0000_ ;_ * \-#,##0.0000_ ;_ * &quot;-&quot;??_ ;_ @_ "/>
    <numFmt numFmtId="190" formatCode="##,###,##0.0000"/>
    <numFmt numFmtId="191" formatCode="#,##0.0000000000000"/>
    <numFmt numFmtId="192" formatCode="_(* #,##0_);[White]_(* \(#,##0\);_(* &quot;-&quot;_);_(@_)"/>
    <numFmt numFmtId="193" formatCode="B1dd\-mmm\-yyyy"/>
    <numFmt numFmtId="194" formatCode="B1mmmm\ dd\,\ yyyy"/>
    <numFmt numFmtId="195" formatCode="0.0"/>
    <numFmt numFmtId="196" formatCode="_-[$€-2]\ * #,##0.00_-;\-[$€-2]\ * #,##0.00_-;_-[$€-2]\ * &quot;-&quot;??_-;_-@_-"/>
    <numFmt numFmtId="197" formatCode="#,##0.00000000000"/>
    <numFmt numFmtId="198" formatCode="_-[$$-409]* #,##0.0_ ;_-[$$-409]* \-#,##0.0\ ;_-[$$-409]* &quot;-&quot;??_ ;_-@_ "/>
  </numFmts>
  <fonts count="141">
    <font>
      <sz val="10"/>
      <name val="Arial"/>
      <charset val="177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b/>
      <sz val="10"/>
      <name val="Arial"/>
      <family val="2"/>
      <charset val="177"/>
    </font>
    <font>
      <sz val="12"/>
      <name val="Arial"/>
      <family val="2"/>
    </font>
    <font>
      <sz val="12"/>
      <name val="Arial"/>
      <family val="2"/>
      <charset val="177"/>
    </font>
    <font>
      <b/>
      <u/>
      <sz val="12"/>
      <name val="Arial"/>
      <family val="2"/>
    </font>
    <font>
      <u/>
      <sz val="12"/>
      <name val="Arial"/>
      <family val="2"/>
    </font>
    <font>
      <u val="singleAccounting"/>
      <sz val="12"/>
      <name val="Arial"/>
      <family val="2"/>
    </font>
    <font>
      <b/>
      <u val="doubleAccounting"/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u val="doubleAccounting"/>
      <sz val="12"/>
      <name val="Arial"/>
      <family val="2"/>
    </font>
    <font>
      <sz val="10"/>
      <name val="Arial"/>
      <family val="2"/>
      <charset val="177"/>
    </font>
    <font>
      <b/>
      <sz val="28"/>
      <name val="Arial"/>
      <family val="2"/>
      <charset val="177"/>
    </font>
    <font>
      <sz val="16"/>
      <name val="Arial"/>
      <family val="2"/>
      <charset val="177"/>
    </font>
    <font>
      <sz val="14"/>
      <name val="Arial"/>
      <family val="2"/>
    </font>
    <font>
      <b/>
      <sz val="16"/>
      <name val="Arial"/>
      <family val="2"/>
      <charset val="177"/>
    </font>
    <font>
      <b/>
      <sz val="14"/>
      <color indexed="9"/>
      <name val="Arial"/>
      <family val="2"/>
      <charset val="177"/>
    </font>
    <font>
      <sz val="8"/>
      <name val="Arial"/>
      <family val="2"/>
    </font>
    <font>
      <sz val="10"/>
      <name val="Arial"/>
      <family val="2"/>
    </font>
    <font>
      <sz val="11"/>
      <color indexed="8"/>
      <name val="Arial"/>
      <family val="2"/>
      <charset val="177"/>
    </font>
    <font>
      <u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0"/>
      <name val="Arial"/>
      <family val="2"/>
    </font>
    <font>
      <sz val="10"/>
      <color indexed="9"/>
      <name val="Arial"/>
      <family val="2"/>
    </font>
    <font>
      <b/>
      <sz val="14"/>
      <name val="David"/>
      <family val="2"/>
      <charset val="177"/>
    </font>
    <font>
      <sz val="12"/>
      <name val="David"/>
      <family val="2"/>
      <charset val="177"/>
    </font>
    <font>
      <b/>
      <sz val="12"/>
      <name val="David"/>
      <family val="2"/>
      <charset val="177"/>
    </font>
    <font>
      <u/>
      <sz val="12"/>
      <name val="David"/>
      <family val="2"/>
      <charset val="177"/>
    </font>
    <font>
      <sz val="14"/>
      <name val="David"/>
      <family val="2"/>
      <charset val="177"/>
    </font>
    <font>
      <u val="singleAccounting"/>
      <sz val="12"/>
      <name val="David"/>
      <family val="2"/>
      <charset val="177"/>
    </font>
    <font>
      <sz val="10"/>
      <name val="Times New Roman"/>
      <family val="1"/>
    </font>
    <font>
      <b/>
      <u/>
      <sz val="12"/>
      <name val="David"/>
      <family val="2"/>
      <charset val="177"/>
    </font>
    <font>
      <b/>
      <u/>
      <sz val="10"/>
      <name val="David"/>
      <family val="2"/>
      <charset val="177"/>
    </font>
    <font>
      <b/>
      <sz val="10"/>
      <name val="David"/>
      <family val="2"/>
      <charset val="177"/>
    </font>
    <font>
      <sz val="8"/>
      <name val="Arial"/>
      <family val="2"/>
    </font>
    <font>
      <sz val="11"/>
      <color theme="1"/>
      <name val="Calibri"/>
      <family val="2"/>
      <charset val="177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name val="Georgia"/>
      <family val="1"/>
    </font>
    <font>
      <sz val="10"/>
      <name val="Arial"/>
      <family val="2"/>
    </font>
    <font>
      <sz val="11"/>
      <name val="David"/>
      <family val="2"/>
      <charset val="177"/>
    </font>
    <font>
      <b/>
      <i/>
      <u/>
      <sz val="11"/>
      <name val="David"/>
      <family val="2"/>
      <charset val="177"/>
    </font>
    <font>
      <b/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color indexed="13"/>
      <name val="David"/>
      <family val="2"/>
      <charset val="177"/>
    </font>
    <font>
      <b/>
      <u/>
      <sz val="11"/>
      <name val="David"/>
      <family val="2"/>
      <charset val="177"/>
    </font>
    <font>
      <sz val="10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u/>
      <sz val="11"/>
      <name val="David"/>
      <family val="2"/>
      <charset val="177"/>
    </font>
    <font>
      <sz val="9"/>
      <name val="David"/>
      <family val="2"/>
      <charset val="177"/>
    </font>
    <font>
      <sz val="10"/>
      <name val="Monotype Sorts"/>
      <charset val="2"/>
    </font>
    <font>
      <b/>
      <sz val="8"/>
      <name val="David"/>
      <family val="2"/>
      <charset val="177"/>
    </font>
    <font>
      <sz val="8"/>
      <name val="David"/>
      <family val="2"/>
      <charset val="177"/>
    </font>
    <font>
      <b/>
      <sz val="10"/>
      <color rgb="FFFF0000"/>
      <name val="Arial"/>
      <family val="2"/>
    </font>
    <font>
      <sz val="12"/>
      <color rgb="FFFF0000"/>
      <name val="David"/>
      <family val="2"/>
      <charset val="177"/>
    </font>
    <font>
      <sz val="12"/>
      <name val="Times New Roman"/>
      <family val="1"/>
    </font>
    <font>
      <sz val="10"/>
      <color theme="1"/>
      <name val="Arial"/>
      <family val="2"/>
      <charset val="177"/>
    </font>
    <font>
      <u/>
      <sz val="12"/>
      <name val="Times New Roman"/>
      <family val="1"/>
    </font>
    <font>
      <b/>
      <u/>
      <sz val="12"/>
      <name val="Times New Roman"/>
      <family val="1"/>
    </font>
    <font>
      <sz val="10"/>
      <color rgb="FFFF0000"/>
      <name val="David"/>
      <family val="2"/>
      <charset val="177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1"/>
      <color indexed="8"/>
      <name val="Arial"/>
      <family val="2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indexed="8"/>
      <name val="Arial"/>
      <family val="2"/>
      <charset val="177"/>
    </font>
    <font>
      <u val="singleAccounting"/>
      <sz val="10"/>
      <name val="Arial"/>
      <family val="2"/>
    </font>
    <font>
      <b/>
      <i/>
      <u/>
      <sz val="10"/>
      <name val="Arial"/>
      <family val="2"/>
    </font>
    <font>
      <b/>
      <sz val="12"/>
      <name val="Arial"/>
      <family val="2"/>
      <charset val="177"/>
    </font>
    <font>
      <sz val="8"/>
      <name val="Franklin Gothic Book"/>
      <family val="2"/>
    </font>
    <font>
      <sz val="10"/>
      <color indexed="9"/>
      <name val="Franklin Gothic Book"/>
      <family val="2"/>
    </font>
    <font>
      <b/>
      <sz val="11"/>
      <color theme="1"/>
      <name val="Calibri"/>
      <family val="2"/>
      <scheme val="minor"/>
    </font>
    <font>
      <b/>
      <u/>
      <sz val="8"/>
      <name val="Franklin Gothic Book"/>
      <family val="2"/>
    </font>
    <font>
      <sz val="10"/>
      <name val="Franklin Gothic Book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Arial"/>
      <family val="2"/>
    </font>
    <font>
      <b/>
      <u val="singleAccounting"/>
      <sz val="12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4"/>
      <name val="Arial"/>
      <family val="2"/>
      <charset val="177"/>
    </font>
    <font>
      <sz val="16"/>
      <name val="Arial"/>
      <family val="2"/>
    </font>
    <font>
      <sz val="28"/>
      <name val="Berlin Sans FB"/>
      <family val="2"/>
      <charset val="177"/>
    </font>
    <font>
      <b/>
      <sz val="36"/>
      <color theme="0"/>
      <name val="Assistant ExtraBold"/>
      <charset val="177"/>
    </font>
    <font>
      <b/>
      <sz val="22"/>
      <color rgb="FFA1224B"/>
      <name val="Assistant"/>
      <charset val="177"/>
    </font>
    <font>
      <b/>
      <sz val="22"/>
      <color theme="0"/>
      <name val="Assistant"/>
      <charset val="177"/>
    </font>
    <font>
      <sz val="10"/>
      <color theme="1"/>
      <name val="Arial"/>
      <family val="2"/>
    </font>
    <font>
      <sz val="12"/>
      <color theme="1"/>
      <name val="Arial"/>
      <family val="2"/>
    </font>
    <font>
      <u val="singleAccounting"/>
      <sz val="12"/>
      <color theme="1"/>
      <name val="Arial"/>
      <family val="2"/>
    </font>
    <font>
      <sz val="11"/>
      <color theme="0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sz val="18"/>
      <color theme="3"/>
      <name val="Cambria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9C5700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0"/>
      <color theme="1"/>
      <name val="Arial"/>
      <family val="2"/>
    </font>
    <font>
      <u val="singleAccounting"/>
      <sz val="10"/>
      <color theme="1"/>
      <name val="Arial"/>
      <family val="2"/>
    </font>
    <font>
      <b/>
      <u val="doubleAccounting"/>
      <sz val="10"/>
      <color theme="1"/>
      <name val="Arial"/>
      <family val="2"/>
    </font>
    <font>
      <u/>
      <sz val="11"/>
      <color theme="10"/>
      <name val="Calibri"/>
      <family val="2"/>
      <charset val="177"/>
      <scheme val="minor"/>
    </font>
    <font>
      <sz val="9"/>
      <color rgb="FF225399"/>
      <name val="Arial"/>
      <family val="2"/>
    </font>
    <font>
      <b/>
      <sz val="11"/>
      <color indexed="8"/>
      <name val="Arial"/>
      <family val="2"/>
    </font>
    <font>
      <b/>
      <u/>
      <sz val="10"/>
      <name val="Arial"/>
      <family val="2"/>
      <charset val="177"/>
    </font>
    <font>
      <i/>
      <sz val="11"/>
      <color indexed="8"/>
      <name val="Arial"/>
      <family val="2"/>
    </font>
    <font>
      <sz val="11"/>
      <name val="Calibri"/>
      <family val="2"/>
      <charset val="177"/>
      <scheme val="minor"/>
    </font>
    <font>
      <sz val="11"/>
      <name val="Arial"/>
      <family val="2"/>
      <charset val="177"/>
    </font>
    <font>
      <sz val="9"/>
      <color rgb="FFFF0000"/>
      <name val="Arial"/>
      <family val="2"/>
      <charset val="177"/>
    </font>
    <font>
      <b/>
      <u/>
      <sz val="11"/>
      <color indexed="8"/>
      <name val="Arial"/>
      <family val="2"/>
    </font>
    <font>
      <sz val="7"/>
      <color rgb="FF225399"/>
      <name val="Arial"/>
      <family val="2"/>
    </font>
    <font>
      <sz val="8"/>
      <color rgb="FF000000"/>
      <name val="Tahoma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u val="doubleAccounting"/>
      <sz val="12"/>
      <color theme="1"/>
      <name val="Arial"/>
      <family val="2"/>
    </font>
    <font>
      <u/>
      <sz val="12"/>
      <color theme="1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31C4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7D7D7"/>
        <bgColor theme="0" tint="-0.24994659260841701"/>
      </patternFill>
    </fill>
    <fill>
      <patternFill patternType="solid">
        <fgColor rgb="FFF3F3F3"/>
        <bgColor theme="0" tint="-0.1499984740745262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theme="0"/>
      </right>
      <top/>
      <bottom/>
      <diagonal/>
    </border>
    <border>
      <left/>
      <right style="thick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0"/>
      </right>
      <top style="thin">
        <color rgb="FFA31C45"/>
      </top>
      <bottom/>
      <diagonal/>
    </border>
    <border>
      <left style="thin">
        <color theme="0"/>
      </left>
      <right style="medium">
        <color theme="0"/>
      </right>
      <top style="thin">
        <color rgb="FFA31C45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377">
    <xf numFmtId="0" fontId="0" fillId="0" borderId="0" applyFont="0" applyBorder="0"/>
    <xf numFmtId="0" fontId="32" fillId="0" borderId="0"/>
    <xf numFmtId="0" fontId="32" fillId="0" borderId="0"/>
    <xf numFmtId="0" fontId="33" fillId="0" borderId="0"/>
    <xf numFmtId="169" fontId="14" fillId="0" borderId="0" applyFont="0" applyFill="0" applyBorder="0" applyProtection="0">
      <alignment vertical="center"/>
    </xf>
    <xf numFmtId="0" fontId="50" fillId="0" borderId="0"/>
    <xf numFmtId="0" fontId="13" fillId="0" borderId="0"/>
    <xf numFmtId="0" fontId="13" fillId="0" borderId="0"/>
    <xf numFmtId="0" fontId="33" fillId="0" borderId="0"/>
    <xf numFmtId="0" fontId="13" fillId="0" borderId="0"/>
    <xf numFmtId="0" fontId="13" fillId="0" borderId="0" applyFont="0" applyBorder="0"/>
    <xf numFmtId="9" fontId="13" fillId="0" borderId="0" applyFont="0" applyFill="0" applyBorder="0" applyAlignment="0" applyProtection="0"/>
    <xf numFmtId="0" fontId="12" fillId="0" borderId="0"/>
    <xf numFmtId="0" fontId="13" fillId="0" borderId="0"/>
    <xf numFmtId="0" fontId="11" fillId="0" borderId="0"/>
    <xf numFmtId="0" fontId="11" fillId="0" borderId="0"/>
    <xf numFmtId="0" fontId="13" fillId="0" borderId="0"/>
    <xf numFmtId="0" fontId="54" fillId="0" borderId="0"/>
    <xf numFmtId="166" fontId="13" fillId="0" borderId="0" applyFont="0" applyFill="0" applyBorder="0" applyAlignment="0" applyProtection="0"/>
    <xf numFmtId="0" fontId="62" fillId="0" borderId="0" applyNumberFormat="0" applyFill="0" applyBorder="0" applyAlignment="0" applyProtection="0"/>
    <xf numFmtId="43" fontId="63" fillId="0" borderId="0" applyFont="0" applyFill="0" applyBorder="0" applyAlignment="0" applyProtection="0"/>
    <xf numFmtId="0" fontId="10" fillId="0" borderId="0"/>
    <xf numFmtId="0" fontId="13" fillId="0" borderId="0"/>
    <xf numFmtId="0" fontId="54" fillId="0" borderId="0"/>
    <xf numFmtId="43" fontId="71" fillId="0" borderId="0" applyFont="0" applyFill="0" applyBorder="0" applyAlignment="0" applyProtection="0"/>
    <xf numFmtId="177" fontId="13" fillId="0" borderId="0"/>
    <xf numFmtId="0" fontId="13" fillId="0" borderId="0" applyFont="0" applyBorder="0"/>
    <xf numFmtId="178" fontId="63" fillId="0" borderId="0"/>
    <xf numFmtId="164" fontId="78" fillId="0" borderId="0" applyFont="0" applyFill="0" applyBorder="0" applyAlignment="0" applyProtection="0"/>
    <xf numFmtId="0" fontId="72" fillId="0" borderId="0"/>
    <xf numFmtId="180" fontId="45" fillId="0" borderId="0"/>
    <xf numFmtId="181" fontId="78" fillId="0" borderId="0" applyFont="0" applyFill="0" applyBorder="0" applyAlignment="0" applyProtection="0"/>
    <xf numFmtId="166" fontId="81" fillId="0" borderId="0" applyFont="0" applyFill="0" applyBorder="0" applyAlignment="0" applyProtection="0"/>
    <xf numFmtId="9" fontId="81" fillId="0" borderId="0" applyFont="0" applyFill="0" applyBorder="0" applyAlignment="0" applyProtection="0"/>
    <xf numFmtId="183" fontId="9" fillId="0" borderId="0"/>
    <xf numFmtId="43" fontId="13" fillId="0" borderId="0" applyFont="0" applyFill="0" applyBorder="0" applyAlignment="0" applyProtection="0"/>
    <xf numFmtId="0" fontId="63" fillId="0" borderId="0"/>
    <xf numFmtId="166" fontId="63" fillId="0" borderId="0" applyFont="0" applyFill="0" applyBorder="0" applyAlignment="0" applyProtection="0"/>
    <xf numFmtId="0" fontId="13" fillId="0" borderId="0" applyFont="0" applyBorder="0"/>
    <xf numFmtId="0" fontId="63" fillId="0" borderId="0"/>
    <xf numFmtId="0" fontId="10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168" fontId="7" fillId="0" borderId="0" applyFont="0" applyFill="0" applyBorder="0" applyAlignment="0" applyProtection="0"/>
    <xf numFmtId="0" fontId="8" fillId="0" borderId="0"/>
    <xf numFmtId="0" fontId="13" fillId="0" borderId="0"/>
    <xf numFmtId="168" fontId="71" fillId="0" borderId="0" applyFont="0" applyFill="0" applyBorder="0" applyAlignment="0" applyProtection="0"/>
    <xf numFmtId="178" fontId="7" fillId="0" borderId="0"/>
    <xf numFmtId="183" fontId="8" fillId="0" borderId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0" fontId="33" fillId="0" borderId="0"/>
    <xf numFmtId="0" fontId="33" fillId="0" borderId="0"/>
    <xf numFmtId="0" fontId="8" fillId="37" borderId="0" applyNumberFormat="0" applyBorder="0" applyAlignment="0" applyProtection="0"/>
    <xf numFmtId="0" fontId="8" fillId="41" borderId="0" applyNumberFormat="0" applyBorder="0" applyAlignment="0" applyProtection="0"/>
    <xf numFmtId="0" fontId="8" fillId="45" borderId="0" applyNumberFormat="0" applyBorder="0" applyAlignment="0" applyProtection="0"/>
    <xf numFmtId="0" fontId="8" fillId="49" borderId="0" applyNumberFormat="0" applyBorder="0" applyAlignment="0" applyProtection="0"/>
    <xf numFmtId="0" fontId="8" fillId="53" borderId="0" applyNumberFormat="0" applyBorder="0" applyAlignment="0" applyProtection="0"/>
    <xf numFmtId="0" fontId="8" fillId="57" borderId="0" applyNumberFormat="0" applyBorder="0" applyAlignment="0" applyProtection="0"/>
    <xf numFmtId="0" fontId="8" fillId="38" borderId="0" applyNumberFormat="0" applyBorder="0" applyAlignment="0" applyProtection="0"/>
    <xf numFmtId="0" fontId="8" fillId="42" borderId="0" applyNumberFormat="0" applyBorder="0" applyAlignment="0" applyProtection="0"/>
    <xf numFmtId="0" fontId="8" fillId="46" borderId="0" applyNumberFormat="0" applyBorder="0" applyAlignment="0" applyProtection="0"/>
    <xf numFmtId="0" fontId="8" fillId="50" borderId="0" applyNumberFormat="0" applyBorder="0" applyAlignment="0" applyProtection="0"/>
    <xf numFmtId="0" fontId="8" fillId="54" borderId="0" applyNumberFormat="0" applyBorder="0" applyAlignment="0" applyProtection="0"/>
    <xf numFmtId="0" fontId="8" fillId="58" borderId="0" applyNumberFormat="0" applyBorder="0" applyAlignment="0" applyProtection="0"/>
    <xf numFmtId="0" fontId="8" fillId="39" borderId="0" applyNumberFormat="0" applyBorder="0" applyAlignment="0" applyProtection="0"/>
    <xf numFmtId="0" fontId="8" fillId="43" borderId="0" applyNumberFormat="0" applyBorder="0" applyAlignment="0" applyProtection="0"/>
    <xf numFmtId="0" fontId="8" fillId="47" borderId="0" applyNumberFormat="0" applyBorder="0" applyAlignment="0" applyProtection="0"/>
    <xf numFmtId="0" fontId="8" fillId="51" borderId="0" applyNumberFormat="0" applyBorder="0" applyAlignment="0" applyProtection="0"/>
    <xf numFmtId="0" fontId="8" fillId="55" borderId="0" applyNumberFormat="0" applyBorder="0" applyAlignment="0" applyProtection="0"/>
    <xf numFmtId="0" fontId="8" fillId="59" borderId="0" applyNumberFormat="0" applyBorder="0" applyAlignment="0" applyProtection="0"/>
    <xf numFmtId="166" fontId="13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4" fontId="78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81" fillId="0" borderId="0" applyFont="0" applyFill="0" applyBorder="0" applyAlignment="0" applyProtection="0"/>
    <xf numFmtId="178" fontId="6" fillId="0" borderId="0"/>
    <xf numFmtId="0" fontId="6" fillId="0" borderId="0"/>
    <xf numFmtId="0" fontId="106" fillId="36" borderId="0" applyNumberFormat="0" applyBorder="0" applyAlignment="0" applyProtection="0"/>
    <xf numFmtId="0" fontId="106" fillId="40" borderId="0" applyNumberFormat="0" applyBorder="0" applyAlignment="0" applyProtection="0"/>
    <xf numFmtId="0" fontId="106" fillId="44" borderId="0" applyNumberFormat="0" applyBorder="0" applyAlignment="0" applyProtection="0"/>
    <xf numFmtId="0" fontId="106" fillId="48" borderId="0" applyNumberFormat="0" applyBorder="0" applyAlignment="0" applyProtection="0"/>
    <xf numFmtId="0" fontId="106" fillId="52" borderId="0" applyNumberFormat="0" applyBorder="0" applyAlignment="0" applyProtection="0"/>
    <xf numFmtId="0" fontId="106" fillId="56" borderId="0" applyNumberFormat="0" applyBorder="0" applyAlignment="0" applyProtection="0"/>
    <xf numFmtId="0" fontId="8" fillId="35" borderId="45" applyNumberFormat="0" applyFont="0" applyAlignment="0" applyProtection="0"/>
    <xf numFmtId="0" fontId="107" fillId="33" borderId="41" applyNumberFormat="0" applyAlignment="0" applyProtection="0"/>
    <xf numFmtId="0" fontId="108" fillId="29" borderId="0" applyNumberFormat="0" applyBorder="0" applyAlignment="0" applyProtection="0"/>
    <xf numFmtId="0" fontId="109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2" fillId="0" borderId="38" applyNumberFormat="0" applyFill="0" applyAlignment="0" applyProtection="0"/>
    <xf numFmtId="0" fontId="113" fillId="0" borderId="39" applyNumberFormat="0" applyFill="0" applyAlignment="0" applyProtection="0"/>
    <xf numFmtId="0" fontId="114" fillId="0" borderId="40" applyNumberFormat="0" applyFill="0" applyAlignment="0" applyProtection="0"/>
    <xf numFmtId="0" fontId="114" fillId="0" borderId="0" applyNumberFormat="0" applyFill="0" applyBorder="0" applyAlignment="0" applyProtection="0"/>
    <xf numFmtId="0" fontId="115" fillId="31" borderId="0" applyNumberFormat="0" applyBorder="0" applyAlignment="0" applyProtection="0"/>
    <xf numFmtId="0" fontId="116" fillId="0" borderId="46" applyNumberFormat="0" applyFill="0" applyAlignment="0" applyProtection="0"/>
    <xf numFmtId="0" fontId="117" fillId="33" borderId="42" applyNumberFormat="0" applyAlignment="0" applyProtection="0"/>
    <xf numFmtId="0" fontId="118" fillId="32" borderId="41" applyNumberFormat="0" applyAlignment="0" applyProtection="0"/>
    <xf numFmtId="0" fontId="119" fillId="30" borderId="0" applyNumberFormat="0" applyBorder="0" applyAlignment="0" applyProtection="0"/>
    <xf numFmtId="0" fontId="120" fillId="34" borderId="44" applyNumberFormat="0" applyAlignment="0" applyProtection="0"/>
    <xf numFmtId="0" fontId="121" fillId="0" borderId="43" applyNumberFormat="0" applyFill="0" applyAlignment="0" applyProtection="0"/>
    <xf numFmtId="0" fontId="6" fillId="0" borderId="0"/>
    <xf numFmtId="0" fontId="8" fillId="0" borderId="0"/>
    <xf numFmtId="166" fontId="13" fillId="0" borderId="0" applyFont="0" applyFill="0" applyBorder="0" applyAlignment="0" applyProtection="0"/>
    <xf numFmtId="166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13" fillId="0" borderId="0"/>
    <xf numFmtId="9" fontId="8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8" fontId="5" fillId="0" borderId="0"/>
    <xf numFmtId="0" fontId="5" fillId="0" borderId="0"/>
    <xf numFmtId="0" fontId="5" fillId="0" borderId="0"/>
    <xf numFmtId="168" fontId="8" fillId="0" borderId="0" applyFont="0" applyFill="0" applyBorder="0" applyAlignment="0" applyProtection="0"/>
    <xf numFmtId="0" fontId="5" fillId="0" borderId="0"/>
    <xf numFmtId="0" fontId="125" fillId="0" borderId="0" applyNumberFormat="0" applyFill="0" applyBorder="0" applyAlignment="0" applyProtection="0"/>
    <xf numFmtId="0" fontId="13" fillId="0" borderId="0" applyFont="0" applyBorder="0"/>
    <xf numFmtId="169" fontId="14" fillId="0" borderId="0" applyFont="0" applyFill="0" applyBorder="0" applyProtection="0">
      <alignment vertical="center"/>
    </xf>
    <xf numFmtId="166" fontId="13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71" fillId="0" borderId="0" applyFont="0" applyFill="0" applyBorder="0" applyAlignment="0" applyProtection="0"/>
    <xf numFmtId="0" fontId="13" fillId="0" borderId="0" applyFont="0" applyBorder="0"/>
    <xf numFmtId="0" fontId="8" fillId="0" borderId="0"/>
    <xf numFmtId="178" fontId="5" fillId="0" borderId="0"/>
    <xf numFmtId="0" fontId="5" fillId="0" borderId="0"/>
    <xf numFmtId="0" fontId="62" fillId="0" borderId="0" applyNumberFormat="0" applyFill="0" applyBorder="0" applyAlignment="0" applyProtection="0"/>
    <xf numFmtId="0" fontId="8" fillId="35" borderId="45" applyNumberFormat="0" applyFont="0" applyAlignment="0" applyProtection="0"/>
    <xf numFmtId="0" fontId="5" fillId="0" borderId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8" fontId="5" fillId="0" borderId="0"/>
    <xf numFmtId="0" fontId="5" fillId="0" borderId="0"/>
    <xf numFmtId="0" fontId="5" fillId="0" borderId="0"/>
    <xf numFmtId="168" fontId="8" fillId="0" borderId="0" applyFont="0" applyFill="0" applyBorder="0" applyAlignment="0" applyProtection="0"/>
    <xf numFmtId="0" fontId="5" fillId="0" borderId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71" fillId="0" borderId="0" applyFont="0" applyFill="0" applyBorder="0" applyAlignment="0" applyProtection="0"/>
    <xf numFmtId="178" fontId="5" fillId="0" borderId="0"/>
    <xf numFmtId="0" fontId="5" fillId="0" borderId="0"/>
    <xf numFmtId="0" fontId="5" fillId="0" borderId="0"/>
    <xf numFmtId="16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8" fontId="4" fillId="0" borderId="0"/>
    <xf numFmtId="0" fontId="4" fillId="0" borderId="0"/>
    <xf numFmtId="0" fontId="4" fillId="0" borderId="0"/>
    <xf numFmtId="168" fontId="8" fillId="0" borderId="0" applyFont="0" applyFill="0" applyBorder="0" applyAlignment="0" applyProtection="0"/>
    <xf numFmtId="0" fontId="4" fillId="0" borderId="0"/>
    <xf numFmtId="16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71" fillId="0" borderId="0" applyFont="0" applyFill="0" applyBorder="0" applyAlignment="0" applyProtection="0"/>
    <xf numFmtId="178" fontId="4" fillId="0" borderId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8" fontId="4" fillId="0" borderId="0"/>
    <xf numFmtId="0" fontId="4" fillId="0" borderId="0"/>
    <xf numFmtId="0" fontId="4" fillId="0" borderId="0"/>
    <xf numFmtId="168" fontId="8" fillId="0" borderId="0" applyFont="0" applyFill="0" applyBorder="0" applyAlignment="0" applyProtection="0"/>
    <xf numFmtId="0" fontId="4" fillId="0" borderId="0"/>
    <xf numFmtId="16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71" fillId="0" borderId="0" applyFont="0" applyFill="0" applyBorder="0" applyAlignment="0" applyProtection="0"/>
    <xf numFmtId="178" fontId="4" fillId="0" borderId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8" fontId="4" fillId="0" borderId="0"/>
    <xf numFmtId="0" fontId="4" fillId="0" borderId="0"/>
    <xf numFmtId="0" fontId="4" fillId="0" borderId="0"/>
    <xf numFmtId="168" fontId="8" fillId="0" borderId="0" applyFont="0" applyFill="0" applyBorder="0" applyAlignment="0" applyProtection="0"/>
    <xf numFmtId="0" fontId="4" fillId="0" borderId="0"/>
    <xf numFmtId="16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71" fillId="0" borderId="0" applyFont="0" applyFill="0" applyBorder="0" applyAlignment="0" applyProtection="0"/>
    <xf numFmtId="178" fontId="4" fillId="0" borderId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8" fontId="4" fillId="0" borderId="0"/>
    <xf numFmtId="0" fontId="4" fillId="0" borderId="0"/>
    <xf numFmtId="0" fontId="4" fillId="0" borderId="0"/>
    <xf numFmtId="168" fontId="8" fillId="0" borderId="0" applyFont="0" applyFill="0" applyBorder="0" applyAlignment="0" applyProtection="0"/>
    <xf numFmtId="0" fontId="4" fillId="0" borderId="0"/>
    <xf numFmtId="16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71" fillId="0" borderId="0" applyFont="0" applyFill="0" applyBorder="0" applyAlignment="0" applyProtection="0"/>
    <xf numFmtId="178" fontId="4" fillId="0" borderId="0"/>
    <xf numFmtId="0" fontId="4" fillId="0" borderId="0"/>
    <xf numFmtId="0" fontId="4" fillId="0" borderId="0"/>
    <xf numFmtId="168" fontId="8" fillId="0" borderId="0" applyFont="0" applyFill="0" applyBorder="0" applyAlignment="0" applyProtection="0"/>
    <xf numFmtId="0" fontId="4" fillId="0" borderId="0"/>
    <xf numFmtId="16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71" fillId="0" borderId="0" applyFont="0" applyFill="0" applyBorder="0" applyAlignment="0" applyProtection="0"/>
    <xf numFmtId="178" fontId="4" fillId="0" borderId="0"/>
    <xf numFmtId="0" fontId="4" fillId="0" borderId="0"/>
    <xf numFmtId="0" fontId="4" fillId="0" borderId="0"/>
    <xf numFmtId="168" fontId="8" fillId="0" borderId="0" applyFont="0" applyFill="0" applyBorder="0" applyAlignment="0" applyProtection="0"/>
    <xf numFmtId="0" fontId="4" fillId="0" borderId="0"/>
    <xf numFmtId="0" fontId="4" fillId="0" borderId="0"/>
    <xf numFmtId="0" fontId="8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166" fontId="8" fillId="0" borderId="0" applyFont="0" applyFill="0" applyBorder="0" applyAlignment="0" applyProtection="0"/>
    <xf numFmtId="0" fontId="4" fillId="0" borderId="0"/>
    <xf numFmtId="0" fontId="4" fillId="0" borderId="0"/>
    <xf numFmtId="16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8" fontId="3" fillId="0" borderId="0"/>
    <xf numFmtId="0" fontId="3" fillId="0" borderId="0"/>
    <xf numFmtId="0" fontId="3" fillId="0" borderId="0"/>
    <xf numFmtId="168" fontId="8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71" fillId="0" borderId="0" applyFont="0" applyFill="0" applyBorder="0" applyAlignment="0" applyProtection="0"/>
    <xf numFmtId="178" fontId="3" fillId="0" borderId="0"/>
    <xf numFmtId="0" fontId="3" fillId="0" borderId="0"/>
    <xf numFmtId="0" fontId="3" fillId="0" borderId="0"/>
    <xf numFmtId="16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8" fontId="3" fillId="0" borderId="0"/>
    <xf numFmtId="0" fontId="3" fillId="0" borderId="0"/>
    <xf numFmtId="0" fontId="3" fillId="0" borderId="0"/>
    <xf numFmtId="168" fontId="8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71" fillId="0" borderId="0" applyFont="0" applyFill="0" applyBorder="0" applyAlignment="0" applyProtection="0"/>
    <xf numFmtId="178" fontId="3" fillId="0" borderId="0"/>
    <xf numFmtId="0" fontId="3" fillId="0" borderId="0"/>
    <xf numFmtId="0" fontId="3" fillId="0" borderId="0"/>
    <xf numFmtId="16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8" fontId="3" fillId="0" borderId="0"/>
    <xf numFmtId="0" fontId="3" fillId="0" borderId="0"/>
    <xf numFmtId="0" fontId="3" fillId="0" borderId="0"/>
    <xf numFmtId="168" fontId="8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71" fillId="0" borderId="0" applyFont="0" applyFill="0" applyBorder="0" applyAlignment="0" applyProtection="0"/>
    <xf numFmtId="178" fontId="3" fillId="0" borderId="0"/>
    <xf numFmtId="0" fontId="3" fillId="0" borderId="0"/>
    <xf numFmtId="0" fontId="3" fillId="0" borderId="0"/>
    <xf numFmtId="16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8" fontId="3" fillId="0" borderId="0"/>
    <xf numFmtId="0" fontId="3" fillId="0" borderId="0"/>
    <xf numFmtId="0" fontId="3" fillId="0" borderId="0"/>
    <xf numFmtId="168" fontId="8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71" fillId="0" borderId="0" applyFont="0" applyFill="0" applyBorder="0" applyAlignment="0" applyProtection="0"/>
    <xf numFmtId="178" fontId="3" fillId="0" borderId="0"/>
    <xf numFmtId="0" fontId="3" fillId="0" borderId="0"/>
    <xf numFmtId="0" fontId="3" fillId="0" borderId="0"/>
    <xf numFmtId="168" fontId="8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71" fillId="0" borderId="0" applyFont="0" applyFill="0" applyBorder="0" applyAlignment="0" applyProtection="0"/>
    <xf numFmtId="178" fontId="3" fillId="0" borderId="0"/>
    <xf numFmtId="0" fontId="3" fillId="0" borderId="0"/>
    <xf numFmtId="0" fontId="3" fillId="0" borderId="0"/>
    <xf numFmtId="168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8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03" fillId="0" borderId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8" fontId="2" fillId="0" borderId="0"/>
    <xf numFmtId="0" fontId="2" fillId="0" borderId="0"/>
    <xf numFmtId="0" fontId="2" fillId="0" borderId="0"/>
    <xf numFmtId="168" fontId="8" fillId="0" borderId="0" applyFont="0" applyFill="0" applyBorder="0" applyAlignment="0" applyProtection="0"/>
    <xf numFmtId="0" fontId="2" fillId="0" borderId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71" fillId="0" borderId="0" applyFont="0" applyFill="0" applyBorder="0" applyAlignment="0" applyProtection="0"/>
    <xf numFmtId="178" fontId="2" fillId="0" borderId="0"/>
    <xf numFmtId="0" fontId="2" fillId="0" borderId="0"/>
    <xf numFmtId="0" fontId="2" fillId="0" borderId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8" fontId="2" fillId="0" borderId="0"/>
    <xf numFmtId="0" fontId="2" fillId="0" borderId="0"/>
    <xf numFmtId="0" fontId="2" fillId="0" borderId="0"/>
    <xf numFmtId="168" fontId="8" fillId="0" borderId="0" applyFont="0" applyFill="0" applyBorder="0" applyAlignment="0" applyProtection="0"/>
    <xf numFmtId="0" fontId="2" fillId="0" borderId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71" fillId="0" borderId="0" applyFont="0" applyFill="0" applyBorder="0" applyAlignment="0" applyProtection="0"/>
    <xf numFmtId="178" fontId="2" fillId="0" borderId="0"/>
    <xf numFmtId="0" fontId="2" fillId="0" borderId="0"/>
    <xf numFmtId="0" fontId="2" fillId="0" borderId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8" fontId="2" fillId="0" borderId="0"/>
    <xf numFmtId="0" fontId="2" fillId="0" borderId="0"/>
    <xf numFmtId="0" fontId="2" fillId="0" borderId="0"/>
    <xf numFmtId="168" fontId="8" fillId="0" borderId="0" applyFont="0" applyFill="0" applyBorder="0" applyAlignment="0" applyProtection="0"/>
    <xf numFmtId="0" fontId="2" fillId="0" borderId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71" fillId="0" borderId="0" applyFont="0" applyFill="0" applyBorder="0" applyAlignment="0" applyProtection="0"/>
    <xf numFmtId="178" fontId="2" fillId="0" borderId="0"/>
    <xf numFmtId="0" fontId="2" fillId="0" borderId="0"/>
    <xf numFmtId="0" fontId="2" fillId="0" borderId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8" fontId="2" fillId="0" borderId="0"/>
    <xf numFmtId="0" fontId="2" fillId="0" borderId="0"/>
    <xf numFmtId="0" fontId="2" fillId="0" borderId="0"/>
    <xf numFmtId="168" fontId="8" fillId="0" borderId="0" applyFont="0" applyFill="0" applyBorder="0" applyAlignment="0" applyProtection="0"/>
    <xf numFmtId="0" fontId="2" fillId="0" borderId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71" fillId="0" borderId="0" applyFont="0" applyFill="0" applyBorder="0" applyAlignment="0" applyProtection="0"/>
    <xf numFmtId="178" fontId="2" fillId="0" borderId="0"/>
    <xf numFmtId="0" fontId="2" fillId="0" borderId="0"/>
    <xf numFmtId="0" fontId="2" fillId="0" borderId="0"/>
    <xf numFmtId="168" fontId="8" fillId="0" borderId="0" applyFont="0" applyFill="0" applyBorder="0" applyAlignment="0" applyProtection="0"/>
    <xf numFmtId="0" fontId="2" fillId="0" borderId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71" fillId="0" borderId="0" applyFont="0" applyFill="0" applyBorder="0" applyAlignment="0" applyProtection="0"/>
    <xf numFmtId="178" fontId="2" fillId="0" borderId="0"/>
    <xf numFmtId="0" fontId="2" fillId="0" borderId="0"/>
    <xf numFmtId="0" fontId="2" fillId="0" borderId="0"/>
    <xf numFmtId="168" fontId="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8" fillId="0" borderId="0" applyFont="0" applyFill="0" applyBorder="0" applyAlignment="0" applyProtection="0"/>
    <xf numFmtId="0" fontId="2" fillId="0" borderId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71" fillId="0" borderId="0" applyFont="0" applyFill="0" applyBorder="0" applyAlignment="0" applyProtection="0"/>
    <xf numFmtId="178" fontId="2" fillId="0" borderId="0"/>
    <xf numFmtId="0" fontId="2" fillId="0" borderId="0"/>
    <xf numFmtId="0" fontId="2" fillId="0" borderId="0"/>
    <xf numFmtId="168" fontId="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35" fillId="0" borderId="0"/>
    <xf numFmtId="168" fontId="1" fillId="0" borderId="0" applyFont="0" applyFill="0" applyBorder="0" applyAlignment="0" applyProtection="0"/>
    <xf numFmtId="178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7" fontId="136" fillId="0" borderId="0" applyFont="0" applyFill="0" applyBorder="0" applyAlignment="0" applyProtection="0"/>
  </cellStyleXfs>
  <cellXfs count="907">
    <xf numFmtId="0" fontId="0" fillId="0" borderId="0" xfId="0"/>
    <xf numFmtId="0" fontId="15" fillId="0" borderId="0" xfId="0" applyFont="1"/>
    <xf numFmtId="0" fontId="0" fillId="0" borderId="0" xfId="0" applyAlignment="1" applyProtection="1">
      <alignment horizontal="left" readingOrder="2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6" fillId="0" borderId="0" xfId="6" applyFont="1"/>
    <xf numFmtId="0" fontId="13" fillId="0" borderId="0" xfId="6"/>
    <xf numFmtId="0" fontId="16" fillId="0" borderId="0" xfId="0" applyFont="1"/>
    <xf numFmtId="0" fontId="19" fillId="0" borderId="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8" fillId="0" borderId="0" xfId="0" applyFont="1"/>
    <xf numFmtId="169" fontId="16" fillId="0" borderId="0" xfId="4" applyFont="1">
      <alignment vertical="center"/>
    </xf>
    <xf numFmtId="169" fontId="20" fillId="0" borderId="0" xfId="4" applyFont="1">
      <alignment vertical="center"/>
    </xf>
    <xf numFmtId="169" fontId="20" fillId="0" borderId="0" xfId="4" quotePrefix="1" applyFont="1" applyAlignment="1">
      <alignment horizontal="right" vertical="center"/>
    </xf>
    <xf numFmtId="2" fontId="22" fillId="0" borderId="0" xfId="0" applyNumberFormat="1" applyFont="1"/>
    <xf numFmtId="169" fontId="16" fillId="0" borderId="0" xfId="0" applyNumberFormat="1" applyFont="1"/>
    <xf numFmtId="170" fontId="16" fillId="0" borderId="0" xfId="0" applyNumberFormat="1" applyFont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0" xfId="0" applyFont="1" applyAlignment="1">
      <alignment horizontal="center" wrapText="1"/>
    </xf>
    <xf numFmtId="0" fontId="23" fillId="0" borderId="0" xfId="0" applyFont="1"/>
    <xf numFmtId="0" fontId="19" fillId="0" borderId="0" xfId="0" applyFont="1"/>
    <xf numFmtId="0" fontId="17" fillId="0" borderId="0" xfId="0" applyFont="1"/>
    <xf numFmtId="0" fontId="17" fillId="0" borderId="0" xfId="6" applyFont="1"/>
    <xf numFmtId="0" fontId="25" fillId="0" borderId="0" xfId="6" applyFont="1"/>
    <xf numFmtId="171" fontId="0" fillId="0" borderId="0" xfId="4" applyNumberFormat="1" applyFont="1" applyFill="1">
      <alignment vertical="center"/>
    </xf>
    <xf numFmtId="0" fontId="19" fillId="0" borderId="0" xfId="0" applyFont="1" applyAlignment="1">
      <alignment horizontal="center"/>
    </xf>
    <xf numFmtId="0" fontId="0" fillId="2" borderId="0" xfId="0" applyFill="1" applyAlignment="1">
      <alignment horizontal="right" wrapText="1"/>
    </xf>
    <xf numFmtId="173" fontId="16" fillId="0" borderId="0" xfId="4" applyNumberFormat="1" applyFont="1">
      <alignment vertical="center"/>
    </xf>
    <xf numFmtId="173" fontId="20" fillId="0" borderId="0" xfId="4" applyNumberFormat="1" applyFont="1">
      <alignment vertical="center"/>
    </xf>
    <xf numFmtId="173" fontId="16" fillId="0" borderId="0" xfId="4" quotePrefix="1" applyNumberFormat="1" applyFont="1" applyAlignment="1">
      <alignment horizontal="right" vertical="center"/>
    </xf>
    <xf numFmtId="173" fontId="20" fillId="0" borderId="0" xfId="4" quotePrefix="1" applyNumberFormat="1" applyFont="1" applyAlignment="1">
      <alignment horizontal="right" vertical="center"/>
    </xf>
    <xf numFmtId="173" fontId="21" fillId="0" borderId="0" xfId="4" applyNumberFormat="1" applyFont="1">
      <alignment vertical="center"/>
    </xf>
    <xf numFmtId="173" fontId="24" fillId="0" borderId="0" xfId="4" applyNumberFormat="1" applyFont="1">
      <alignment vertical="center"/>
    </xf>
    <xf numFmtId="172" fontId="20" fillId="0" borderId="0" xfId="0" applyNumberFormat="1" applyFont="1" applyAlignment="1">
      <alignment horizontal="center"/>
    </xf>
    <xf numFmtId="173" fontId="16" fillId="0" borderId="0" xfId="0" applyNumberFormat="1" applyFont="1"/>
    <xf numFmtId="173" fontId="16" fillId="0" borderId="0" xfId="4" applyNumberFormat="1" applyFont="1" applyFill="1">
      <alignment vertical="center"/>
    </xf>
    <xf numFmtId="173" fontId="20" fillId="0" borderId="0" xfId="4" applyNumberFormat="1" applyFont="1" applyFill="1">
      <alignment vertical="center"/>
    </xf>
    <xf numFmtId="0" fontId="18" fillId="0" borderId="0" xfId="0" applyFont="1" applyAlignment="1">
      <alignment horizontal="center"/>
    </xf>
    <xf numFmtId="169" fontId="16" fillId="0" borderId="0" xfId="4" applyFont="1" applyFill="1">
      <alignment vertical="center"/>
    </xf>
    <xf numFmtId="4" fontId="0" fillId="0" borderId="0" xfId="0" applyNumberFormat="1"/>
    <xf numFmtId="0" fontId="23" fillId="0" borderId="0" xfId="6" applyFont="1"/>
    <xf numFmtId="0" fontId="17" fillId="0" borderId="0" xfId="6" applyFont="1" applyAlignment="1">
      <alignment horizontal="left"/>
    </xf>
    <xf numFmtId="169" fontId="0" fillId="0" borderId="0" xfId="0" applyNumberFormat="1"/>
    <xf numFmtId="173" fontId="20" fillId="0" borderId="0" xfId="4" applyNumberFormat="1" applyFont="1" applyAlignment="1">
      <alignment horizontal="right" vertical="center"/>
    </xf>
    <xf numFmtId="173" fontId="20" fillId="0" borderId="0" xfId="4" quotePrefix="1" applyNumberFormat="1" applyFont="1" applyFill="1" applyAlignment="1">
      <alignment horizontal="right" vertical="center"/>
    </xf>
    <xf numFmtId="173" fontId="16" fillId="0" borderId="0" xfId="4" quotePrefix="1" applyNumberFormat="1" applyFont="1" applyFill="1" applyAlignment="1">
      <alignment horizontal="right" vertical="center"/>
    </xf>
    <xf numFmtId="173" fontId="20" fillId="0" borderId="0" xfId="4" applyNumberFormat="1" applyFont="1" applyFill="1" applyAlignment="1">
      <alignment horizontal="right" vertical="center"/>
    </xf>
    <xf numFmtId="173" fontId="21" fillId="0" borderId="0" xfId="4" applyNumberFormat="1" applyFont="1" applyFill="1">
      <alignment vertical="center"/>
    </xf>
    <xf numFmtId="0" fontId="32" fillId="0" borderId="0" xfId="0" applyFont="1" applyProtection="1">
      <protection locked="0"/>
    </xf>
    <xf numFmtId="0" fontId="32" fillId="0" borderId="0" xfId="0" applyFont="1"/>
    <xf numFmtId="173" fontId="16" fillId="0" borderId="0" xfId="4" applyNumberFormat="1" applyFont="1" applyFill="1" applyAlignment="1">
      <alignment horizontal="right" vertical="center"/>
    </xf>
    <xf numFmtId="0" fontId="18" fillId="0" borderId="0" xfId="6" applyFont="1"/>
    <xf numFmtId="3" fontId="22" fillId="0" borderId="0" xfId="0" applyNumberFormat="1" applyFont="1"/>
    <xf numFmtId="4" fontId="22" fillId="0" borderId="0" xfId="0" applyNumberFormat="1" applyFont="1"/>
    <xf numFmtId="0" fontId="37" fillId="0" borderId="0" xfId="0" applyFont="1"/>
    <xf numFmtId="0" fontId="16" fillId="0" borderId="0" xfId="0" applyFont="1" applyBorder="1"/>
    <xf numFmtId="0" fontId="0" fillId="0" borderId="0" xfId="0" applyBorder="1" applyProtection="1">
      <protection locked="0"/>
    </xf>
    <xf numFmtId="0" fontId="0" fillId="0" borderId="0" xfId="0" applyBorder="1"/>
    <xf numFmtId="2" fontId="19" fillId="0" borderId="0" xfId="0" applyNumberFormat="1" applyFont="1" applyBorder="1" applyAlignment="1">
      <alignment horizontal="center"/>
    </xf>
    <xf numFmtId="0" fontId="34" fillId="0" borderId="0" xfId="0" applyFont="1"/>
    <xf numFmtId="4" fontId="0" fillId="0" borderId="5" xfId="0" applyNumberFormat="1" applyBorder="1"/>
    <xf numFmtId="1" fontId="38" fillId="0" borderId="0" xfId="0" applyNumberFormat="1" applyFont="1"/>
    <xf numFmtId="0" fontId="40" fillId="0" borderId="0" xfId="2" applyFont="1"/>
    <xf numFmtId="0" fontId="40" fillId="0" borderId="0" xfId="2" applyFont="1" applyAlignment="1">
      <alignment horizontal="right"/>
    </xf>
    <xf numFmtId="0" fontId="42" fillId="0" borderId="0" xfId="2" applyFont="1" applyAlignment="1">
      <alignment horizontal="center"/>
    </xf>
    <xf numFmtId="174" fontId="40" fillId="0" borderId="0" xfId="4" applyNumberFormat="1" applyFont="1" applyFill="1" applyAlignment="1">
      <alignment horizontal="right"/>
    </xf>
    <xf numFmtId="174" fontId="40" fillId="0" borderId="0" xfId="4" applyNumberFormat="1" applyFont="1" applyFill="1" applyAlignment="1">
      <alignment horizontal="center"/>
    </xf>
    <xf numFmtId="0" fontId="43" fillId="0" borderId="0" xfId="2" applyFont="1" applyAlignment="1">
      <alignment horizontal="right"/>
    </xf>
    <xf numFmtId="0" fontId="41" fillId="0" borderId="0" xfId="2" applyFont="1"/>
    <xf numFmtId="0" fontId="42" fillId="0" borderId="0" xfId="2" applyFont="1"/>
    <xf numFmtId="169" fontId="32" fillId="0" borderId="0" xfId="4" applyFont="1" applyFill="1">
      <alignment vertical="center"/>
    </xf>
    <xf numFmtId="169" fontId="32" fillId="0" borderId="5" xfId="4" applyFont="1" applyFill="1" applyBorder="1">
      <alignment vertical="center"/>
    </xf>
    <xf numFmtId="169" fontId="32" fillId="0" borderId="2" xfId="4" applyFont="1" applyFill="1" applyBorder="1">
      <alignment vertical="center"/>
    </xf>
    <xf numFmtId="174" fontId="44" fillId="0" borderId="0" xfId="2" applyNumberFormat="1" applyFont="1"/>
    <xf numFmtId="169" fontId="32" fillId="0" borderId="0" xfId="4" applyFont="1" applyFill="1" applyBorder="1">
      <alignment vertical="center"/>
    </xf>
    <xf numFmtId="174" fontId="40" fillId="0" borderId="0" xfId="2" applyNumberFormat="1" applyFont="1"/>
    <xf numFmtId="0" fontId="40" fillId="0" borderId="0" xfId="2" applyFont="1" applyAlignment="1">
      <alignment horizontal="center"/>
    </xf>
    <xf numFmtId="174" fontId="44" fillId="0" borderId="0" xfId="4" applyNumberFormat="1" applyFont="1" applyFill="1">
      <alignment vertical="center"/>
    </xf>
    <xf numFmtId="174" fontId="41" fillId="0" borderId="0" xfId="2" applyNumberFormat="1" applyFont="1"/>
    <xf numFmtId="0" fontId="40" fillId="0" borderId="5" xfId="2" applyFont="1" applyBorder="1"/>
    <xf numFmtId="174" fontId="41" fillId="0" borderId="0" xfId="4" applyNumberFormat="1" applyFont="1" applyFill="1" applyBorder="1" applyAlignment="1">
      <alignment horizontal="center"/>
    </xf>
    <xf numFmtId="0" fontId="43" fillId="0" borderId="0" xfId="2" quotePrefix="1" applyFont="1" applyAlignment="1">
      <alignment horizontal="right"/>
    </xf>
    <xf numFmtId="0" fontId="40" fillId="0" borderId="0" xfId="2" applyFont="1" applyAlignment="1">
      <alignment horizontal="left"/>
    </xf>
    <xf numFmtId="0" fontId="45" fillId="0" borderId="0" xfId="2" applyFont="1"/>
    <xf numFmtId="166" fontId="40" fillId="0" borderId="0" xfId="2" applyNumberFormat="1" applyFont="1"/>
    <xf numFmtId="0" fontId="46" fillId="0" borderId="0" xfId="0" applyFont="1"/>
    <xf numFmtId="0" fontId="47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3" fontId="14" fillId="0" borderId="0" xfId="0" applyNumberFormat="1" applyFont="1"/>
    <xf numFmtId="3" fontId="14" fillId="0" borderId="0" xfId="0" applyNumberFormat="1" applyFont="1" applyAlignment="1">
      <alignment horizontal="right"/>
    </xf>
    <xf numFmtId="3" fontId="14" fillId="0" borderId="6" xfId="0" applyNumberFormat="1" applyFont="1" applyBorder="1"/>
    <xf numFmtId="169" fontId="20" fillId="0" borderId="0" xfId="4" applyFont="1" applyFill="1">
      <alignment vertical="center"/>
    </xf>
    <xf numFmtId="169" fontId="20" fillId="0" borderId="0" xfId="4" quotePrefix="1" applyFont="1" applyFill="1" applyAlignment="1">
      <alignment horizontal="right" vertical="center"/>
    </xf>
    <xf numFmtId="173" fontId="24" fillId="0" borderId="0" xfId="4" applyNumberFormat="1" applyFont="1" applyFill="1">
      <alignment vertical="center"/>
    </xf>
    <xf numFmtId="169" fontId="21" fillId="0" borderId="0" xfId="4" applyFont="1" applyFill="1">
      <alignment vertical="center"/>
    </xf>
    <xf numFmtId="3" fontId="14" fillId="0" borderId="5" xfId="0" applyNumberFormat="1" applyFont="1" applyBorder="1"/>
    <xf numFmtId="0" fontId="13" fillId="0" borderId="0" xfId="0" applyFont="1"/>
    <xf numFmtId="169" fontId="0" fillId="0" borderId="0" xfId="4" applyFont="1">
      <alignment vertical="center"/>
    </xf>
    <xf numFmtId="169" fontId="0" fillId="0" borderId="0" xfId="4" applyFont="1" applyFill="1">
      <alignment vertical="center"/>
    </xf>
    <xf numFmtId="0" fontId="40" fillId="0" borderId="0" xfId="9" applyFont="1"/>
    <xf numFmtId="0" fontId="42" fillId="0" borderId="0" xfId="9" applyFont="1" applyAlignment="1">
      <alignment horizontal="center"/>
    </xf>
    <xf numFmtId="0" fontId="43" fillId="0" borderId="0" xfId="9" applyFont="1" applyAlignment="1">
      <alignment horizontal="right"/>
    </xf>
    <xf numFmtId="0" fontId="40" fillId="0" borderId="0" xfId="9" applyFont="1" applyAlignment="1">
      <alignment horizontal="right"/>
    </xf>
    <xf numFmtId="0" fontId="41" fillId="0" borderId="0" xfId="9" applyFont="1"/>
    <xf numFmtId="169" fontId="13" fillId="0" borderId="0" xfId="4" applyFont="1" applyFill="1" applyBorder="1">
      <alignment vertical="center"/>
    </xf>
    <xf numFmtId="0" fontId="42" fillId="0" borderId="0" xfId="9" applyFont="1"/>
    <xf numFmtId="174" fontId="40" fillId="0" borderId="0" xfId="9" applyNumberFormat="1" applyFont="1"/>
    <xf numFmtId="0" fontId="43" fillId="0" borderId="0" xfId="9" quotePrefix="1" applyFont="1" applyAlignment="1">
      <alignment horizontal="right"/>
    </xf>
    <xf numFmtId="0" fontId="40" fillId="0" borderId="0" xfId="9" applyFont="1" applyAlignment="1">
      <alignment horizontal="left"/>
    </xf>
    <xf numFmtId="169" fontId="13" fillId="0" borderId="0" xfId="4" applyFont="1" applyFill="1">
      <alignment vertical="center"/>
    </xf>
    <xf numFmtId="0" fontId="45" fillId="0" borderId="0" xfId="9" applyFont="1"/>
    <xf numFmtId="166" fontId="40" fillId="0" borderId="0" xfId="9" applyNumberFormat="1" applyFont="1"/>
    <xf numFmtId="0" fontId="13" fillId="0" borderId="0" xfId="10"/>
    <xf numFmtId="0" fontId="46" fillId="0" borderId="0" xfId="10" applyFont="1"/>
    <xf numFmtId="0" fontId="47" fillId="0" borderId="0" xfId="10" applyFont="1"/>
    <xf numFmtId="0" fontId="14" fillId="0" borderId="0" xfId="10" applyFont="1"/>
    <xf numFmtId="0" fontId="14" fillId="0" borderId="0" xfId="10" applyFont="1" applyAlignment="1">
      <alignment horizontal="center"/>
    </xf>
    <xf numFmtId="0" fontId="47" fillId="0" borderId="0" xfId="10" applyFont="1" applyAlignment="1">
      <alignment horizontal="center"/>
    </xf>
    <xf numFmtId="0" fontId="14" fillId="0" borderId="0" xfId="10" applyFont="1" applyAlignment="1">
      <alignment horizontal="right"/>
    </xf>
    <xf numFmtId="3" fontId="14" fillId="0" borderId="0" xfId="10" applyNumberFormat="1" applyFont="1"/>
    <xf numFmtId="3" fontId="14" fillId="0" borderId="0" xfId="10" applyNumberFormat="1" applyFont="1" applyAlignment="1">
      <alignment horizontal="right"/>
    </xf>
    <xf numFmtId="3" fontId="14" fillId="0" borderId="6" xfId="10" applyNumberFormat="1" applyFont="1" applyBorder="1"/>
    <xf numFmtId="174" fontId="14" fillId="0" borderId="0" xfId="4" applyNumberFormat="1" applyFont="1" applyFill="1" applyAlignment="1">
      <alignment horizontal="center"/>
    </xf>
    <xf numFmtId="174" fontId="14" fillId="0" borderId="5" xfId="4" applyNumberFormat="1" applyFont="1" applyFill="1" applyBorder="1" applyAlignment="1">
      <alignment horizontal="center"/>
    </xf>
    <xf numFmtId="0" fontId="52" fillId="0" borderId="0" xfId="10" applyFont="1"/>
    <xf numFmtId="3" fontId="48" fillId="0" borderId="0" xfId="10" applyNumberFormat="1" applyFont="1"/>
    <xf numFmtId="0" fontId="47" fillId="0" borderId="0" xfId="10" applyFont="1" applyAlignment="1">
      <alignment horizontal="right"/>
    </xf>
    <xf numFmtId="174" fontId="44" fillId="0" borderId="0" xfId="4" applyNumberFormat="1" applyFont="1" applyFill="1" applyAlignment="1">
      <alignment horizontal="center"/>
    </xf>
    <xf numFmtId="3" fontId="0" fillId="4" borderId="0" xfId="0" applyNumberFormat="1" applyFill="1" applyBorder="1" applyAlignment="1" applyProtection="1">
      <alignment horizontal="right"/>
      <protection locked="0"/>
    </xf>
    <xf numFmtId="0" fontId="0" fillId="0" borderId="0" xfId="0" applyAlignment="1">
      <alignment horizontal="right" wrapText="1"/>
    </xf>
    <xf numFmtId="3" fontId="0" fillId="0" borderId="0" xfId="0" applyNumberFormat="1" applyBorder="1" applyAlignment="1" applyProtection="1">
      <alignment horizontal="right"/>
      <protection locked="0"/>
    </xf>
    <xf numFmtId="3" fontId="0" fillId="0" borderId="0" xfId="0" applyNumberFormat="1" applyBorder="1" applyAlignment="1" applyProtection="1">
      <alignment horizontal="left"/>
      <protection locked="0"/>
    </xf>
    <xf numFmtId="0" fontId="32" fillId="0" borderId="0" xfId="7" applyFont="1" applyAlignment="1">
      <alignment horizontal="left"/>
    </xf>
    <xf numFmtId="0" fontId="32" fillId="5" borderId="0" xfId="7" applyFont="1" applyFill="1" applyAlignment="1">
      <alignment horizontal="left"/>
    </xf>
    <xf numFmtId="0" fontId="13" fillId="10" borderId="0" xfId="0" applyFont="1" applyFill="1" applyAlignment="1" applyProtection="1">
      <alignment horizontal="left" readingOrder="2"/>
      <protection locked="0"/>
    </xf>
    <xf numFmtId="0" fontId="0" fillId="4" borderId="0" xfId="0" applyFill="1" applyBorder="1" applyAlignment="1" applyProtection="1">
      <alignment horizontal="left"/>
      <protection locked="0"/>
    </xf>
    <xf numFmtId="0" fontId="0" fillId="6" borderId="0" xfId="0" applyFill="1" applyBorder="1"/>
    <xf numFmtId="0" fontId="13" fillId="0" borderId="0" xfId="0" applyFont="1" applyBorder="1"/>
    <xf numFmtId="0" fontId="13" fillId="6" borderId="0" xfId="0" applyFont="1" applyFill="1" applyBorder="1"/>
    <xf numFmtId="0" fontId="0" fillId="0" borderId="0" xfId="0" applyAlignment="1">
      <alignment horizontal="right"/>
    </xf>
    <xf numFmtId="174" fontId="44" fillId="0" borderId="0" xfId="9" applyNumberFormat="1" applyFont="1"/>
    <xf numFmtId="0" fontId="30" fillId="0" borderId="0" xfId="0" applyFont="1" applyBorder="1" applyAlignment="1">
      <alignment horizontal="center"/>
    </xf>
    <xf numFmtId="0" fontId="0" fillId="0" borderId="0" xfId="0" applyBorder="1" applyAlignment="1" applyProtection="1">
      <alignment horizontal="left"/>
      <protection locked="0"/>
    </xf>
    <xf numFmtId="0" fontId="52" fillId="6" borderId="0" xfId="0" applyFont="1" applyFill="1" applyBorder="1"/>
    <xf numFmtId="0" fontId="37" fillId="5" borderId="0" xfId="0" applyFont="1" applyFill="1" applyBorder="1" applyAlignment="1" applyProtection="1">
      <alignment horizontal="center"/>
      <protection locked="0"/>
    </xf>
    <xf numFmtId="169" fontId="0" fillId="4" borderId="0" xfId="4" applyFont="1" applyFill="1" applyBorder="1" applyProtection="1">
      <alignment vertical="center"/>
      <protection locked="0"/>
    </xf>
    <xf numFmtId="0" fontId="13" fillId="5" borderId="0" xfId="7" applyFill="1" applyAlignment="1">
      <alignment horizontal="left"/>
    </xf>
    <xf numFmtId="166" fontId="0" fillId="4" borderId="0" xfId="4" applyNumberFormat="1" applyFont="1" applyFill="1" applyBorder="1" applyProtection="1">
      <alignment vertical="center"/>
      <protection locked="0"/>
    </xf>
    <xf numFmtId="174" fontId="40" fillId="0" borderId="5" xfId="4" applyNumberFormat="1" applyFont="1" applyFill="1" applyBorder="1" applyAlignment="1">
      <alignment horizontal="center"/>
    </xf>
    <xf numFmtId="3" fontId="53" fillId="0" borderId="0" xfId="0" applyNumberFormat="1" applyFont="1" applyAlignment="1">
      <alignment horizontal="right" vertical="center" wrapText="1" readingOrder="1"/>
    </xf>
    <xf numFmtId="0" fontId="55" fillId="0" borderId="0" xfId="16" applyFont="1"/>
    <xf numFmtId="0" fontId="54" fillId="0" borderId="0" xfId="17"/>
    <xf numFmtId="0" fontId="56" fillId="0" borderId="0" xfId="16" applyFont="1" applyAlignment="1">
      <alignment horizontal="center"/>
    </xf>
    <xf numFmtId="0" fontId="58" fillId="0" borderId="0" xfId="16" applyFont="1" applyAlignment="1">
      <alignment vertical="center"/>
    </xf>
    <xf numFmtId="0" fontId="59" fillId="0" borderId="0" xfId="16" applyFont="1" applyAlignment="1">
      <alignment horizontal="center" vertical="center"/>
    </xf>
    <xf numFmtId="0" fontId="60" fillId="0" borderId="0" xfId="16" applyFont="1"/>
    <xf numFmtId="0" fontId="60" fillId="12" borderId="13" xfId="16" applyFont="1" applyFill="1" applyBorder="1"/>
    <xf numFmtId="0" fontId="60" fillId="12" borderId="14" xfId="16" applyFont="1" applyFill="1" applyBorder="1"/>
    <xf numFmtId="0" fontId="55" fillId="12" borderId="18" xfId="16" applyFont="1" applyFill="1" applyBorder="1"/>
    <xf numFmtId="175" fontId="55" fillId="12" borderId="5" xfId="18" applyNumberFormat="1" applyFont="1" applyFill="1" applyBorder="1"/>
    <xf numFmtId="174" fontId="55" fillId="0" borderId="0" xfId="20" applyNumberFormat="1" applyFont="1"/>
    <xf numFmtId="0" fontId="64" fillId="0" borderId="0" xfId="16" applyFont="1"/>
    <xf numFmtId="0" fontId="61" fillId="0" borderId="0" xfId="17" applyFont="1"/>
    <xf numFmtId="3" fontId="55" fillId="0" borderId="0" xfId="16" applyNumberFormat="1" applyFont="1" applyAlignment="1">
      <alignment horizontal="center"/>
    </xf>
    <xf numFmtId="174" fontId="40" fillId="0" borderId="0" xfId="4" applyNumberFormat="1" applyFont="1" applyFill="1" applyAlignment="1">
      <alignment horizontal="right" readingOrder="2"/>
    </xf>
    <xf numFmtId="0" fontId="62" fillId="0" borderId="0" xfId="19"/>
    <xf numFmtId="0" fontId="55" fillId="0" borderId="0" xfId="22" applyFont="1"/>
    <xf numFmtId="0" fontId="48" fillId="0" borderId="0" xfId="22" applyFont="1" applyAlignment="1">
      <alignment horizontal="center"/>
    </xf>
    <xf numFmtId="0" fontId="55" fillId="0" borderId="0" xfId="22" applyFont="1" applyAlignment="1">
      <alignment horizontal="left"/>
    </xf>
    <xf numFmtId="0" fontId="66" fillId="0" borderId="0" xfId="22" applyFont="1" applyAlignment="1">
      <alignment horizontal="left"/>
    </xf>
    <xf numFmtId="0" fontId="14" fillId="0" borderId="0" xfId="22" applyFont="1"/>
    <xf numFmtId="0" fontId="14" fillId="0" borderId="13" xfId="22" applyFont="1" applyBorder="1"/>
    <xf numFmtId="0" fontId="14" fillId="0" borderId="15" xfId="22" applyFont="1" applyBorder="1"/>
    <xf numFmtId="0" fontId="14" fillId="0" borderId="21" xfId="22" applyFont="1" applyBorder="1"/>
    <xf numFmtId="0" fontId="14" fillId="0" borderId="20" xfId="22" applyFont="1" applyBorder="1" applyAlignment="1">
      <alignment horizontal="center"/>
    </xf>
    <xf numFmtId="0" fontId="14" fillId="0" borderId="20" xfId="22" applyFont="1" applyBorder="1"/>
    <xf numFmtId="0" fontId="14" fillId="0" borderId="21" xfId="22" applyFont="1" applyBorder="1" applyAlignment="1">
      <alignment horizontal="center"/>
    </xf>
    <xf numFmtId="0" fontId="14" fillId="0" borderId="13" xfId="23" applyFont="1" applyBorder="1"/>
    <xf numFmtId="0" fontId="14" fillId="0" borderId="22" xfId="23" applyFont="1" applyBorder="1"/>
    <xf numFmtId="0" fontId="14" fillId="0" borderId="18" xfId="23" applyFont="1" applyBorder="1"/>
    <xf numFmtId="0" fontId="14" fillId="0" borderId="19" xfId="22" applyFont="1" applyBorder="1"/>
    <xf numFmtId="0" fontId="14" fillId="0" borderId="16" xfId="22" applyFont="1" applyBorder="1"/>
    <xf numFmtId="0" fontId="14" fillId="0" borderId="17" xfId="22" applyFont="1" applyBorder="1"/>
    <xf numFmtId="0" fontId="14" fillId="0" borderId="15" xfId="22" applyFont="1" applyBorder="1" applyAlignment="1">
      <alignment horizontal="center"/>
    </xf>
    <xf numFmtId="0" fontId="14" fillId="0" borderId="18" xfId="22" applyFont="1" applyBorder="1"/>
    <xf numFmtId="0" fontId="14" fillId="0" borderId="28" xfId="22" applyFont="1" applyBorder="1"/>
    <xf numFmtId="176" fontId="14" fillId="0" borderId="20" xfId="22" applyNumberFormat="1" applyFont="1" applyBorder="1" applyAlignment="1">
      <alignment horizontal="center"/>
    </xf>
    <xf numFmtId="0" fontId="68" fillId="0" borderId="20" xfId="22" applyFont="1" applyBorder="1" applyAlignment="1">
      <alignment horizontal="center" wrapText="1"/>
    </xf>
    <xf numFmtId="0" fontId="57" fillId="0" borderId="0" xfId="22" applyFont="1"/>
    <xf numFmtId="176" fontId="14" fillId="0" borderId="20" xfId="22" applyNumberFormat="1" applyFont="1" applyBorder="1"/>
    <xf numFmtId="14" fontId="55" fillId="0" borderId="0" xfId="22" applyNumberFormat="1" applyFont="1"/>
    <xf numFmtId="176" fontId="55" fillId="0" borderId="0" xfId="22" applyNumberFormat="1" applyFont="1"/>
    <xf numFmtId="1" fontId="55" fillId="0" borderId="0" xfId="22" applyNumberFormat="1" applyFont="1"/>
    <xf numFmtId="175" fontId="55" fillId="0" borderId="0" xfId="18" applyNumberFormat="1" applyFont="1" applyFill="1"/>
    <xf numFmtId="16" fontId="55" fillId="0" borderId="0" xfId="22" applyNumberFormat="1" applyFont="1"/>
    <xf numFmtId="0" fontId="55" fillId="9" borderId="0" xfId="22" applyFont="1" applyFill="1"/>
    <xf numFmtId="176" fontId="68" fillId="0" borderId="0" xfId="22" applyNumberFormat="1" applyFont="1" applyAlignment="1">
      <alignment horizontal="left"/>
    </xf>
    <xf numFmtId="49" fontId="55" fillId="0" borderId="0" xfId="22" applyNumberFormat="1" applyFont="1"/>
    <xf numFmtId="0" fontId="55" fillId="0" borderId="5" xfId="22" applyFont="1" applyBorder="1"/>
    <xf numFmtId="0" fontId="55" fillId="0" borderId="6" xfId="22" applyFont="1" applyBorder="1"/>
    <xf numFmtId="173" fontId="0" fillId="0" borderId="0" xfId="0" applyNumberFormat="1"/>
    <xf numFmtId="0" fontId="52" fillId="0" borderId="0" xfId="0" applyFont="1" applyBorder="1"/>
    <xf numFmtId="0" fontId="69" fillId="0" borderId="0" xfId="0" applyFont="1" applyBorder="1"/>
    <xf numFmtId="174" fontId="70" fillId="0" borderId="5" xfId="4" applyNumberFormat="1" applyFont="1" applyFill="1" applyBorder="1" applyAlignment="1">
      <alignment horizontal="center"/>
    </xf>
    <xf numFmtId="3" fontId="40" fillId="0" borderId="0" xfId="9" applyNumberFormat="1" applyFont="1"/>
    <xf numFmtId="0" fontId="40" fillId="0" borderId="13" xfId="9" applyFont="1" applyBorder="1"/>
    <xf numFmtId="0" fontId="46" fillId="0" borderId="14" xfId="9" applyFont="1" applyBorder="1"/>
    <xf numFmtId="0" fontId="40" fillId="0" borderId="14" xfId="9" applyFont="1" applyBorder="1"/>
    <xf numFmtId="0" fontId="40" fillId="0" borderId="15" xfId="9" applyFont="1" applyBorder="1"/>
    <xf numFmtId="0" fontId="40" fillId="0" borderId="16" xfId="9" applyFont="1" applyBorder="1"/>
    <xf numFmtId="0" fontId="46" fillId="0" borderId="0" xfId="9" applyFont="1"/>
    <xf numFmtId="0" fontId="40" fillId="0" borderId="17" xfId="9" applyFont="1" applyBorder="1"/>
    <xf numFmtId="174" fontId="40" fillId="0" borderId="0" xfId="4" applyNumberFormat="1" applyFont="1" applyFill="1" applyBorder="1" applyAlignment="1">
      <alignment horizontal="center"/>
    </xf>
    <xf numFmtId="0" fontId="40" fillId="0" borderId="16" xfId="9" applyFont="1" applyBorder="1" applyAlignment="1">
      <alignment horizontal="right"/>
    </xf>
    <xf numFmtId="0" fontId="40" fillId="0" borderId="18" xfId="9" applyFont="1" applyBorder="1"/>
    <xf numFmtId="0" fontId="40" fillId="0" borderId="5" xfId="9" applyFont="1" applyBorder="1"/>
    <xf numFmtId="0" fontId="40" fillId="0" borderId="19" xfId="9" applyFont="1" applyBorder="1"/>
    <xf numFmtId="0" fontId="13" fillId="10" borderId="0" xfId="0" applyFont="1" applyFill="1"/>
    <xf numFmtId="0" fontId="13" fillId="10" borderId="0" xfId="0" applyFont="1" applyFill="1" applyAlignment="1">
      <alignment horizontal="left"/>
    </xf>
    <xf numFmtId="169" fontId="0" fillId="2" borderId="0" xfId="4" applyFont="1" applyFill="1" applyProtection="1">
      <alignment vertical="center"/>
    </xf>
    <xf numFmtId="169" fontId="0" fillId="10" borderId="0" xfId="4" applyFont="1" applyFill="1">
      <alignment vertical="center"/>
    </xf>
    <xf numFmtId="169" fontId="0" fillId="3" borderId="1" xfId="4" applyFont="1" applyFill="1" applyBorder="1" applyProtection="1">
      <alignment vertical="center"/>
    </xf>
    <xf numFmtId="169" fontId="0" fillId="4" borderId="0" xfId="4" applyFont="1" applyFill="1">
      <alignment vertical="center"/>
    </xf>
    <xf numFmtId="169" fontId="52" fillId="3" borderId="2" xfId="4" applyFont="1" applyFill="1" applyBorder="1" applyProtection="1">
      <alignment vertical="center"/>
    </xf>
    <xf numFmtId="169" fontId="0" fillId="0" borderId="0" xfId="4" applyFont="1" applyFill="1" applyProtection="1">
      <alignment vertical="center"/>
      <protection locked="0"/>
    </xf>
    <xf numFmtId="169" fontId="0" fillId="3" borderId="0" xfId="4" applyFont="1" applyFill="1" applyProtection="1">
      <alignment vertical="center"/>
    </xf>
    <xf numFmtId="0" fontId="13" fillId="6" borderId="0" xfId="0" applyFont="1" applyFill="1" applyBorder="1" applyAlignment="1">
      <alignment horizontal="right"/>
    </xf>
    <xf numFmtId="49" fontId="13" fillId="10" borderId="0" xfId="0" applyNumberFormat="1" applyFont="1" applyFill="1" applyAlignment="1" applyProtection="1">
      <alignment horizontal="left" readingOrder="2"/>
      <protection locked="0"/>
    </xf>
    <xf numFmtId="169" fontId="19" fillId="0" borderId="0" xfId="0" applyNumberFormat="1" applyFont="1" applyBorder="1" applyAlignment="1">
      <alignment horizontal="center"/>
    </xf>
    <xf numFmtId="169" fontId="16" fillId="0" borderId="0" xfId="0" applyNumberFormat="1" applyFont="1" applyAlignment="1">
      <alignment horizontal="center"/>
    </xf>
    <xf numFmtId="169" fontId="21" fillId="0" borderId="0" xfId="4" applyFont="1" applyFill="1" applyBorder="1">
      <alignment vertical="center"/>
    </xf>
    <xf numFmtId="169" fontId="22" fillId="0" borderId="0" xfId="0" applyNumberFormat="1" applyFont="1"/>
    <xf numFmtId="169" fontId="40" fillId="0" borderId="0" xfId="4" applyFont="1" applyBorder="1">
      <alignment vertical="center"/>
    </xf>
    <xf numFmtId="0" fontId="70" fillId="0" borderId="0" xfId="9" applyFont="1"/>
    <xf numFmtId="0" fontId="71" fillId="0" borderId="0" xfId="0" applyFont="1" applyAlignment="1">
      <alignment horizontal="right" vertical="center" readingOrder="2"/>
    </xf>
    <xf numFmtId="0" fontId="73" fillId="0" borderId="0" xfId="0" applyFont="1" applyAlignment="1">
      <alignment horizontal="right" vertical="center" readingOrder="2"/>
    </xf>
    <xf numFmtId="174" fontId="70" fillId="0" borderId="0" xfId="4" applyNumberFormat="1" applyFont="1" applyFill="1" applyAlignment="1">
      <alignment horizontal="right" readingOrder="2"/>
    </xf>
    <xf numFmtId="0" fontId="75" fillId="0" borderId="0" xfId="0" applyFont="1"/>
    <xf numFmtId="0" fontId="13" fillId="0" borderId="0" xfId="26"/>
    <xf numFmtId="0" fontId="76" fillId="14" borderId="3" xfId="27" applyNumberFormat="1" applyFont="1" applyFill="1" applyBorder="1"/>
    <xf numFmtId="0" fontId="76" fillId="14" borderId="4" xfId="27" applyNumberFormat="1" applyFont="1" applyFill="1" applyBorder="1"/>
    <xf numFmtId="178" fontId="63" fillId="0" borderId="0" xfId="27"/>
    <xf numFmtId="0" fontId="77" fillId="0" borderId="0" xfId="27" applyNumberFormat="1" applyFont="1"/>
    <xf numFmtId="179" fontId="61" fillId="0" borderId="0" xfId="28" applyNumberFormat="1" applyFont="1" applyFill="1"/>
    <xf numFmtId="0" fontId="13" fillId="0" borderId="0" xfId="26" applyBorder="1"/>
    <xf numFmtId="179" fontId="61" fillId="0" borderId="2" xfId="28" applyNumberFormat="1" applyFont="1" applyFill="1" applyBorder="1"/>
    <xf numFmtId="179" fontId="61" fillId="0" borderId="0" xfId="28" applyNumberFormat="1" applyFont="1" applyFill="1" applyBorder="1"/>
    <xf numFmtId="179" fontId="13" fillId="0" borderId="0" xfId="26" applyNumberFormat="1"/>
    <xf numFmtId="0" fontId="72" fillId="0" borderId="0" xfId="29"/>
    <xf numFmtId="0" fontId="79" fillId="0" borderId="0" xfId="30" applyNumberFormat="1" applyFont="1"/>
    <xf numFmtId="0" fontId="80" fillId="0" borderId="0" xfId="30" applyNumberFormat="1" applyFont="1"/>
    <xf numFmtId="179" fontId="79" fillId="0" borderId="0" xfId="28" applyNumberFormat="1" applyFont="1"/>
    <xf numFmtId="10" fontId="79" fillId="0" borderId="0" xfId="31" applyNumberFormat="1" applyFont="1"/>
    <xf numFmtId="175" fontId="0" fillId="0" borderId="0" xfId="32" applyNumberFormat="1" applyFont="1" applyFill="1"/>
    <xf numFmtId="175" fontId="61" fillId="0" borderId="0" xfId="32" applyNumberFormat="1" applyFont="1" applyFill="1" applyAlignment="1">
      <alignment wrapText="1"/>
    </xf>
    <xf numFmtId="181" fontId="0" fillId="0" borderId="0" xfId="33" applyNumberFormat="1" applyFont="1" applyFill="1"/>
    <xf numFmtId="181" fontId="0" fillId="0" borderId="0" xfId="33" applyNumberFormat="1" applyFont="1" applyFill="1" applyBorder="1"/>
    <xf numFmtId="164" fontId="61" fillId="0" borderId="0" xfId="28" applyFont="1" applyFill="1"/>
    <xf numFmtId="0" fontId="52" fillId="0" borderId="0" xfId="26" applyFont="1"/>
    <xf numFmtId="169" fontId="14" fillId="0" borderId="0" xfId="4" applyFont="1" applyFill="1">
      <alignment vertical="center"/>
    </xf>
    <xf numFmtId="173" fontId="14" fillId="0" borderId="0" xfId="4" applyNumberFormat="1" applyFont="1" applyFill="1">
      <alignment vertical="center"/>
    </xf>
    <xf numFmtId="49" fontId="0" fillId="10" borderId="0" xfId="0" applyNumberFormat="1" applyFill="1" applyAlignment="1">
      <alignment horizontal="left"/>
    </xf>
    <xf numFmtId="49" fontId="13" fillId="10" borderId="0" xfId="0" applyNumberFormat="1" applyFont="1" applyFill="1" applyAlignment="1">
      <alignment horizontal="left"/>
    </xf>
    <xf numFmtId="0" fontId="13" fillId="10" borderId="0" xfId="0" applyFont="1" applyFill="1" applyBorder="1"/>
    <xf numFmtId="169" fontId="13" fillId="10" borderId="0" xfId="4" applyFont="1" applyFill="1" applyBorder="1">
      <alignment vertical="center"/>
    </xf>
    <xf numFmtId="171" fontId="0" fillId="0" borderId="0" xfId="4" applyNumberFormat="1" applyFont="1" applyFill="1" applyBorder="1">
      <alignment vertical="center"/>
    </xf>
    <xf numFmtId="0" fontId="0" fillId="0" borderId="5" xfId="0" applyBorder="1"/>
    <xf numFmtId="0" fontId="51" fillId="0" borderId="0" xfId="0" applyFont="1" applyBorder="1"/>
    <xf numFmtId="182" fontId="0" fillId="0" borderId="0" xfId="4" applyNumberFormat="1" applyFont="1" applyFill="1" applyBorder="1">
      <alignment vertical="center"/>
    </xf>
    <xf numFmtId="49" fontId="13" fillId="10" borderId="0" xfId="0" applyNumberFormat="1" applyFont="1" applyFill="1" applyBorder="1" applyAlignment="1">
      <alignment horizontal="left"/>
    </xf>
    <xf numFmtId="173" fontId="23" fillId="0" borderId="29" xfId="4" applyNumberFormat="1" applyFont="1" applyFill="1" applyBorder="1">
      <alignment vertical="center"/>
    </xf>
    <xf numFmtId="169" fontId="0" fillId="2" borderId="1" xfId="4" applyFont="1" applyFill="1" applyBorder="1" applyProtection="1">
      <alignment vertical="center"/>
    </xf>
    <xf numFmtId="0" fontId="37" fillId="6" borderId="0" xfId="0" applyFont="1" applyFill="1" applyBorder="1"/>
    <xf numFmtId="0" fontId="13" fillId="10" borderId="0" xfId="0" applyFont="1" applyFill="1" applyBorder="1" applyAlignment="1">
      <alignment horizontal="left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right" wrapText="1"/>
    </xf>
    <xf numFmtId="173" fontId="22" fillId="0" borderId="0" xfId="0" applyNumberFormat="1" applyFont="1"/>
    <xf numFmtId="166" fontId="82" fillId="0" borderId="0" xfId="0" applyNumberFormat="1" applyFont="1"/>
    <xf numFmtId="4" fontId="52" fillId="0" borderId="0" xfId="0" applyNumberFormat="1" applyFont="1"/>
    <xf numFmtId="169" fontId="52" fillId="0" borderId="0" xfId="0" applyNumberFormat="1" applyFont="1"/>
    <xf numFmtId="0" fontId="52" fillId="0" borderId="5" xfId="0" applyFont="1" applyBorder="1"/>
    <xf numFmtId="0" fontId="52" fillId="0" borderId="5" xfId="0" applyFont="1" applyBorder="1" applyAlignment="1">
      <alignment horizontal="center"/>
    </xf>
    <xf numFmtId="166" fontId="0" fillId="0" borderId="0" xfId="0" applyNumberFormat="1"/>
    <xf numFmtId="183" fontId="9" fillId="0" borderId="0" xfId="34"/>
    <xf numFmtId="183" fontId="52" fillId="0" borderId="0" xfId="34" applyFont="1" applyAlignment="1">
      <alignment horizontal="center"/>
    </xf>
    <xf numFmtId="184" fontId="9" fillId="0" borderId="0" xfId="34" applyNumberFormat="1"/>
    <xf numFmtId="183" fontId="15" fillId="0" borderId="0" xfId="34" applyFont="1" applyAlignment="1">
      <alignment horizontal="right"/>
    </xf>
    <xf numFmtId="174" fontId="88" fillId="0" borderId="0" xfId="35" applyNumberFormat="1" applyFont="1" applyAlignment="1">
      <alignment horizontal="left"/>
    </xf>
    <xf numFmtId="174" fontId="88" fillId="0" borderId="0" xfId="35" applyNumberFormat="1" applyFont="1" applyAlignment="1">
      <alignment horizontal="center" wrapText="1"/>
    </xf>
    <xf numFmtId="174" fontId="85" fillId="0" borderId="0" xfId="35" applyNumberFormat="1" applyFont="1" applyAlignment="1">
      <alignment horizontal="center"/>
    </xf>
    <xf numFmtId="174" fontId="85" fillId="0" borderId="0" xfId="35" applyNumberFormat="1" applyFont="1" applyBorder="1" applyAlignment="1">
      <alignment horizontal="right" readingOrder="2"/>
    </xf>
    <xf numFmtId="174" fontId="9" fillId="0" borderId="0" xfId="34" applyNumberFormat="1"/>
    <xf numFmtId="174" fontId="85" fillId="0" borderId="0" xfId="35" applyNumberFormat="1" applyFont="1" applyFill="1" applyAlignment="1">
      <alignment horizontal="right" readingOrder="2"/>
    </xf>
    <xf numFmtId="174" fontId="85" fillId="0" borderId="0" xfId="35" applyNumberFormat="1" applyFont="1" applyAlignment="1">
      <alignment horizontal="right" readingOrder="2"/>
    </xf>
    <xf numFmtId="174" fontId="89" fillId="0" borderId="0" xfId="35" applyNumberFormat="1" applyFont="1" applyBorder="1"/>
    <xf numFmtId="174" fontId="89" fillId="9" borderId="2" xfId="35" applyNumberFormat="1" applyFont="1" applyFill="1" applyBorder="1"/>
    <xf numFmtId="174" fontId="89" fillId="0" borderId="2" xfId="35" applyNumberFormat="1" applyFont="1" applyBorder="1"/>
    <xf numFmtId="1" fontId="9" fillId="0" borderId="0" xfId="34" applyNumberFormat="1"/>
    <xf numFmtId="169" fontId="0" fillId="4" borderId="0" xfId="4" applyFont="1" applyFill="1" applyBorder="1">
      <alignment vertical="center"/>
    </xf>
    <xf numFmtId="2" fontId="0" fillId="0" borderId="0" xfId="0" applyNumberFormat="1"/>
    <xf numFmtId="169" fontId="20" fillId="0" borderId="0" xfId="4" applyFont="1" applyFill="1" applyBorder="1">
      <alignment vertical="center"/>
    </xf>
    <xf numFmtId="173" fontId="16" fillId="0" borderId="0" xfId="4" applyNumberFormat="1" applyFont="1" applyFill="1" applyBorder="1">
      <alignment vertical="center"/>
    </xf>
    <xf numFmtId="169" fontId="16" fillId="0" borderId="0" xfId="4" applyFont="1" applyBorder="1">
      <alignment vertical="center"/>
    </xf>
    <xf numFmtId="169" fontId="16" fillId="0" borderId="0" xfId="4" applyFont="1" applyFill="1" applyBorder="1">
      <alignment vertical="center"/>
    </xf>
    <xf numFmtId="0" fontId="37" fillId="0" borderId="0" xfId="0" applyFont="1" applyAlignment="1">
      <alignment horizontal="right"/>
    </xf>
    <xf numFmtId="0" fontId="13" fillId="9" borderId="0" xfId="0" applyFont="1" applyFill="1"/>
    <xf numFmtId="0" fontId="0" fillId="9" borderId="0" xfId="0" applyFill="1"/>
    <xf numFmtId="0" fontId="13" fillId="17" borderId="0" xfId="0" applyFont="1" applyFill="1"/>
    <xf numFmtId="0" fontId="0" fillId="17" borderId="0" xfId="0" applyFill="1"/>
    <xf numFmtId="4" fontId="0" fillId="4" borderId="0" xfId="0" applyNumberFormat="1" applyFill="1" applyBorder="1" applyAlignment="1" applyProtection="1">
      <alignment horizontal="right"/>
      <protection locked="0"/>
    </xf>
    <xf numFmtId="169" fontId="8" fillId="0" borderId="0" xfId="4" applyFont="1" applyAlignment="1"/>
    <xf numFmtId="0" fontId="37" fillId="19" borderId="0" xfId="0" applyFont="1" applyFill="1" applyBorder="1" applyAlignment="1" applyProtection="1">
      <alignment horizontal="center"/>
      <protection locked="0"/>
    </xf>
    <xf numFmtId="169" fontId="0" fillId="18" borderId="0" xfId="4" applyFont="1" applyFill="1" applyBorder="1">
      <alignment vertical="center"/>
    </xf>
    <xf numFmtId="3" fontId="13" fillId="4" borderId="0" xfId="0" applyNumberFormat="1" applyFont="1" applyFill="1" applyBorder="1" applyAlignment="1" applyProtection="1">
      <alignment horizontal="right"/>
      <protection locked="0"/>
    </xf>
    <xf numFmtId="169" fontId="13" fillId="0" borderId="0" xfId="4" applyFont="1" applyBorder="1">
      <alignment vertical="center"/>
    </xf>
    <xf numFmtId="173" fontId="20" fillId="0" borderId="0" xfId="4" applyNumberFormat="1" applyFont="1" applyFill="1" applyBorder="1">
      <alignment vertical="center"/>
    </xf>
    <xf numFmtId="0" fontId="63" fillId="0" borderId="0" xfId="36"/>
    <xf numFmtId="49" fontId="63" fillId="0" borderId="0" xfId="36" applyNumberFormat="1" applyAlignment="1">
      <alignment horizontal="right"/>
    </xf>
    <xf numFmtId="49" fontId="63" fillId="0" borderId="0" xfId="36" applyNumberFormat="1" applyAlignment="1">
      <alignment horizontal="left"/>
    </xf>
    <xf numFmtId="185" fontId="63" fillId="0" borderId="0" xfId="36" applyNumberFormat="1" applyAlignment="1">
      <alignment horizontal="right"/>
    </xf>
    <xf numFmtId="49" fontId="87" fillId="0" borderId="0" xfId="36" applyNumberFormat="1" applyFont="1" applyAlignment="1">
      <alignment horizontal="left"/>
    </xf>
    <xf numFmtId="49" fontId="87" fillId="0" borderId="0" xfId="36" applyNumberFormat="1" applyFont="1" applyAlignment="1">
      <alignment horizontal="left" wrapText="1"/>
    </xf>
    <xf numFmtId="169" fontId="13" fillId="2" borderId="0" xfId="4" applyFont="1" applyFill="1" applyAlignment="1" applyProtection="1">
      <alignment horizontal="center" vertical="center"/>
    </xf>
    <xf numFmtId="186" fontId="63" fillId="20" borderId="0" xfId="4" applyNumberFormat="1" applyFont="1" applyFill="1">
      <alignment vertical="center"/>
    </xf>
    <xf numFmtId="182" fontId="63" fillId="21" borderId="0" xfId="4" applyNumberFormat="1" applyFont="1" applyFill="1">
      <alignment vertical="center"/>
    </xf>
    <xf numFmtId="186" fontId="63" fillId="21" borderId="0" xfId="4" applyNumberFormat="1" applyFont="1" applyFill="1">
      <alignment vertical="center"/>
    </xf>
    <xf numFmtId="182" fontId="63" fillId="21" borderId="5" xfId="4" applyNumberFormat="1" applyFont="1" applyFill="1" applyBorder="1">
      <alignment vertical="center"/>
    </xf>
    <xf numFmtId="173" fontId="63" fillId="21" borderId="0" xfId="4" applyNumberFormat="1" applyFont="1" applyFill="1">
      <alignment vertical="center"/>
    </xf>
    <xf numFmtId="171" fontId="63" fillId="21" borderId="0" xfId="4" applyNumberFormat="1" applyFont="1" applyFill="1">
      <alignment vertical="center"/>
    </xf>
    <xf numFmtId="182" fontId="63" fillId="21" borderId="0" xfId="4" applyNumberFormat="1" applyFont="1" applyFill="1" applyBorder="1">
      <alignment vertical="center"/>
    </xf>
    <xf numFmtId="185" fontId="87" fillId="0" borderId="2" xfId="36" applyNumberFormat="1" applyFont="1" applyBorder="1" applyAlignment="1">
      <alignment horizontal="right"/>
    </xf>
    <xf numFmtId="0" fontId="87" fillId="0" borderId="2" xfId="36" applyFont="1" applyBorder="1"/>
    <xf numFmtId="182" fontId="87" fillId="21" borderId="2" xfId="4" applyNumberFormat="1" applyFont="1" applyFill="1" applyBorder="1">
      <alignment vertical="center"/>
    </xf>
    <xf numFmtId="182" fontId="63" fillId="0" borderId="0" xfId="4" applyNumberFormat="1" applyFont="1">
      <alignment vertical="center"/>
    </xf>
    <xf numFmtId="182" fontId="91" fillId="0" borderId="0" xfId="4" applyNumberFormat="1" applyFont="1">
      <alignment vertical="center"/>
    </xf>
    <xf numFmtId="182" fontId="63" fillId="0" borderId="0" xfId="4" applyNumberFormat="1" applyFont="1" applyBorder="1">
      <alignment vertical="center"/>
    </xf>
    <xf numFmtId="182" fontId="87" fillId="0" borderId="0" xfId="4" applyNumberFormat="1" applyFont="1" applyBorder="1">
      <alignment vertical="center"/>
    </xf>
    <xf numFmtId="166" fontId="63" fillId="0" borderId="0" xfId="36" applyNumberFormat="1"/>
    <xf numFmtId="182" fontId="87" fillId="0" borderId="2" xfId="4" applyNumberFormat="1" applyFont="1" applyBorder="1">
      <alignment vertical="center"/>
    </xf>
    <xf numFmtId="0" fontId="37" fillId="10" borderId="0" xfId="0" applyFont="1" applyFill="1" applyAlignment="1" applyProtection="1">
      <alignment horizontal="left" readingOrder="2"/>
      <protection locked="0"/>
    </xf>
    <xf numFmtId="0" fontId="63" fillId="20" borderId="0" xfId="36" applyFill="1"/>
    <xf numFmtId="49" fontId="63" fillId="20" borderId="0" xfId="36" applyNumberFormat="1" applyFill="1" applyAlignment="1">
      <alignment horizontal="right"/>
    </xf>
    <xf numFmtId="0" fontId="63" fillId="20" borderId="0" xfId="36" applyFill="1" applyAlignment="1">
      <alignment horizontal="left"/>
    </xf>
    <xf numFmtId="0" fontId="13" fillId="20" borderId="0" xfId="0" applyFont="1" applyFill="1" applyBorder="1"/>
    <xf numFmtId="169" fontId="0" fillId="20" borderId="1" xfId="4" applyFont="1" applyFill="1" applyBorder="1" applyProtection="1">
      <alignment vertical="center"/>
    </xf>
    <xf numFmtId="169" fontId="0" fillId="20" borderId="0" xfId="4" applyFont="1" applyFill="1" applyBorder="1">
      <alignment vertical="center"/>
    </xf>
    <xf numFmtId="0" fontId="0" fillId="20" borderId="0" xfId="0" applyFill="1" applyBorder="1"/>
    <xf numFmtId="0" fontId="0" fillId="2" borderId="17" xfId="0" applyFill="1" applyBorder="1" applyAlignment="1">
      <alignment horizontal="right" wrapText="1"/>
    </xf>
    <xf numFmtId="0" fontId="0" fillId="10" borderId="17" xfId="0" applyFill="1" applyBorder="1" applyAlignment="1" applyProtection="1">
      <alignment horizontal="right" readingOrder="2"/>
      <protection locked="0"/>
    </xf>
    <xf numFmtId="0" fontId="0" fillId="0" borderId="17" xfId="0" applyBorder="1" applyAlignment="1" applyProtection="1">
      <alignment horizontal="left" readingOrder="2"/>
      <protection locked="0"/>
    </xf>
    <xf numFmtId="0" fontId="13" fillId="18" borderId="0" xfId="0" applyFont="1" applyFill="1"/>
    <xf numFmtId="0" fontId="13" fillId="18" borderId="0" xfId="0" applyFont="1" applyFill="1" applyBorder="1"/>
    <xf numFmtId="169" fontId="13" fillId="18" borderId="0" xfId="4" applyFont="1" applyFill="1" applyBorder="1">
      <alignment vertical="center"/>
    </xf>
    <xf numFmtId="169" fontId="0" fillId="18" borderId="1" xfId="4" applyFont="1" applyFill="1" applyBorder="1" applyProtection="1">
      <alignment vertical="center"/>
    </xf>
    <xf numFmtId="0" fontId="0" fillId="18" borderId="0" xfId="0" applyFill="1" applyBorder="1"/>
    <xf numFmtId="169" fontId="63" fillId="0" borderId="0" xfId="4" applyFont="1">
      <alignment vertical="center"/>
    </xf>
    <xf numFmtId="169" fontId="90" fillId="0" borderId="0" xfId="4" applyFont="1">
      <alignment vertical="center"/>
    </xf>
    <xf numFmtId="169" fontId="63" fillId="0" borderId="5" xfId="4" applyFont="1" applyBorder="1">
      <alignment vertical="center"/>
    </xf>
    <xf numFmtId="171" fontId="0" fillId="18" borderId="0" xfId="4" applyNumberFormat="1" applyFont="1" applyFill="1" applyBorder="1">
      <alignment vertical="center"/>
    </xf>
    <xf numFmtId="0" fontId="13" fillId="18" borderId="0" xfId="0" applyFont="1" applyFill="1" applyBorder="1" applyAlignment="1">
      <alignment horizontal="right"/>
    </xf>
    <xf numFmtId="0" fontId="0" fillId="18" borderId="0" xfId="0" applyFill="1"/>
    <xf numFmtId="49" fontId="91" fillId="0" borderId="0" xfId="36" applyNumberFormat="1" applyFont="1" applyAlignment="1">
      <alignment horizontal="left"/>
    </xf>
    <xf numFmtId="182" fontId="91" fillId="0" borderId="0" xfId="4" applyNumberFormat="1" applyFont="1" applyFill="1">
      <alignment vertical="center"/>
    </xf>
    <xf numFmtId="0" fontId="91" fillId="0" borderId="0" xfId="36" applyFont="1"/>
    <xf numFmtId="182" fontId="91" fillId="21" borderId="0" xfId="4" applyNumberFormat="1" applyFont="1" applyFill="1" applyBorder="1">
      <alignment vertical="center"/>
    </xf>
    <xf numFmtId="185" fontId="91" fillId="0" borderId="0" xfId="36" applyNumberFormat="1" applyFont="1" applyAlignment="1">
      <alignment horizontal="right"/>
    </xf>
    <xf numFmtId="0" fontId="63" fillId="0" borderId="0" xfId="36" applyAlignment="1">
      <alignment horizontal="right"/>
    </xf>
    <xf numFmtId="182" fontId="63" fillId="21" borderId="0" xfId="4" applyNumberFormat="1" applyFont="1" applyFill="1" applyAlignment="1">
      <alignment horizontal="right" vertical="center"/>
    </xf>
    <xf numFmtId="166" fontId="0" fillId="21" borderId="0" xfId="37" applyFont="1" applyFill="1"/>
    <xf numFmtId="166" fontId="0" fillId="21" borderId="0" xfId="37" applyFont="1" applyFill="1" applyAlignment="1">
      <alignment horizontal="right"/>
    </xf>
    <xf numFmtId="185" fontId="63" fillId="0" borderId="5" xfId="36" applyNumberFormat="1" applyBorder="1" applyAlignment="1">
      <alignment horizontal="right"/>
    </xf>
    <xf numFmtId="166" fontId="0" fillId="21" borderId="5" xfId="37" applyFont="1" applyFill="1" applyBorder="1"/>
    <xf numFmtId="166" fontId="87" fillId="21" borderId="0" xfId="37" applyFont="1" applyFill="1"/>
    <xf numFmtId="185" fontId="63" fillId="0" borderId="29" xfId="36" applyNumberFormat="1" applyBorder="1" applyAlignment="1">
      <alignment horizontal="right"/>
    </xf>
    <xf numFmtId="185" fontId="63" fillId="21" borderId="29" xfId="36" applyNumberFormat="1" applyFill="1" applyBorder="1" applyAlignment="1">
      <alignment horizontal="right"/>
    </xf>
    <xf numFmtId="187" fontId="63" fillId="0" borderId="0" xfId="4" applyNumberFormat="1" applyFont="1">
      <alignment vertical="center"/>
    </xf>
    <xf numFmtId="187" fontId="63" fillId="0" borderId="13" xfId="4" applyNumberFormat="1" applyFont="1" applyBorder="1">
      <alignment vertical="center"/>
    </xf>
    <xf numFmtId="0" fontId="63" fillId="0" borderId="15" xfId="36" applyBorder="1"/>
    <xf numFmtId="187" fontId="63" fillId="0" borderId="18" xfId="4" applyNumberFormat="1" applyFont="1" applyBorder="1">
      <alignment vertical="center"/>
    </xf>
    <xf numFmtId="0" fontId="63" fillId="0" borderId="19" xfId="36" applyBorder="1"/>
    <xf numFmtId="0" fontId="63" fillId="21" borderId="0" xfId="36" applyFill="1"/>
    <xf numFmtId="49" fontId="63" fillId="19" borderId="0" xfId="36" applyNumberFormat="1" applyFill="1" applyAlignment="1">
      <alignment horizontal="right"/>
    </xf>
    <xf numFmtId="49" fontId="63" fillId="19" borderId="0" xfId="36" applyNumberFormat="1" applyFill="1" applyAlignment="1">
      <alignment horizontal="left"/>
    </xf>
    <xf numFmtId="185" fontId="63" fillId="19" borderId="0" xfId="36" applyNumberFormat="1" applyFill="1" applyAlignment="1">
      <alignment horizontal="right"/>
    </xf>
    <xf numFmtId="0" fontId="63" fillId="19" borderId="0" xfId="36" applyFill="1"/>
    <xf numFmtId="166" fontId="0" fillId="19" borderId="0" xfId="37" applyFont="1" applyFill="1"/>
    <xf numFmtId="182" fontId="63" fillId="21" borderId="29" xfId="4" applyNumberFormat="1" applyFont="1" applyFill="1" applyBorder="1">
      <alignment vertical="center"/>
    </xf>
    <xf numFmtId="0" fontId="63" fillId="22" borderId="0" xfId="36" applyFill="1"/>
    <xf numFmtId="187" fontId="63" fillId="0" borderId="13" xfId="37" applyNumberFormat="1" applyFont="1" applyBorder="1" applyAlignment="1">
      <alignment vertical="center"/>
    </xf>
    <xf numFmtId="187" fontId="63" fillId="0" borderId="18" xfId="37" applyNumberFormat="1" applyFont="1" applyBorder="1" applyAlignment="1">
      <alignment vertical="center"/>
    </xf>
    <xf numFmtId="49" fontId="63" fillId="22" borderId="0" xfId="36" applyNumberFormat="1" applyFill="1" applyAlignment="1">
      <alignment horizontal="right"/>
    </xf>
    <xf numFmtId="166" fontId="63" fillId="22" borderId="0" xfId="36" applyNumberFormat="1" applyFill="1"/>
    <xf numFmtId="166" fontId="63" fillId="22" borderId="5" xfId="36" applyNumberFormat="1" applyFill="1" applyBorder="1"/>
    <xf numFmtId="166" fontId="87" fillId="22" borderId="0" xfId="36" applyNumberFormat="1" applyFont="1" applyFill="1"/>
    <xf numFmtId="185" fontId="63" fillId="22" borderId="5" xfId="36" applyNumberFormat="1" applyFill="1" applyBorder="1" applyAlignment="1">
      <alignment horizontal="right"/>
    </xf>
    <xf numFmtId="185" fontId="63" fillId="22" borderId="0" xfId="36" applyNumberFormat="1" applyFill="1" applyAlignment="1">
      <alignment horizontal="right"/>
    </xf>
    <xf numFmtId="185" fontId="87" fillId="22" borderId="0" xfId="36" applyNumberFormat="1" applyFont="1" applyFill="1" applyAlignment="1">
      <alignment horizontal="right"/>
    </xf>
    <xf numFmtId="185" fontId="63" fillId="22" borderId="29" xfId="36" applyNumberFormat="1" applyFill="1" applyBorder="1" applyAlignment="1">
      <alignment horizontal="right"/>
    </xf>
    <xf numFmtId="0" fontId="63" fillId="9" borderId="0" xfId="36" applyFill="1"/>
    <xf numFmtId="49" fontId="63" fillId="9" borderId="0" xfId="36" applyNumberFormat="1" applyFill="1" applyAlignment="1">
      <alignment horizontal="right"/>
    </xf>
    <xf numFmtId="49" fontId="63" fillId="9" borderId="0" xfId="36" applyNumberFormat="1" applyFill="1" applyAlignment="1">
      <alignment horizontal="left"/>
    </xf>
    <xf numFmtId="185" fontId="63" fillId="9" borderId="0" xfId="36" applyNumberFormat="1" applyFill="1" applyAlignment="1">
      <alignment horizontal="right"/>
    </xf>
    <xf numFmtId="166" fontId="63" fillId="9" borderId="0" xfId="36" applyNumberFormat="1" applyFill="1"/>
    <xf numFmtId="166" fontId="63" fillId="0" borderId="5" xfId="36" applyNumberFormat="1" applyBorder="1"/>
    <xf numFmtId="166" fontId="87" fillId="0" borderId="0" xfId="36" applyNumberFormat="1" applyFont="1"/>
    <xf numFmtId="49" fontId="63" fillId="21" borderId="0" xfId="36" applyNumberFormat="1" applyFill="1" applyAlignment="1">
      <alignment horizontal="right"/>
    </xf>
    <xf numFmtId="49" fontId="87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18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49" fontId="87" fillId="0" borderId="0" xfId="0" applyNumberFormat="1" applyFont="1" applyAlignment="1">
      <alignment horizontal="left" wrapText="1"/>
    </xf>
    <xf numFmtId="185" fontId="0" fillId="0" borderId="5" xfId="0" applyNumberFormat="1" applyBorder="1" applyAlignment="1">
      <alignment horizontal="right"/>
    </xf>
    <xf numFmtId="185" fontId="0" fillId="0" borderId="29" xfId="0" applyNumberFormat="1" applyBorder="1" applyAlignment="1">
      <alignment horizontal="right"/>
    </xf>
    <xf numFmtId="49" fontId="0" fillId="0" borderId="0" xfId="0" applyNumberFormat="1" applyAlignment="1">
      <alignment horizontal="left" wrapText="1"/>
    </xf>
    <xf numFmtId="0" fontId="0" fillId="0" borderId="0" xfId="0" applyAlignment="1">
      <alignment wrapText="1"/>
    </xf>
    <xf numFmtId="0" fontId="0" fillId="21" borderId="0" xfId="0" applyFill="1"/>
    <xf numFmtId="49" fontId="0" fillId="9" borderId="0" xfId="0" applyNumberFormat="1" applyFill="1" applyAlignment="1">
      <alignment horizontal="left" wrapText="1"/>
    </xf>
    <xf numFmtId="185" fontId="0" fillId="9" borderId="0" xfId="0" applyNumberFormat="1" applyFill="1" applyAlignment="1">
      <alignment horizontal="right"/>
    </xf>
    <xf numFmtId="0" fontId="13" fillId="0" borderId="0" xfId="0" applyFont="1" applyAlignment="1">
      <alignment horizontal="center"/>
    </xf>
    <xf numFmtId="188" fontId="0" fillId="0" borderId="0" xfId="0" applyNumberFormat="1"/>
    <xf numFmtId="166" fontId="52" fillId="0" borderId="0" xfId="0" applyNumberFormat="1" applyFont="1"/>
    <xf numFmtId="166" fontId="0" fillId="0" borderId="5" xfId="0" applyNumberFormat="1" applyBorder="1"/>
    <xf numFmtId="185" fontId="0" fillId="0" borderId="0" xfId="0" applyNumberFormat="1" applyBorder="1" applyAlignment="1">
      <alignment horizontal="right"/>
    </xf>
    <xf numFmtId="0" fontId="52" fillId="21" borderId="0" xfId="0" applyFont="1" applyFill="1" applyAlignment="1">
      <alignment horizontal="center"/>
    </xf>
    <xf numFmtId="166" fontId="52" fillId="21" borderId="0" xfId="0" applyNumberFormat="1" applyFont="1" applyFill="1"/>
    <xf numFmtId="166" fontId="0" fillId="21" borderId="0" xfId="0" applyNumberFormat="1" applyFill="1"/>
    <xf numFmtId="166" fontId="0" fillId="21" borderId="0" xfId="0" applyNumberFormat="1" applyFill="1" applyBorder="1"/>
    <xf numFmtId="166" fontId="0" fillId="21" borderId="5" xfId="0" applyNumberFormat="1" applyFill="1" applyBorder="1"/>
    <xf numFmtId="185" fontId="0" fillId="21" borderId="29" xfId="0" applyNumberFormat="1" applyFill="1" applyBorder="1" applyAlignment="1">
      <alignment horizontal="right"/>
    </xf>
    <xf numFmtId="185" fontId="0" fillId="21" borderId="5" xfId="0" applyNumberFormat="1" applyFill="1" applyBorder="1" applyAlignment="1">
      <alignment horizontal="right"/>
    </xf>
    <xf numFmtId="166" fontId="52" fillId="9" borderId="0" xfId="0" applyNumberFormat="1" applyFont="1" applyFill="1"/>
    <xf numFmtId="187" fontId="61" fillId="0" borderId="13" xfId="37" applyNumberFormat="1" applyFont="1" applyBorder="1" applyAlignment="1">
      <alignment vertical="center"/>
    </xf>
    <xf numFmtId="0" fontId="61" fillId="0" borderId="15" xfId="36" applyFont="1" applyBorder="1"/>
    <xf numFmtId="187" fontId="61" fillId="0" borderId="18" xfId="37" applyNumberFormat="1" applyFont="1" applyBorder="1" applyAlignment="1">
      <alignment vertical="center"/>
    </xf>
    <xf numFmtId="0" fontId="61" fillId="0" borderId="19" xfId="36" applyFont="1" applyBorder="1"/>
    <xf numFmtId="185" fontId="52" fillId="0" borderId="0" xfId="0" applyNumberFormat="1" applyFont="1" applyAlignment="1">
      <alignment horizontal="right"/>
    </xf>
    <xf numFmtId="0" fontId="52" fillId="0" borderId="0" xfId="0" applyFont="1"/>
    <xf numFmtId="49" fontId="13" fillId="0" borderId="0" xfId="0" applyNumberFormat="1" applyFont="1" applyAlignment="1">
      <alignment horizontal="right"/>
    </xf>
    <xf numFmtId="49" fontId="0" fillId="9" borderId="0" xfId="0" applyNumberFormat="1" applyFill="1" applyAlignment="1">
      <alignment horizontal="left"/>
    </xf>
    <xf numFmtId="0" fontId="0" fillId="23" borderId="0" xfId="0" applyFill="1"/>
    <xf numFmtId="0" fontId="13" fillId="23" borderId="0" xfId="0" applyFont="1" applyFill="1"/>
    <xf numFmtId="166" fontId="52" fillId="23" borderId="0" xfId="0" applyNumberFormat="1" applyFont="1" applyFill="1"/>
    <xf numFmtId="166" fontId="0" fillId="23" borderId="0" xfId="0" applyNumberFormat="1" applyFill="1"/>
    <xf numFmtId="166" fontId="0" fillId="23" borderId="5" xfId="0" applyNumberFormat="1" applyFill="1" applyBorder="1"/>
    <xf numFmtId="166" fontId="52" fillId="23" borderId="6" xfId="0" applyNumberFormat="1" applyFont="1" applyFill="1" applyBorder="1"/>
    <xf numFmtId="0" fontId="0" fillId="23" borderId="29" xfId="0" applyFill="1" applyBorder="1"/>
    <xf numFmtId="185" fontId="0" fillId="23" borderId="5" xfId="0" applyNumberFormat="1" applyFill="1" applyBorder="1" applyAlignment="1">
      <alignment horizontal="right"/>
    </xf>
    <xf numFmtId="185" fontId="0" fillId="23" borderId="0" xfId="0" applyNumberFormat="1" applyFill="1" applyAlignment="1">
      <alignment horizontal="right"/>
    </xf>
    <xf numFmtId="185" fontId="0" fillId="23" borderId="29" xfId="0" applyNumberFormat="1" applyFill="1" applyBorder="1" applyAlignment="1">
      <alignment horizontal="right"/>
    </xf>
    <xf numFmtId="166" fontId="0" fillId="9" borderId="0" xfId="0" applyNumberFormat="1" applyFill="1"/>
    <xf numFmtId="185" fontId="52" fillId="23" borderId="0" xfId="0" applyNumberFormat="1" applyFont="1" applyFill="1" applyAlignment="1">
      <alignment horizontal="right"/>
    </xf>
    <xf numFmtId="0" fontId="13" fillId="23" borderId="0" xfId="0" applyFont="1" applyFill="1" applyAlignment="1">
      <alignment horizontal="center"/>
    </xf>
    <xf numFmtId="0" fontId="0" fillId="23" borderId="5" xfId="0" applyFill="1" applyBorder="1"/>
    <xf numFmtId="169" fontId="0" fillId="3" borderId="0" xfId="4" applyFont="1" applyFill="1" applyBorder="1" applyProtection="1">
      <alignment vertical="center"/>
    </xf>
    <xf numFmtId="166" fontId="87" fillId="21" borderId="0" xfId="36" applyNumberFormat="1" applyFont="1" applyFill="1"/>
    <xf numFmtId="166" fontId="63" fillId="21" borderId="0" xfId="36" applyNumberFormat="1" applyFill="1"/>
    <xf numFmtId="166" fontId="63" fillId="21" borderId="5" xfId="36" applyNumberFormat="1" applyFill="1" applyBorder="1"/>
    <xf numFmtId="166" fontId="87" fillId="21" borderId="6" xfId="36" applyNumberFormat="1" applyFont="1" applyFill="1" applyBorder="1"/>
    <xf numFmtId="189" fontId="63" fillId="0" borderId="0" xfId="36" applyNumberFormat="1"/>
    <xf numFmtId="0" fontId="63" fillId="21" borderId="29" xfId="36" applyFill="1" applyBorder="1"/>
    <xf numFmtId="0" fontId="13" fillId="0" borderId="0" xfId="36" applyFont="1"/>
    <xf numFmtId="166" fontId="87" fillId="9" borderId="0" xfId="36" applyNumberFormat="1" applyFont="1" applyFill="1"/>
    <xf numFmtId="0" fontId="63" fillId="21" borderId="5" xfId="36" applyFill="1" applyBorder="1"/>
    <xf numFmtId="2" fontId="87" fillId="21" borderId="0" xfId="36" applyNumberFormat="1" applyFont="1" applyFill="1"/>
    <xf numFmtId="185" fontId="87" fillId="21" borderId="0" xfId="36" applyNumberFormat="1" applyFont="1" applyFill="1" applyAlignment="1">
      <alignment horizontal="right"/>
    </xf>
    <xf numFmtId="0" fontId="13" fillId="21" borderId="0" xfId="36" applyFont="1" applyFill="1"/>
    <xf numFmtId="0" fontId="16" fillId="19" borderId="0" xfId="0" applyFont="1" applyFill="1"/>
    <xf numFmtId="169" fontId="16" fillId="19" borderId="0" xfId="4" applyFont="1" applyFill="1">
      <alignment vertical="center"/>
    </xf>
    <xf numFmtId="166" fontId="52" fillId="21" borderId="6" xfId="0" applyNumberFormat="1" applyFont="1" applyFill="1" applyBorder="1"/>
    <xf numFmtId="0" fontId="0" fillId="21" borderId="5" xfId="0" applyFill="1" applyBorder="1"/>
    <xf numFmtId="0" fontId="0" fillId="21" borderId="29" xfId="0" applyFill="1" applyBorder="1"/>
    <xf numFmtId="166" fontId="13" fillId="0" borderId="0" xfId="0" applyNumberFormat="1" applyFont="1"/>
    <xf numFmtId="0" fontId="52" fillId="21" borderId="0" xfId="0" applyFont="1" applyFill="1"/>
    <xf numFmtId="169" fontId="52" fillId="21" borderId="0" xfId="4" applyFont="1" applyFill="1">
      <alignment vertical="center"/>
    </xf>
    <xf numFmtId="189" fontId="0" fillId="0" borderId="0" xfId="0" applyNumberFormat="1"/>
    <xf numFmtId="166" fontId="52" fillId="21" borderId="5" xfId="0" applyNumberFormat="1" applyFont="1" applyFill="1" applyBorder="1"/>
    <xf numFmtId="185" fontId="0" fillId="0" borderId="8" xfId="0" applyNumberFormat="1" applyBorder="1" applyAlignment="1">
      <alignment horizontal="right"/>
    </xf>
    <xf numFmtId="185" fontId="0" fillId="0" borderId="10" xfId="0" applyNumberFormat="1" applyBorder="1" applyAlignment="1">
      <alignment horizontal="right"/>
    </xf>
    <xf numFmtId="185" fontId="0" fillId="0" borderId="12" xfId="0" applyNumberFormat="1" applyBorder="1" applyAlignment="1">
      <alignment horizontal="right"/>
    </xf>
    <xf numFmtId="190" fontId="0" fillId="0" borderId="7" xfId="0" applyNumberFormat="1" applyBorder="1" applyAlignment="1">
      <alignment horizontal="right"/>
    </xf>
    <xf numFmtId="190" fontId="0" fillId="0" borderId="31" xfId="0" applyNumberFormat="1" applyBorder="1" applyAlignment="1">
      <alignment horizontal="right"/>
    </xf>
    <xf numFmtId="190" fontId="0" fillId="0" borderId="11" xfId="0" applyNumberFormat="1" applyBorder="1" applyAlignment="1">
      <alignment horizontal="right"/>
    </xf>
    <xf numFmtId="182" fontId="0" fillId="21" borderId="0" xfId="4" applyNumberFormat="1" applyFont="1" applyFill="1">
      <alignment vertical="center"/>
    </xf>
    <xf numFmtId="182" fontId="13" fillId="21" borderId="0" xfId="4" applyNumberFormat="1" applyFont="1" applyFill="1">
      <alignment vertical="center"/>
    </xf>
    <xf numFmtId="182" fontId="0" fillId="21" borderId="5" xfId="4" applyNumberFormat="1" applyFont="1" applyFill="1" applyBorder="1">
      <alignment vertical="center"/>
    </xf>
    <xf numFmtId="182" fontId="52" fillId="21" borderId="0" xfId="4" applyNumberFormat="1" applyFont="1" applyFill="1">
      <alignment vertical="center"/>
    </xf>
    <xf numFmtId="182" fontId="0" fillId="21" borderId="29" xfId="4" applyNumberFormat="1" applyFont="1" applyFill="1" applyBorder="1">
      <alignment vertical="center"/>
    </xf>
    <xf numFmtId="182" fontId="52" fillId="0" borderId="0" xfId="4" applyNumberFormat="1" applyFont="1" applyFill="1">
      <alignment vertical="center"/>
    </xf>
    <xf numFmtId="182" fontId="0" fillId="0" borderId="0" xfId="4" applyNumberFormat="1" applyFont="1" applyFill="1">
      <alignment vertical="center"/>
    </xf>
    <xf numFmtId="0" fontId="13" fillId="21" borderId="0" xfId="0" applyFont="1" applyFill="1" applyAlignment="1">
      <alignment horizontal="center"/>
    </xf>
    <xf numFmtId="0" fontId="13" fillId="21" borderId="0" xfId="0" applyFont="1" applyFill="1"/>
    <xf numFmtId="169" fontId="0" fillId="21" borderId="0" xfId="4" applyFont="1" applyFill="1">
      <alignment vertical="center"/>
    </xf>
    <xf numFmtId="49" fontId="52" fillId="0" borderId="0" xfId="0" applyNumberFormat="1" applyFont="1" applyAlignment="1">
      <alignment horizontal="center"/>
    </xf>
    <xf numFmtId="0" fontId="52" fillId="0" borderId="0" xfId="0" applyFont="1" applyAlignment="1">
      <alignment horizontal="center"/>
    </xf>
    <xf numFmtId="169" fontId="0" fillId="21" borderId="5" xfId="4" applyFont="1" applyFill="1" applyBorder="1">
      <alignment vertical="center"/>
    </xf>
    <xf numFmtId="173" fontId="0" fillId="21" borderId="0" xfId="4" applyNumberFormat="1" applyFont="1" applyFill="1">
      <alignment vertical="center"/>
    </xf>
    <xf numFmtId="173" fontId="52" fillId="21" borderId="0" xfId="4" applyNumberFormat="1" applyFont="1" applyFill="1">
      <alignment vertical="center"/>
    </xf>
    <xf numFmtId="173" fontId="0" fillId="21" borderId="5" xfId="4" applyNumberFormat="1" applyFont="1" applyFill="1" applyBorder="1">
      <alignment vertical="center"/>
    </xf>
    <xf numFmtId="173" fontId="0" fillId="21" borderId="29" xfId="4" applyNumberFormat="1" applyFont="1" applyFill="1" applyBorder="1">
      <alignment vertical="center"/>
    </xf>
    <xf numFmtId="169" fontId="52" fillId="9" borderId="0" xfId="4" applyFont="1" applyFill="1">
      <alignment vertical="center"/>
    </xf>
    <xf numFmtId="169" fontId="52" fillId="0" borderId="0" xfId="4" applyFont="1" applyFill="1">
      <alignment vertical="center"/>
    </xf>
    <xf numFmtId="191" fontId="0" fillId="0" borderId="0" xfId="0" applyNumberFormat="1"/>
    <xf numFmtId="0" fontId="37" fillId="6" borderId="0" xfId="0" applyFont="1" applyFill="1" applyBorder="1" applyAlignment="1">
      <alignment horizontal="right"/>
    </xf>
    <xf numFmtId="0" fontId="0" fillId="0" borderId="13" xfId="0" applyBorder="1"/>
    <xf numFmtId="0" fontId="0" fillId="0" borderId="18" xfId="0" applyBorder="1"/>
    <xf numFmtId="0" fontId="0" fillId="0" borderId="19" xfId="0" applyBorder="1"/>
    <xf numFmtId="49" fontId="52" fillId="0" borderId="0" xfId="0" applyNumberFormat="1" applyFont="1" applyAlignment="1">
      <alignment horizontal="right"/>
    </xf>
    <xf numFmtId="0" fontId="13" fillId="0" borderId="15" xfId="0" applyFont="1" applyBorder="1"/>
    <xf numFmtId="0" fontId="13" fillId="0" borderId="17" xfId="0" applyFont="1" applyBorder="1"/>
    <xf numFmtId="49" fontId="0" fillId="9" borderId="0" xfId="0" applyNumberFormat="1" applyFill="1" applyAlignment="1">
      <alignment horizontal="right"/>
    </xf>
    <xf numFmtId="169" fontId="0" fillId="21" borderId="0" xfId="4" applyFont="1" applyFill="1" applyBorder="1">
      <alignment vertical="center"/>
    </xf>
    <xf numFmtId="182" fontId="13" fillId="21" borderId="5" xfId="4" applyNumberFormat="1" applyFont="1" applyFill="1" applyBorder="1">
      <alignment vertical="center"/>
    </xf>
    <xf numFmtId="4" fontId="0" fillId="9" borderId="0" xfId="0" applyNumberFormat="1" applyFill="1"/>
    <xf numFmtId="185" fontId="52" fillId="0" borderId="2" xfId="0" applyNumberFormat="1" applyFont="1" applyBorder="1" applyAlignment="1">
      <alignment horizontal="right"/>
    </xf>
    <xf numFmtId="169" fontId="52" fillId="21" borderId="2" xfId="4" applyFont="1" applyFill="1" applyBorder="1">
      <alignment vertical="center"/>
    </xf>
    <xf numFmtId="182" fontId="13" fillId="0" borderId="0" xfId="4" applyNumberFormat="1" applyFont="1" applyFill="1">
      <alignment vertical="center"/>
    </xf>
    <xf numFmtId="182" fontId="0" fillId="0" borderId="0" xfId="4" applyNumberFormat="1" applyFont="1">
      <alignment vertical="center"/>
    </xf>
    <xf numFmtId="182" fontId="13" fillId="20" borderId="0" xfId="4" applyNumberFormat="1" applyFont="1" applyFill="1">
      <alignment vertical="center"/>
    </xf>
    <xf numFmtId="182" fontId="0" fillId="20" borderId="0" xfId="4" applyNumberFormat="1" applyFont="1" applyFill="1">
      <alignment vertical="center"/>
    </xf>
    <xf numFmtId="182" fontId="0" fillId="20" borderId="5" xfId="4" applyNumberFormat="1" applyFont="1" applyFill="1" applyBorder="1">
      <alignment vertical="center"/>
    </xf>
    <xf numFmtId="182" fontId="0" fillId="20" borderId="29" xfId="4" applyNumberFormat="1" applyFont="1" applyFill="1" applyBorder="1">
      <alignment vertical="center"/>
    </xf>
    <xf numFmtId="182" fontId="52" fillId="20" borderId="0" xfId="4" applyNumberFormat="1" applyFont="1" applyFill="1">
      <alignment vertical="center"/>
    </xf>
    <xf numFmtId="182" fontId="0" fillId="23" borderId="0" xfId="4" applyNumberFormat="1" applyFont="1" applyFill="1">
      <alignment vertical="center"/>
    </xf>
    <xf numFmtId="182" fontId="52" fillId="23" borderId="0" xfId="4" applyNumberFormat="1" applyFont="1" applyFill="1">
      <alignment vertical="center"/>
    </xf>
    <xf numFmtId="186" fontId="52" fillId="23" borderId="0" xfId="4" applyNumberFormat="1" applyFont="1" applyFill="1">
      <alignment vertical="center"/>
    </xf>
    <xf numFmtId="186" fontId="0" fillId="23" borderId="0" xfId="4" applyNumberFormat="1" applyFont="1" applyFill="1">
      <alignment vertical="center"/>
    </xf>
    <xf numFmtId="186" fontId="0" fillId="23" borderId="5" xfId="4" applyNumberFormat="1" applyFont="1" applyFill="1" applyBorder="1">
      <alignment vertical="center"/>
    </xf>
    <xf numFmtId="182" fontId="0" fillId="23" borderId="29" xfId="4" applyNumberFormat="1" applyFont="1" applyFill="1" applyBorder="1">
      <alignment vertical="center"/>
    </xf>
    <xf numFmtId="182" fontId="13" fillId="23" borderId="0" xfId="4" applyNumberFormat="1" applyFont="1" applyFill="1" applyAlignment="1">
      <alignment horizontal="center" vertical="center"/>
    </xf>
    <xf numFmtId="0" fontId="13" fillId="0" borderId="0" xfId="38"/>
    <xf numFmtId="192" fontId="96" fillId="24" borderId="33" xfId="4" quotePrefix="1" applyNumberFormat="1" applyFont="1" applyFill="1" applyBorder="1" applyAlignment="1">
      <alignment horizontal="right" vertical="center"/>
    </xf>
    <xf numFmtId="0" fontId="97" fillId="0" borderId="0" xfId="38" applyFont="1" applyProtection="1">
      <protection locked="0"/>
    </xf>
    <xf numFmtId="0" fontId="26" fillId="0" borderId="0" xfId="38" applyFont="1" applyProtection="1">
      <protection locked="0"/>
    </xf>
    <xf numFmtId="193" fontId="97" fillId="0" borderId="0" xfId="38" applyNumberFormat="1" applyFont="1" applyProtection="1">
      <protection locked="0"/>
    </xf>
    <xf numFmtId="193" fontId="29" fillId="0" borderId="0" xfId="38" applyNumberFormat="1" applyFont="1" applyProtection="1">
      <protection locked="0"/>
    </xf>
    <xf numFmtId="193" fontId="98" fillId="0" borderId="0" xfId="38" applyNumberFormat="1" applyFont="1" applyProtection="1">
      <protection locked="0"/>
    </xf>
    <xf numFmtId="0" fontId="13" fillId="0" borderId="3" xfId="38" applyBorder="1" applyAlignment="1">
      <alignment horizontal="left"/>
    </xf>
    <xf numFmtId="14" fontId="13" fillId="0" borderId="0" xfId="38" applyNumberFormat="1" applyAlignment="1" applyProtection="1">
      <alignment horizontal="left"/>
      <protection locked="0"/>
    </xf>
    <xf numFmtId="0" fontId="13" fillId="0" borderId="0" xfId="38" applyFont="1" applyAlignment="1">
      <alignment horizontal="left"/>
    </xf>
    <xf numFmtId="0" fontId="13" fillId="0" borderId="0" xfId="38" applyAlignment="1">
      <alignment horizontal="left"/>
    </xf>
    <xf numFmtId="2" fontId="13" fillId="0" borderId="0" xfId="38" applyNumberFormat="1"/>
    <xf numFmtId="0" fontId="63" fillId="0" borderId="0" xfId="39"/>
    <xf numFmtId="0" fontId="63" fillId="0" borderId="0" xfId="39" applyAlignment="1">
      <alignment wrapText="1"/>
    </xf>
    <xf numFmtId="0" fontId="102" fillId="0" borderId="0" xfId="39" applyFont="1" applyAlignment="1">
      <alignment vertical="center" wrapText="1"/>
    </xf>
    <xf numFmtId="170" fontId="94" fillId="24" borderId="32" xfId="0" applyNumberFormat="1" applyFont="1" applyFill="1" applyBorder="1" applyAlignment="1">
      <alignment horizontal="center"/>
    </xf>
    <xf numFmtId="172" fontId="95" fillId="24" borderId="32" xfId="0" applyNumberFormat="1" applyFont="1" applyFill="1" applyBorder="1" applyAlignment="1">
      <alignment horizontal="center"/>
    </xf>
    <xf numFmtId="0" fontId="95" fillId="24" borderId="32" xfId="0" applyFont="1" applyFill="1" applyBorder="1" applyAlignment="1">
      <alignment horizontal="center"/>
    </xf>
    <xf numFmtId="0" fontId="96" fillId="24" borderId="34" xfId="0" applyFont="1" applyFill="1" applyBorder="1"/>
    <xf numFmtId="170" fontId="94" fillId="24" borderId="35" xfId="0" applyNumberFormat="1" applyFont="1" applyFill="1" applyBorder="1" applyAlignment="1">
      <alignment horizontal="center"/>
    </xf>
    <xf numFmtId="170" fontId="94" fillId="24" borderId="36" xfId="0" applyNumberFormat="1" applyFont="1" applyFill="1" applyBorder="1" applyAlignment="1">
      <alignment horizontal="center"/>
    </xf>
    <xf numFmtId="172" fontId="94" fillId="24" borderId="37" xfId="0" applyNumberFormat="1" applyFont="1" applyFill="1" applyBorder="1" applyAlignment="1">
      <alignment horizontal="center"/>
    </xf>
    <xf numFmtId="169" fontId="13" fillId="0" borderId="0" xfId="4" applyFont="1" applyFill="1" applyProtection="1">
      <alignment vertical="center"/>
      <protection locked="0"/>
    </xf>
    <xf numFmtId="49" fontId="13" fillId="0" borderId="0" xfId="0" applyNumberFormat="1" applyFont="1" applyAlignment="1">
      <alignment horizontal="left"/>
    </xf>
    <xf numFmtId="0" fontId="92" fillId="24" borderId="0" xfId="0" applyFont="1" applyFill="1" applyAlignment="1">
      <alignment horizontal="center"/>
    </xf>
    <xf numFmtId="0" fontId="93" fillId="24" borderId="0" xfId="0" applyFont="1" applyFill="1" applyAlignment="1">
      <alignment horizontal="center"/>
    </xf>
    <xf numFmtId="186" fontId="0" fillId="23" borderId="0" xfId="4" applyNumberFormat="1" applyFont="1" applyFill="1" applyBorder="1">
      <alignment vertical="center"/>
    </xf>
    <xf numFmtId="182" fontId="0" fillId="20" borderId="0" xfId="4" applyNumberFormat="1" applyFont="1" applyFill="1" applyBorder="1">
      <alignment vertical="center"/>
    </xf>
    <xf numFmtId="182" fontId="13" fillId="20" borderId="5" xfId="4" applyNumberFormat="1" applyFont="1" applyFill="1" applyBorder="1">
      <alignment vertical="center"/>
    </xf>
    <xf numFmtId="186" fontId="82" fillId="23" borderId="0" xfId="4" applyNumberFormat="1" applyFont="1" applyFill="1">
      <alignment vertical="center"/>
    </xf>
    <xf numFmtId="186" fontId="52" fillId="23" borderId="5" xfId="4" applyNumberFormat="1" applyFont="1" applyFill="1" applyBorder="1">
      <alignment vertical="center"/>
    </xf>
    <xf numFmtId="169" fontId="0" fillId="0" borderId="0" xfId="4" applyFont="1" applyFill="1" applyBorder="1">
      <alignment vertical="center"/>
    </xf>
    <xf numFmtId="0" fontId="0" fillId="2" borderId="0" xfId="0" applyFill="1" applyAlignment="1">
      <alignment horizontal="left" wrapText="1"/>
    </xf>
    <xf numFmtId="0" fontId="0" fillId="2" borderId="1" xfId="0" applyFill="1" applyBorder="1" applyAlignment="1">
      <alignment horizontal="right" wrapText="1"/>
    </xf>
    <xf numFmtId="0" fontId="0" fillId="0" borderId="1" xfId="0" applyBorder="1" applyAlignment="1" applyProtection="1">
      <alignment horizontal="right" readingOrder="2"/>
      <protection locked="0"/>
    </xf>
    <xf numFmtId="169" fontId="13" fillId="21" borderId="0" xfId="4" applyFont="1" applyFill="1" applyBorder="1">
      <alignment vertical="center"/>
    </xf>
    <xf numFmtId="169" fontId="20" fillId="0" borderId="0" xfId="4" applyFont="1" applyBorder="1">
      <alignment vertical="center"/>
    </xf>
    <xf numFmtId="3" fontId="0" fillId="4" borderId="0" xfId="0" applyNumberFormat="1" applyFill="1" applyBorder="1" applyAlignment="1">
      <alignment horizontal="right"/>
    </xf>
    <xf numFmtId="186" fontId="13" fillId="23" borderId="0" xfId="4" applyNumberFormat="1" applyFont="1" applyFill="1">
      <alignment vertical="center"/>
    </xf>
    <xf numFmtId="186" fontId="13" fillId="23" borderId="5" xfId="4" applyNumberFormat="1" applyFont="1" applyFill="1" applyBorder="1">
      <alignment vertical="center"/>
    </xf>
    <xf numFmtId="0" fontId="51" fillId="0" borderId="0" xfId="0" applyFont="1"/>
    <xf numFmtId="0" fontId="13" fillId="21" borderId="0" xfId="0" applyFont="1" applyFill="1" applyBorder="1"/>
    <xf numFmtId="169" fontId="0" fillId="21" borderId="1" xfId="4" applyFont="1" applyFill="1" applyBorder="1" applyProtection="1">
      <alignment vertical="center"/>
    </xf>
    <xf numFmtId="0" fontId="0" fillId="21" borderId="0" xfId="0" applyFill="1" applyBorder="1"/>
    <xf numFmtId="171" fontId="0" fillId="21" borderId="0" xfId="4" applyNumberFormat="1" applyFont="1" applyFill="1" applyBorder="1">
      <alignment vertical="center"/>
    </xf>
    <xf numFmtId="169" fontId="13" fillId="21" borderId="0" xfId="0" applyNumberFormat="1" applyFont="1" applyFill="1"/>
    <xf numFmtId="169" fontId="0" fillId="21" borderId="0" xfId="0" applyNumberFormat="1" applyFill="1"/>
    <xf numFmtId="169" fontId="0" fillId="21" borderId="0" xfId="4" applyFont="1" applyFill="1" applyProtection="1">
      <alignment vertical="center"/>
      <protection locked="0"/>
    </xf>
    <xf numFmtId="0" fontId="0" fillId="25" borderId="0" xfId="0" applyFill="1" applyAlignment="1" applyProtection="1">
      <alignment horizontal="right" readingOrder="2"/>
      <protection locked="0"/>
    </xf>
    <xf numFmtId="0" fontId="13" fillId="25" borderId="0" xfId="0" applyFont="1" applyFill="1" applyBorder="1"/>
    <xf numFmtId="169" fontId="13" fillId="25" borderId="0" xfId="4" applyFont="1" applyFill="1" applyBorder="1">
      <alignment vertical="center"/>
    </xf>
    <xf numFmtId="169" fontId="0" fillId="25" borderId="1" xfId="4" applyFont="1" applyFill="1" applyBorder="1" applyProtection="1">
      <alignment vertical="center"/>
    </xf>
    <xf numFmtId="169" fontId="0" fillId="25" borderId="0" xfId="4" applyFont="1" applyFill="1" applyBorder="1">
      <alignment vertical="center"/>
    </xf>
    <xf numFmtId="0" fontId="0" fillId="25" borderId="0" xfId="0" applyFill="1" applyBorder="1"/>
    <xf numFmtId="171" fontId="0" fillId="25" borderId="0" xfId="4" applyNumberFormat="1" applyFont="1" applyFill="1" applyBorder="1">
      <alignment vertical="center"/>
    </xf>
    <xf numFmtId="0" fontId="0" fillId="25" borderId="0" xfId="0" applyFill="1"/>
    <xf numFmtId="169" fontId="0" fillId="25" borderId="0" xfId="4" applyFont="1" applyFill="1">
      <alignment vertical="center"/>
    </xf>
    <xf numFmtId="0" fontId="0" fillId="0" borderId="0" xfId="0" applyFont="1" applyAlignment="1">
      <alignment horizontal="left" vertical="top" wrapText="1"/>
    </xf>
    <xf numFmtId="185" fontId="13" fillId="0" borderId="0" xfId="0" applyNumberFormat="1" applyFont="1" applyAlignment="1">
      <alignment horizontal="right"/>
    </xf>
    <xf numFmtId="0" fontId="13" fillId="0" borderId="19" xfId="0" applyFont="1" applyBorder="1"/>
    <xf numFmtId="4" fontId="0" fillId="0" borderId="0" xfId="0" applyNumberFormat="1" applyFont="1" applyAlignment="1">
      <alignment horizontal="right" vertical="top" wrapText="1"/>
    </xf>
    <xf numFmtId="173" fontId="16" fillId="0" borderId="0" xfId="4" quotePrefix="1" applyNumberFormat="1" applyFont="1" applyFill="1" applyBorder="1" applyAlignment="1">
      <alignment horizontal="right" vertical="center"/>
    </xf>
    <xf numFmtId="173" fontId="20" fillId="0" borderId="0" xfId="4" quotePrefix="1" applyNumberFormat="1" applyFont="1" applyFill="1" applyBorder="1" applyAlignment="1">
      <alignment horizontal="right" vertical="center"/>
    </xf>
    <xf numFmtId="173" fontId="21" fillId="0" borderId="0" xfId="4" applyNumberFormat="1" applyFont="1" applyFill="1" applyBorder="1">
      <alignment vertical="center"/>
    </xf>
    <xf numFmtId="173" fontId="16" fillId="0" borderId="0" xfId="4" applyNumberFormat="1" applyFont="1" applyFill="1" applyBorder="1" applyAlignment="1">
      <alignment horizontal="right" vertical="center"/>
    </xf>
    <xf numFmtId="4" fontId="22" fillId="0" borderId="0" xfId="0" applyNumberFormat="1" applyFont="1" applyBorder="1"/>
    <xf numFmtId="170" fontId="94" fillId="24" borderId="0" xfId="0" applyNumberFormat="1" applyFont="1" applyFill="1" applyBorder="1" applyAlignment="1">
      <alignment horizontal="center"/>
    </xf>
    <xf numFmtId="172" fontId="95" fillId="24" borderId="0" xfId="0" applyNumberFormat="1" applyFont="1" applyFill="1" applyBorder="1" applyAlignment="1">
      <alignment horizontal="center"/>
    </xf>
    <xf numFmtId="0" fontId="95" fillId="24" borderId="0" xfId="0" applyFont="1" applyFill="1" applyBorder="1" applyAlignment="1">
      <alignment horizontal="center"/>
    </xf>
    <xf numFmtId="2" fontId="22" fillId="0" borderId="0" xfId="0" applyNumberFormat="1" applyFont="1" applyBorder="1"/>
    <xf numFmtId="169" fontId="16" fillId="19" borderId="0" xfId="4" applyFont="1" applyFill="1" applyBorder="1">
      <alignment vertical="center"/>
    </xf>
    <xf numFmtId="169" fontId="104" fillId="26" borderId="0" xfId="4" applyFont="1" applyFill="1" applyBorder="1">
      <alignment vertical="center"/>
    </xf>
    <xf numFmtId="169" fontId="104" fillId="27" borderId="0" xfId="4" applyFont="1" applyFill="1" applyBorder="1">
      <alignment vertical="center"/>
    </xf>
    <xf numFmtId="0" fontId="0" fillId="0" borderId="0" xfId="0" applyBorder="1" applyAlignment="1">
      <alignment horizontal="center"/>
    </xf>
    <xf numFmtId="172" fontId="94" fillId="24" borderId="0" xfId="0" applyNumberFormat="1" applyFont="1" applyFill="1" applyBorder="1" applyAlignment="1">
      <alignment horizontal="center"/>
    </xf>
    <xf numFmtId="169" fontId="104" fillId="26" borderId="0" xfId="4" applyFont="1" applyFill="1" applyBorder="1" applyAlignment="1">
      <alignment horizontal="center" vertical="center"/>
    </xf>
    <xf numFmtId="169" fontId="104" fillId="27" borderId="0" xfId="4" applyFont="1" applyFill="1" applyBorder="1" applyAlignment="1">
      <alignment horizontal="center" vertical="center"/>
    </xf>
    <xf numFmtId="169" fontId="105" fillId="26" borderId="0" xfId="4" applyFont="1" applyFill="1" applyBorder="1" applyAlignment="1">
      <alignment horizontal="center" vertical="center"/>
    </xf>
    <xf numFmtId="169" fontId="104" fillId="28" borderId="0" xfId="4" applyFont="1" applyFill="1" applyBorder="1">
      <alignment vertical="center"/>
    </xf>
    <xf numFmtId="0" fontId="13" fillId="10" borderId="1" xfId="0" applyFont="1" applyFill="1" applyBorder="1" applyAlignment="1" applyProtection="1">
      <alignment horizontal="right" readingOrder="2"/>
      <protection locked="0"/>
    </xf>
    <xf numFmtId="0" fontId="0" fillId="10" borderId="0" xfId="0" applyFill="1" applyBorder="1" applyAlignment="1" applyProtection="1">
      <alignment horizontal="right" readingOrder="2"/>
      <protection locked="0"/>
    </xf>
    <xf numFmtId="169" fontId="0" fillId="10" borderId="0" xfId="4" applyFont="1" applyFill="1" applyBorder="1">
      <alignment vertical="center"/>
    </xf>
    <xf numFmtId="0" fontId="13" fillId="10" borderId="0" xfId="0" applyFont="1" applyFill="1" applyBorder="1" applyAlignment="1" applyProtection="1">
      <alignment horizontal="left" readingOrder="2"/>
      <protection locked="0"/>
    </xf>
    <xf numFmtId="185" fontId="52" fillId="21" borderId="0" xfId="0" applyNumberFormat="1" applyFont="1" applyFill="1" applyAlignment="1">
      <alignment horizontal="right"/>
    </xf>
    <xf numFmtId="169" fontId="22" fillId="0" borderId="0" xfId="0" applyNumberFormat="1" applyFont="1" applyBorder="1"/>
    <xf numFmtId="169" fontId="16" fillId="0" borderId="0" xfId="0" applyNumberFormat="1" applyFont="1" applyBorder="1"/>
    <xf numFmtId="173" fontId="23" fillId="0" borderId="0" xfId="4" applyNumberFormat="1" applyFont="1" applyFill="1" applyBorder="1">
      <alignment vertical="center"/>
    </xf>
    <xf numFmtId="0" fontId="103" fillId="0" borderId="0" xfId="40">
      <alignment vertical="center"/>
    </xf>
    <xf numFmtId="0" fontId="103" fillId="0" borderId="0" xfId="40" applyAlignment="1">
      <alignment horizontal="left" vertical="top" wrapText="1"/>
    </xf>
    <xf numFmtId="0" fontId="104" fillId="0" borderId="0" xfId="40" applyFont="1" applyAlignment="1">
      <alignment horizontal="left" vertical="top" wrapText="1"/>
    </xf>
    <xf numFmtId="0" fontId="103" fillId="0" borderId="0" xfId="40" applyAlignment="1">
      <alignment horizontal="right" vertical="top" wrapText="1"/>
    </xf>
    <xf numFmtId="0" fontId="122" fillId="0" borderId="0" xfId="40" applyFont="1" applyAlignment="1">
      <alignment horizontal="left" vertical="top" wrapText="1"/>
    </xf>
    <xf numFmtId="1" fontId="103" fillId="0" borderId="0" xfId="40" applyNumberFormat="1" applyAlignment="1">
      <alignment horizontal="right" vertical="top" wrapText="1"/>
    </xf>
    <xf numFmtId="0" fontId="123" fillId="0" borderId="0" xfId="40" applyFont="1" applyAlignment="1">
      <alignment horizontal="right" vertical="top" wrapText="1"/>
    </xf>
    <xf numFmtId="0" fontId="122" fillId="0" borderId="0" xfId="40" applyFont="1" applyAlignment="1">
      <alignment horizontal="right" vertical="top" wrapText="1"/>
    </xf>
    <xf numFmtId="0" fontId="124" fillId="0" borderId="0" xfId="40" applyFont="1" applyAlignment="1">
      <alignment horizontal="right" vertical="top" wrapText="1"/>
    </xf>
    <xf numFmtId="0" fontId="122" fillId="0" borderId="0" xfId="40" applyFont="1" applyAlignment="1">
      <alignment horizontal="left" vertical="top" wrapText="1" indent="3"/>
    </xf>
    <xf numFmtId="0" fontId="103" fillId="0" borderId="0" xfId="40" applyAlignment="1">
      <alignment horizontal="left" vertical="top" wrapText="1" indent="5"/>
    </xf>
    <xf numFmtId="168" fontId="0" fillId="0" borderId="0" xfId="0" applyNumberFormat="1"/>
    <xf numFmtId="169" fontId="105" fillId="27" borderId="0" xfId="4" applyFont="1" applyFill="1" applyBorder="1" applyAlignment="1">
      <alignment horizontal="center" vertical="center"/>
    </xf>
    <xf numFmtId="173" fontId="104" fillId="27" borderId="0" xfId="4" applyNumberFormat="1" applyFont="1" applyFill="1" applyBorder="1" applyAlignment="1">
      <alignment horizontal="center" vertical="center"/>
    </xf>
    <xf numFmtId="170" fontId="16" fillId="0" borderId="0" xfId="0" applyNumberFormat="1" applyFont="1" applyBorder="1" applyAlignment="1">
      <alignment horizontal="center"/>
    </xf>
    <xf numFmtId="172" fontId="20" fillId="0" borderId="0" xfId="0" applyNumberFormat="1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0" fillId="19" borderId="0" xfId="0" applyFill="1" applyBorder="1" applyAlignment="1" applyProtection="1">
      <alignment horizontal="right" readingOrder="2"/>
      <protection locked="0"/>
    </xf>
    <xf numFmtId="0" fontId="13" fillId="19" borderId="0" xfId="0" applyFont="1" applyFill="1" applyBorder="1" applyAlignment="1" applyProtection="1">
      <alignment horizontal="left" readingOrder="2"/>
      <protection locked="0"/>
    </xf>
    <xf numFmtId="169" fontId="0" fillId="19" borderId="0" xfId="4" applyFont="1" applyFill="1" applyBorder="1">
      <alignment vertical="center"/>
    </xf>
    <xf numFmtId="169" fontId="0" fillId="19" borderId="0" xfId="4" applyFont="1" applyFill="1" applyBorder="1" applyProtection="1">
      <alignment vertical="center"/>
    </xf>
    <xf numFmtId="0" fontId="0" fillId="19" borderId="0" xfId="0" applyFill="1" applyBorder="1"/>
    <xf numFmtId="171" fontId="0" fillId="19" borderId="0" xfId="4" applyNumberFormat="1" applyFont="1" applyFill="1" applyBorder="1">
      <alignment vertical="center"/>
    </xf>
    <xf numFmtId="0" fontId="13" fillId="19" borderId="0" xfId="0" applyFont="1" applyFill="1" applyBorder="1"/>
    <xf numFmtId="169" fontId="0" fillId="10" borderId="14" xfId="4" applyFont="1" applyFill="1" applyBorder="1">
      <alignment vertical="center"/>
    </xf>
    <xf numFmtId="169" fontId="0" fillId="4" borderId="14" xfId="4" applyFont="1" applyFill="1" applyBorder="1">
      <alignment vertical="center"/>
    </xf>
    <xf numFmtId="171" fontId="0" fillId="0" borderId="14" xfId="4" applyNumberFormat="1" applyFont="1" applyFill="1" applyBorder="1">
      <alignment vertical="center"/>
    </xf>
    <xf numFmtId="0" fontId="13" fillId="0" borderId="14" xfId="0" applyFont="1" applyBorder="1"/>
    <xf numFmtId="0" fontId="0" fillId="0" borderId="14" xfId="0" applyBorder="1"/>
    <xf numFmtId="169" fontId="0" fillId="0" borderId="14" xfId="4" applyFont="1" applyFill="1" applyBorder="1">
      <alignment vertical="center"/>
    </xf>
    <xf numFmtId="14" fontId="0" fillId="0" borderId="0" xfId="0" applyNumberFormat="1"/>
    <xf numFmtId="49" fontId="13" fillId="10" borderId="0" xfId="0" applyNumberFormat="1" applyFont="1" applyFill="1" applyBorder="1" applyAlignment="1" applyProtection="1">
      <alignment horizontal="right" readingOrder="2"/>
      <protection locked="0"/>
    </xf>
    <xf numFmtId="0" fontId="0" fillId="10" borderId="14" xfId="0" applyFill="1" applyBorder="1" applyAlignment="1" applyProtection="1">
      <alignment horizontal="right" readingOrder="2"/>
      <protection locked="0"/>
    </xf>
    <xf numFmtId="0" fontId="13" fillId="10" borderId="14" xfId="0" applyFont="1" applyFill="1" applyBorder="1" applyAlignment="1" applyProtection="1">
      <alignment horizontal="left" readingOrder="2"/>
      <protection locked="0"/>
    </xf>
    <xf numFmtId="169" fontId="0" fillId="3" borderId="14" xfId="4" applyFont="1" applyFill="1" applyBorder="1" applyProtection="1">
      <alignment vertical="center"/>
    </xf>
    <xf numFmtId="195" fontId="0" fillId="25" borderId="0" xfId="0" applyNumberFormat="1" applyFill="1"/>
    <xf numFmtId="0" fontId="37" fillId="18" borderId="0" xfId="0" applyFont="1" applyFill="1" applyBorder="1" applyAlignment="1" applyProtection="1">
      <alignment horizontal="center"/>
      <protection locked="0"/>
    </xf>
    <xf numFmtId="0" fontId="0" fillId="0" borderId="16" xfId="0" applyBorder="1"/>
    <xf numFmtId="0" fontId="13" fillId="0" borderId="13" xfId="0" applyFont="1" applyBorder="1"/>
    <xf numFmtId="0" fontId="13" fillId="0" borderId="16" xfId="0" applyFont="1" applyBorder="1"/>
    <xf numFmtId="192" fontId="96" fillId="24" borderId="47" xfId="4" quotePrefix="1" applyNumberFormat="1" applyFont="1" applyFill="1" applyBorder="1" applyAlignment="1">
      <alignment horizontal="right" vertical="center"/>
    </xf>
    <xf numFmtId="173" fontId="16" fillId="0" borderId="0" xfId="4" applyNumberFormat="1" applyFont="1" applyBorder="1">
      <alignment vertical="center"/>
    </xf>
    <xf numFmtId="173" fontId="20" fillId="0" borderId="0" xfId="4" applyNumberFormat="1" applyFont="1" applyBorder="1">
      <alignment vertical="center"/>
    </xf>
    <xf numFmtId="169" fontId="20" fillId="0" borderId="0" xfId="4" quotePrefix="1" applyFont="1" applyBorder="1" applyAlignment="1">
      <alignment horizontal="right" vertical="center"/>
    </xf>
    <xf numFmtId="0" fontId="32" fillId="0" borderId="0" xfId="0" applyFont="1" applyBorder="1"/>
    <xf numFmtId="192" fontId="96" fillId="24" borderId="0" xfId="4" quotePrefix="1" applyNumberFormat="1" applyFont="1" applyFill="1" applyBorder="1" applyAlignment="1">
      <alignment horizontal="right" vertical="center"/>
    </xf>
    <xf numFmtId="173" fontId="24" fillId="0" borderId="0" xfId="4" applyNumberFormat="1" applyFont="1" applyBorder="1">
      <alignment vertical="center"/>
    </xf>
    <xf numFmtId="169" fontId="8" fillId="0" borderId="0" xfId="4" applyFont="1" applyBorder="1" applyAlignment="1"/>
    <xf numFmtId="167" fontId="109" fillId="0" borderId="0" xfId="210" applyNumberFormat="1" applyFont="1"/>
    <xf numFmtId="0" fontId="8" fillId="0" borderId="49" xfId="210" applyBorder="1" applyAlignment="1">
      <alignment horizontal="center"/>
    </xf>
    <xf numFmtId="177" fontId="8" fillId="0" borderId="0" xfId="210" applyNumberFormat="1" applyAlignment="1">
      <alignment horizontal="center"/>
    </xf>
    <xf numFmtId="175" fontId="8" fillId="0" borderId="0" xfId="210" applyNumberFormat="1"/>
    <xf numFmtId="177" fontId="8" fillId="9" borderId="0" xfId="210" applyNumberFormat="1" applyFill="1"/>
    <xf numFmtId="0" fontId="25" fillId="0" borderId="0" xfId="210" applyFont="1" applyAlignment="1">
      <alignment horizontal="right"/>
    </xf>
    <xf numFmtId="177" fontId="127" fillId="21" borderId="2" xfId="110" applyNumberFormat="1" applyFont="1" applyFill="1" applyBorder="1"/>
    <xf numFmtId="0" fontId="8" fillId="0" borderId="0" xfId="210" applyAlignment="1">
      <alignment horizontal="center"/>
    </xf>
    <xf numFmtId="0" fontId="13" fillId="0" borderId="0" xfId="210" applyFont="1" applyAlignment="1">
      <alignment horizontal="right"/>
    </xf>
    <xf numFmtId="0" fontId="15" fillId="0" borderId="20" xfId="210" applyFont="1" applyBorder="1" applyAlignment="1">
      <alignment wrapText="1"/>
    </xf>
    <xf numFmtId="0" fontId="8" fillId="0" borderId="48" xfId="210" applyBorder="1" applyAlignment="1">
      <alignment horizontal="center"/>
    </xf>
    <xf numFmtId="177" fontId="8" fillId="0" borderId="0" xfId="210" applyNumberFormat="1"/>
    <xf numFmtId="14" fontId="127" fillId="0" borderId="0" xfId="210" applyNumberFormat="1" applyFont="1" applyAlignment="1">
      <alignment horizontal="right"/>
    </xf>
    <xf numFmtId="196" fontId="33" fillId="0" borderId="1" xfId="109" applyNumberFormat="1" applyFill="1" applyBorder="1"/>
    <xf numFmtId="14" fontId="37" fillId="0" borderId="0" xfId="210" applyNumberFormat="1" applyFont="1"/>
    <xf numFmtId="0" fontId="8" fillId="0" borderId="49" xfId="210" applyBorder="1"/>
    <xf numFmtId="15" fontId="8" fillId="0" borderId="0" xfId="210" applyNumberFormat="1" applyAlignment="1">
      <alignment horizontal="right"/>
    </xf>
    <xf numFmtId="0" fontId="128" fillId="5" borderId="50" xfId="210" applyFont="1" applyFill="1" applyBorder="1" applyAlignment="1">
      <alignment horizontal="right"/>
    </xf>
    <xf numFmtId="0" fontId="8" fillId="0" borderId="0" xfId="210" applyAlignment="1">
      <alignment horizontal="right"/>
    </xf>
    <xf numFmtId="0" fontId="130" fillId="0" borderId="0" xfId="210" applyFont="1" applyAlignment="1">
      <alignment horizontal="right"/>
    </xf>
    <xf numFmtId="166" fontId="33" fillId="0" borderId="0" xfId="109"/>
    <xf numFmtId="14" fontId="37" fillId="0" borderId="0" xfId="210" applyNumberFormat="1" applyFont="1" applyAlignment="1">
      <alignment horizontal="center"/>
    </xf>
    <xf numFmtId="196" fontId="8" fillId="0" borderId="10" xfId="210" applyNumberFormat="1" applyBorder="1"/>
    <xf numFmtId="14" fontId="8" fillId="0" borderId="0" xfId="210" applyNumberFormat="1"/>
    <xf numFmtId="183" fontId="8" fillId="9" borderId="0" xfId="210" applyNumberFormat="1" applyFill="1"/>
    <xf numFmtId="14" fontId="8" fillId="0" borderId="49" xfId="210" applyNumberFormat="1" applyBorder="1"/>
    <xf numFmtId="0" fontId="4" fillId="0" borderId="0" xfId="210" applyFont="1"/>
    <xf numFmtId="0" fontId="8" fillId="9" borderId="48" xfId="210" applyFill="1" applyBorder="1" applyAlignment="1">
      <alignment horizontal="center"/>
    </xf>
    <xf numFmtId="0" fontId="8" fillId="9" borderId="0" xfId="210" applyFill="1"/>
    <xf numFmtId="0" fontId="128" fillId="0" borderId="0" xfId="210" applyFont="1"/>
    <xf numFmtId="177" fontId="8" fillId="9" borderId="49" xfId="210" applyNumberFormat="1" applyFill="1" applyBorder="1"/>
    <xf numFmtId="166" fontId="33" fillId="0" borderId="0" xfId="109" applyFill="1"/>
    <xf numFmtId="0" fontId="109" fillId="0" borderId="0" xfId="210" applyFont="1"/>
    <xf numFmtId="196" fontId="127" fillId="21" borderId="2" xfId="110" applyNumberFormat="1" applyFont="1" applyFill="1" applyBorder="1"/>
    <xf numFmtId="196" fontId="8" fillId="0" borderId="0" xfId="210" applyNumberFormat="1"/>
    <xf numFmtId="177" fontId="8" fillId="0" borderId="49" xfId="210" applyNumberFormat="1" applyBorder="1"/>
    <xf numFmtId="196" fontId="37" fillId="0" borderId="0" xfId="210" applyNumberFormat="1" applyFont="1"/>
    <xf numFmtId="196" fontId="8" fillId="0" borderId="12" xfId="210" applyNumberFormat="1" applyBorder="1"/>
    <xf numFmtId="0" fontId="0" fillId="18" borderId="0" xfId="0" applyFill="1" applyBorder="1" applyAlignment="1" applyProtection="1">
      <alignment horizontal="left"/>
      <protection locked="0"/>
    </xf>
    <xf numFmtId="196" fontId="33" fillId="0" borderId="0" xfId="109" applyNumberFormat="1" applyFill="1" applyBorder="1"/>
    <xf numFmtId="177" fontId="8" fillId="0" borderId="49" xfId="210" applyNumberFormat="1" applyBorder="1" applyAlignment="1">
      <alignment horizontal="center"/>
    </xf>
    <xf numFmtId="196" fontId="8" fillId="0" borderId="8" xfId="210" applyNumberFormat="1" applyBorder="1" applyAlignment="1">
      <alignment horizontal="center"/>
    </xf>
    <xf numFmtId="0" fontId="8" fillId="0" borderId="0" xfId="210"/>
    <xf numFmtId="196" fontId="132" fillId="0" borderId="0" xfId="210" applyNumberFormat="1" applyFont="1" applyAlignment="1">
      <alignment horizontal="left"/>
    </xf>
    <xf numFmtId="0" fontId="15" fillId="0" borderId="26" xfId="210" applyFont="1" applyBorder="1" applyAlignment="1">
      <alignment wrapText="1"/>
    </xf>
    <xf numFmtId="196" fontId="131" fillId="0" borderId="0" xfId="109" applyNumberFormat="1" applyFont="1" applyFill="1" applyBorder="1"/>
    <xf numFmtId="0" fontId="15" fillId="0" borderId="5" xfId="210" applyFont="1" applyBorder="1" applyAlignment="1">
      <alignment wrapText="1"/>
    </xf>
    <xf numFmtId="0" fontId="129" fillId="0" borderId="0" xfId="210" applyFont="1" applyAlignment="1">
      <alignment horizontal="right"/>
    </xf>
    <xf numFmtId="0" fontId="126" fillId="0" borderId="0" xfId="210" applyFont="1"/>
    <xf numFmtId="0" fontId="8" fillId="0" borderId="5" xfId="210" applyBorder="1"/>
    <xf numFmtId="0" fontId="37" fillId="5" borderId="9" xfId="0" applyFont="1" applyFill="1" applyBorder="1" applyAlignment="1" applyProtection="1">
      <alignment horizontal="center"/>
      <protection locked="0"/>
    </xf>
    <xf numFmtId="0" fontId="69" fillId="0" borderId="10" xfId="0" applyFont="1" applyBorder="1"/>
    <xf numFmtId="0" fontId="0" fillId="0" borderId="10" xfId="0" applyBorder="1"/>
    <xf numFmtId="0" fontId="37" fillId="18" borderId="9" xfId="0" applyFont="1" applyFill="1" applyBorder="1" applyAlignment="1" applyProtection="1">
      <alignment horizontal="center"/>
      <protection locked="0"/>
    </xf>
    <xf numFmtId="177" fontId="109" fillId="0" borderId="0" xfId="210" applyNumberFormat="1" applyFont="1"/>
    <xf numFmtId="196" fontId="8" fillId="0" borderId="1" xfId="210" applyNumberFormat="1" applyBorder="1"/>
    <xf numFmtId="169" fontId="0" fillId="19" borderId="0" xfId="4" applyFont="1" applyFill="1">
      <alignment vertical="center"/>
    </xf>
    <xf numFmtId="170" fontId="94" fillId="0" borderId="0" xfId="0" applyNumberFormat="1" applyFont="1" applyBorder="1" applyAlignment="1">
      <alignment horizontal="center"/>
    </xf>
    <xf numFmtId="172" fontId="95" fillId="0" borderId="0" xfId="0" applyNumberFormat="1" applyFont="1" applyBorder="1" applyAlignment="1">
      <alignment horizontal="center"/>
    </xf>
    <xf numFmtId="0" fontId="95" fillId="0" borderId="0" xfId="0" applyFont="1" applyBorder="1" applyAlignment="1">
      <alignment horizontal="center"/>
    </xf>
    <xf numFmtId="169" fontId="20" fillId="0" borderId="0" xfId="4" quotePrefix="1" applyFont="1" applyFill="1" applyBorder="1" applyAlignment="1">
      <alignment horizontal="right" vertical="center"/>
    </xf>
    <xf numFmtId="192" fontId="96" fillId="0" borderId="0" xfId="4" quotePrefix="1" applyNumberFormat="1" applyFont="1" applyFill="1" applyBorder="1" applyAlignment="1">
      <alignment horizontal="right" vertical="center"/>
    </xf>
    <xf numFmtId="0" fontId="0" fillId="0" borderId="0" xfId="0" applyFont="1" applyAlignment="1">
      <alignment horizontal="right" vertical="top" wrapText="1"/>
    </xf>
    <xf numFmtId="0" fontId="134" fillId="0" borderId="0" xfId="0" applyFont="1"/>
    <xf numFmtId="0" fontId="0" fillId="19" borderId="0" xfId="0" applyFill="1"/>
    <xf numFmtId="169" fontId="0" fillId="19" borderId="1" xfId="4" applyFont="1" applyFill="1" applyBorder="1" applyProtection="1">
      <alignment vertical="center"/>
    </xf>
    <xf numFmtId="0" fontId="13" fillId="19" borderId="0" xfId="0" applyFont="1" applyFill="1" applyBorder="1" applyAlignment="1">
      <alignment horizontal="left"/>
    </xf>
    <xf numFmtId="169" fontId="13" fillId="19" borderId="0" xfId="4" applyFont="1" applyFill="1" applyBorder="1">
      <alignment vertical="center"/>
    </xf>
    <xf numFmtId="0" fontId="0" fillId="0" borderId="5" xfId="0" applyBorder="1" applyAlignment="1">
      <alignment horizontal="right" vertical="top" wrapText="1"/>
    </xf>
    <xf numFmtId="186" fontId="52" fillId="23" borderId="14" xfId="4" applyNumberFormat="1" applyFont="1" applyFill="1" applyBorder="1">
      <alignment vertical="center"/>
    </xf>
    <xf numFmtId="0" fontId="37" fillId="5" borderId="14" xfId="0" applyFont="1" applyFill="1" applyBorder="1" applyAlignment="1" applyProtection="1">
      <alignment horizontal="center"/>
      <protection locked="0"/>
    </xf>
    <xf numFmtId="0" fontId="32" fillId="5" borderId="14" xfId="7" applyFont="1" applyFill="1" applyBorder="1" applyAlignment="1">
      <alignment horizontal="left"/>
    </xf>
    <xf numFmtId="0" fontId="0" fillId="4" borderId="14" xfId="0" applyFill="1" applyBorder="1" applyAlignment="1" applyProtection="1">
      <alignment horizontal="left"/>
      <protection locked="0"/>
    </xf>
    <xf numFmtId="3" fontId="0" fillId="4" borderId="14" xfId="0" applyNumberFormat="1" applyFill="1" applyBorder="1" applyAlignment="1" applyProtection="1">
      <alignment horizontal="right"/>
      <protection locked="0"/>
    </xf>
    <xf numFmtId="0" fontId="13" fillId="6" borderId="14" xfId="0" applyFont="1" applyFill="1" applyBorder="1" applyAlignment="1">
      <alignment horizontal="right"/>
    </xf>
    <xf numFmtId="182" fontId="0" fillId="0" borderId="14" xfId="4" applyNumberFormat="1" applyFont="1" applyFill="1" applyBorder="1">
      <alignment vertical="center"/>
    </xf>
    <xf numFmtId="0" fontId="69" fillId="6" borderId="0" xfId="0" applyFont="1" applyFill="1" applyBorder="1"/>
    <xf numFmtId="4" fontId="103" fillId="18" borderId="0" xfId="40" applyNumberFormat="1" applyFill="1" applyAlignment="1">
      <alignment horizontal="right" vertical="top" wrapText="1"/>
    </xf>
    <xf numFmtId="185" fontId="0" fillId="18" borderId="0" xfId="0" applyNumberFormat="1" applyFill="1" applyAlignment="1">
      <alignment horizontal="right"/>
    </xf>
    <xf numFmtId="197" fontId="0" fillId="0" borderId="0" xfId="0" applyNumberFormat="1"/>
    <xf numFmtId="4" fontId="0" fillId="18" borderId="0" xfId="0" applyNumberFormat="1" applyFill="1" applyAlignment="1">
      <alignment horizontal="right"/>
    </xf>
    <xf numFmtId="0" fontId="0" fillId="18" borderId="0" xfId="0" applyFill="1" applyAlignment="1">
      <alignment horizontal="right"/>
    </xf>
    <xf numFmtId="49" fontId="0" fillId="19" borderId="0" xfId="0" applyNumberFormat="1" applyFill="1" applyAlignment="1">
      <alignment horizontal="right"/>
    </xf>
    <xf numFmtId="49" fontId="0" fillId="19" borderId="0" xfId="0" applyNumberFormat="1" applyFill="1" applyAlignment="1">
      <alignment horizontal="left"/>
    </xf>
    <xf numFmtId="0" fontId="0" fillId="19" borderId="0" xfId="0" applyFont="1" applyFill="1" applyAlignment="1">
      <alignment horizontal="right" vertical="top" wrapText="1"/>
    </xf>
    <xf numFmtId="185" fontId="0" fillId="19" borderId="0" xfId="0" applyNumberFormat="1" applyFill="1" applyAlignment="1">
      <alignment horizontal="right"/>
    </xf>
    <xf numFmtId="182" fontId="0" fillId="19" borderId="0" xfId="4" applyNumberFormat="1" applyFont="1" applyFill="1">
      <alignment vertical="center"/>
    </xf>
    <xf numFmtId="4" fontId="0" fillId="19" borderId="0" xfId="0" applyNumberFormat="1" applyFill="1" applyAlignment="1">
      <alignment horizontal="right"/>
    </xf>
    <xf numFmtId="182" fontId="52" fillId="19" borderId="0" xfId="4" applyNumberFormat="1" applyFont="1" applyFill="1">
      <alignment vertical="center"/>
    </xf>
    <xf numFmtId="4" fontId="0" fillId="19" borderId="0" xfId="0" applyNumberFormat="1" applyFill="1"/>
    <xf numFmtId="0" fontId="0" fillId="19" borderId="0" xfId="0" applyFill="1" applyAlignment="1">
      <alignment horizontal="right"/>
    </xf>
    <xf numFmtId="182" fontId="13" fillId="19" borderId="0" xfId="4" applyNumberFormat="1" applyFont="1" applyFill="1">
      <alignment vertical="center"/>
    </xf>
    <xf numFmtId="0" fontId="0" fillId="19" borderId="5" xfId="0" applyFill="1" applyBorder="1" applyAlignment="1">
      <alignment horizontal="right"/>
    </xf>
    <xf numFmtId="182" fontId="13" fillId="19" borderId="5" xfId="4" applyNumberFormat="1" applyFont="1" applyFill="1" applyBorder="1">
      <alignment vertical="center"/>
    </xf>
    <xf numFmtId="0" fontId="13" fillId="19" borderId="0" xfId="0" applyFont="1" applyFill="1" applyAlignment="1">
      <alignment horizontal="right"/>
    </xf>
    <xf numFmtId="0" fontId="0" fillId="19" borderId="0" xfId="0" applyFont="1" applyFill="1" applyAlignment="1">
      <alignment horizontal="left" vertical="top" wrapText="1"/>
    </xf>
    <xf numFmtId="49" fontId="13" fillId="19" borderId="0" xfId="0" applyNumberFormat="1" applyFont="1" applyFill="1" applyAlignment="1">
      <alignment horizontal="right"/>
    </xf>
    <xf numFmtId="185" fontId="0" fillId="19" borderId="5" xfId="0" applyNumberFormat="1" applyFill="1" applyBorder="1" applyAlignment="1">
      <alignment horizontal="right"/>
    </xf>
    <xf numFmtId="0" fontId="0" fillId="19" borderId="0" xfId="0" applyFill="1" applyAlignment="1">
      <alignment horizontal="left" vertical="top" wrapText="1"/>
    </xf>
    <xf numFmtId="166" fontId="0" fillId="19" borderId="0" xfId="0" applyNumberFormat="1" applyFill="1"/>
    <xf numFmtId="169" fontId="0" fillId="9" borderId="0" xfId="4" applyFont="1" applyFill="1">
      <alignment vertical="center"/>
    </xf>
    <xf numFmtId="4" fontId="0" fillId="60" borderId="0" xfId="0" applyNumberFormat="1" applyFill="1"/>
    <xf numFmtId="4" fontId="0" fillId="19" borderId="0" xfId="0" applyNumberFormat="1" applyFill="1" applyBorder="1" applyAlignment="1">
      <alignment horizontal="right"/>
    </xf>
    <xf numFmtId="182" fontId="0" fillId="19" borderId="0" xfId="4" applyNumberFormat="1" applyFont="1" applyFill="1" applyBorder="1">
      <alignment vertical="center"/>
    </xf>
    <xf numFmtId="0" fontId="0" fillId="22" borderId="0" xfId="0" applyFill="1"/>
    <xf numFmtId="4" fontId="0" fillId="22" borderId="0" xfId="0" applyNumberFormat="1" applyFill="1"/>
    <xf numFmtId="0" fontId="51" fillId="22" borderId="0" xfId="0" applyFont="1" applyFill="1"/>
    <xf numFmtId="169" fontId="0" fillId="22" borderId="0" xfId="4" applyFont="1" applyFill="1">
      <alignment vertical="center"/>
    </xf>
    <xf numFmtId="166" fontId="0" fillId="22" borderId="0" xfId="0" applyNumberFormat="1" applyFill="1"/>
    <xf numFmtId="182" fontId="0" fillId="20" borderId="14" xfId="4" applyNumberFormat="1" applyFont="1" applyFill="1" applyBorder="1">
      <alignment vertical="center"/>
    </xf>
    <xf numFmtId="182" fontId="52" fillId="20" borderId="14" xfId="4" applyNumberFormat="1" applyFont="1" applyFill="1" applyBorder="1">
      <alignment vertical="center"/>
    </xf>
    <xf numFmtId="4" fontId="0" fillId="0" borderId="0" xfId="0" applyNumberFormat="1" applyAlignment="1">
      <alignment horizontal="right"/>
    </xf>
    <xf numFmtId="4" fontId="103" fillId="0" borderId="0" xfId="40" applyNumberFormat="1" applyAlignment="1">
      <alignment horizontal="right" vertical="top" wrapText="1"/>
    </xf>
    <xf numFmtId="171" fontId="52" fillId="3" borderId="2" xfId="4" applyNumberFormat="1" applyFont="1" applyFill="1" applyBorder="1" applyProtection="1">
      <alignment vertical="center"/>
    </xf>
    <xf numFmtId="169" fontId="52" fillId="8" borderId="0" xfId="4" applyFont="1" applyFill="1">
      <alignment vertical="center"/>
    </xf>
    <xf numFmtId="186" fontId="16" fillId="0" borderId="0" xfId="4" applyNumberFormat="1" applyFont="1" applyFill="1" applyBorder="1">
      <alignment vertical="center"/>
    </xf>
    <xf numFmtId="0" fontId="18" fillId="0" borderId="0" xfId="38" applyFont="1"/>
    <xf numFmtId="0" fontId="16" fillId="0" borderId="0" xfId="38" applyFont="1" applyAlignment="1">
      <alignment horizontal="right"/>
    </xf>
    <xf numFmtId="0" fontId="13" fillId="0" borderId="0" xfId="38" applyProtection="1">
      <protection locked="0"/>
    </xf>
    <xf numFmtId="173" fontId="13" fillId="0" borderId="0" xfId="38" applyNumberFormat="1"/>
    <xf numFmtId="0" fontId="13" fillId="61" borderId="0" xfId="38" applyFill="1"/>
    <xf numFmtId="0" fontId="16" fillId="0" borderId="0" xfId="38" applyFont="1"/>
    <xf numFmtId="0" fontId="13" fillId="61" borderId="0" xfId="38" applyFill="1" applyProtection="1">
      <protection locked="0"/>
    </xf>
    <xf numFmtId="173" fontId="13" fillId="61" borderId="0" xfId="38" applyNumberFormat="1" applyFill="1"/>
    <xf numFmtId="0" fontId="16" fillId="0" borderId="0" xfId="38" applyFont="1" applyAlignment="1">
      <alignment horizontal="center"/>
    </xf>
    <xf numFmtId="0" fontId="13" fillId="5" borderId="0" xfId="0" applyFont="1" applyFill="1"/>
    <xf numFmtId="169" fontId="32" fillId="0" borderId="0" xfId="0" applyNumberFormat="1" applyFont="1"/>
    <xf numFmtId="169" fontId="13" fillId="0" borderId="0" xfId="0" applyNumberFormat="1" applyFont="1"/>
    <xf numFmtId="0" fontId="138" fillId="26" borderId="51" xfId="0" applyFont="1" applyFill="1" applyBorder="1"/>
    <xf numFmtId="0" fontId="138" fillId="26" borderId="52" xfId="0" applyFont="1" applyFill="1" applyBorder="1"/>
    <xf numFmtId="0" fontId="104" fillId="26" borderId="52" xfId="0" applyFont="1" applyFill="1" applyBorder="1"/>
    <xf numFmtId="0" fontId="104" fillId="26" borderId="53" xfId="0" applyFont="1" applyFill="1" applyBorder="1"/>
    <xf numFmtId="0" fontId="104" fillId="27" borderId="54" xfId="0" applyFont="1" applyFill="1" applyBorder="1"/>
    <xf numFmtId="0" fontId="104" fillId="27" borderId="55" xfId="0" applyFont="1" applyFill="1" applyBorder="1"/>
    <xf numFmtId="173" fontId="104" fillId="27" borderId="55" xfId="4" applyNumberFormat="1" applyFont="1" applyFill="1" applyBorder="1">
      <alignment vertical="center"/>
    </xf>
    <xf numFmtId="173" fontId="104" fillId="27" borderId="56" xfId="4" applyNumberFormat="1" applyFont="1" applyFill="1" applyBorder="1">
      <alignment vertical="center"/>
    </xf>
    <xf numFmtId="0" fontId="104" fillId="26" borderId="54" xfId="0" applyFont="1" applyFill="1" applyBorder="1"/>
    <xf numFmtId="0" fontId="104" fillId="26" borderId="55" xfId="0" applyFont="1" applyFill="1" applyBorder="1"/>
    <xf numFmtId="173" fontId="104" fillId="26" borderId="55" xfId="4" applyNumberFormat="1" applyFont="1" applyFill="1" applyBorder="1">
      <alignment vertical="center"/>
    </xf>
    <xf numFmtId="173" fontId="104" fillId="26" borderId="56" xfId="4" applyNumberFormat="1" applyFont="1" applyFill="1" applyBorder="1">
      <alignment vertical="center"/>
    </xf>
    <xf numFmtId="0" fontId="140" fillId="27" borderId="54" xfId="0" applyFont="1" applyFill="1" applyBorder="1"/>
    <xf numFmtId="0" fontId="140" fillId="27" borderId="55" xfId="0" applyFont="1" applyFill="1" applyBorder="1"/>
    <xf numFmtId="0" fontId="140" fillId="26" borderId="55" xfId="0" applyFont="1" applyFill="1" applyBorder="1"/>
    <xf numFmtId="2" fontId="22" fillId="27" borderId="55" xfId="0" applyNumberFormat="1" applyFont="1" applyFill="1" applyBorder="1"/>
    <xf numFmtId="2" fontId="22" fillId="27" borderId="55" xfId="4" applyNumberFormat="1" applyFont="1" applyFill="1" applyBorder="1">
      <alignment vertical="center"/>
    </xf>
    <xf numFmtId="173" fontId="104" fillId="26" borderId="55" xfId="4" quotePrefix="1" applyNumberFormat="1" applyFont="1" applyFill="1" applyBorder="1" applyAlignment="1">
      <alignment horizontal="right" vertical="center"/>
    </xf>
    <xf numFmtId="173" fontId="104" fillId="26" borderId="56" xfId="4" quotePrefix="1" applyNumberFormat="1" applyFont="1" applyFill="1" applyBorder="1" applyAlignment="1">
      <alignment horizontal="right" vertical="center"/>
    </xf>
    <xf numFmtId="173" fontId="104" fillId="27" borderId="55" xfId="4" quotePrefix="1" applyNumberFormat="1" applyFont="1" applyFill="1" applyBorder="1" applyAlignment="1">
      <alignment horizontal="right" vertical="center"/>
    </xf>
    <xf numFmtId="173" fontId="104" fillId="27" borderId="56" xfId="4" quotePrefix="1" applyNumberFormat="1" applyFont="1" applyFill="1" applyBorder="1" applyAlignment="1">
      <alignment horizontal="right" vertical="center"/>
    </xf>
    <xf numFmtId="173" fontId="105" fillId="27" borderId="55" xfId="4" quotePrefix="1" applyNumberFormat="1" applyFont="1" applyFill="1" applyBorder="1" applyAlignment="1">
      <alignment horizontal="right" vertical="center"/>
    </xf>
    <xf numFmtId="173" fontId="105" fillId="27" borderId="56" xfId="4" quotePrefix="1" applyNumberFormat="1" applyFont="1" applyFill="1" applyBorder="1" applyAlignment="1">
      <alignment horizontal="right" vertical="center"/>
    </xf>
    <xf numFmtId="192" fontId="96" fillId="24" borderId="34" xfId="4" quotePrefix="1" applyNumberFormat="1" applyFont="1" applyFill="1" applyBorder="1" applyAlignment="1">
      <alignment horizontal="right" vertical="center"/>
    </xf>
    <xf numFmtId="173" fontId="139" fillId="27" borderId="55" xfId="4" applyNumberFormat="1" applyFont="1" applyFill="1" applyBorder="1">
      <alignment vertical="center"/>
    </xf>
    <xf numFmtId="173" fontId="105" fillId="26" borderId="55" xfId="4" applyNumberFormat="1" applyFont="1" applyFill="1" applyBorder="1">
      <alignment vertical="center"/>
    </xf>
    <xf numFmtId="0" fontId="137" fillId="27" borderId="54" xfId="0" applyFont="1" applyFill="1" applyBorder="1"/>
    <xf numFmtId="0" fontId="138" fillId="27" borderId="54" xfId="0" applyFont="1" applyFill="1" applyBorder="1"/>
    <xf numFmtId="173" fontId="104" fillId="27" borderId="56" xfId="4" applyNumberFormat="1" applyFont="1" applyFill="1" applyBorder="1" applyAlignment="1">
      <alignment horizontal="center" vertical="center"/>
    </xf>
    <xf numFmtId="0" fontId="104" fillId="26" borderId="53" xfId="0" applyFont="1" applyFill="1" applyBorder="1" applyAlignment="1">
      <alignment horizontal="center"/>
    </xf>
    <xf numFmtId="173" fontId="104" fillId="26" borderId="56" xfId="4" quotePrefix="1" applyNumberFormat="1" applyFont="1" applyFill="1" applyBorder="1" applyAlignment="1">
      <alignment horizontal="center" vertical="center"/>
    </xf>
    <xf numFmtId="198" fontId="0" fillId="0" borderId="0" xfId="376" applyNumberFormat="1" applyFont="1"/>
    <xf numFmtId="198" fontId="19" fillId="0" borderId="0" xfId="376" applyNumberFormat="1" applyFont="1" applyBorder="1" applyAlignment="1">
      <alignment horizontal="center"/>
    </xf>
    <xf numFmtId="198" fontId="16" fillId="0" borderId="0" xfId="376" applyNumberFormat="1" applyFont="1" applyAlignment="1">
      <alignment horizontal="center" wrapText="1"/>
    </xf>
    <xf numFmtId="198" fontId="16" fillId="0" borderId="0" xfId="376" applyNumberFormat="1" applyFont="1" applyAlignment="1">
      <alignment horizontal="center"/>
    </xf>
    <xf numFmtId="198" fontId="20" fillId="0" borderId="0" xfId="376" applyNumberFormat="1" applyFont="1" applyAlignment="1">
      <alignment horizontal="center"/>
    </xf>
    <xf numFmtId="198" fontId="16" fillId="0" borderId="0" xfId="376" applyNumberFormat="1" applyFont="1"/>
    <xf numFmtId="198" fontId="16" fillId="0" borderId="0" xfId="376" applyNumberFormat="1" applyFont="1" applyFill="1" applyAlignment="1">
      <alignment vertical="center"/>
    </xf>
    <xf numFmtId="173" fontId="105" fillId="27" borderId="56" xfId="4" applyNumberFormat="1" applyFont="1" applyFill="1" applyBorder="1">
      <alignment vertical="center"/>
    </xf>
    <xf numFmtId="177" fontId="0" fillId="0" borderId="0" xfId="0" applyNumberFormat="1"/>
    <xf numFmtId="177" fontId="52" fillId="0" borderId="0" xfId="0" applyNumberFormat="1" applyFont="1"/>
    <xf numFmtId="177" fontId="0" fillId="0" borderId="5" xfId="0" applyNumberFormat="1" applyBorder="1"/>
    <xf numFmtId="169" fontId="16" fillId="9" borderId="0" xfId="4" applyFont="1" applyFill="1">
      <alignment vertical="center"/>
    </xf>
    <xf numFmtId="0" fontId="27" fillId="0" borderId="0" xfId="38" applyFont="1" applyAlignment="1">
      <alignment horizontal="center"/>
    </xf>
    <xf numFmtId="0" fontId="28" fillId="0" borderId="0" xfId="38" applyFont="1" applyAlignment="1">
      <alignment horizontal="center"/>
    </xf>
    <xf numFmtId="194" fontId="102" fillId="0" borderId="0" xfId="39" applyNumberFormat="1" applyFont="1" applyAlignment="1">
      <alignment horizontal="center" vertical="center" wrapText="1"/>
    </xf>
    <xf numFmtId="0" fontId="99" fillId="0" borderId="0" xfId="39" applyFont="1" applyAlignment="1">
      <alignment horizontal="center" vertical="center" wrapText="1"/>
    </xf>
    <xf numFmtId="0" fontId="100" fillId="0" borderId="0" xfId="39" applyFont="1" applyAlignment="1">
      <alignment horizontal="center" wrapText="1"/>
    </xf>
    <xf numFmtId="0" fontId="101" fillId="0" borderId="0" xfId="39" applyFont="1" applyAlignment="1">
      <alignment horizontal="center" wrapText="1"/>
    </xf>
    <xf numFmtId="0" fontId="92" fillId="24" borderId="0" xfId="0" applyFont="1" applyFill="1" applyAlignment="1">
      <alignment horizontal="center"/>
    </xf>
    <xf numFmtId="0" fontId="93" fillId="24" borderId="0" xfId="0" applyFont="1" applyFill="1" applyAlignment="1">
      <alignment horizontal="center"/>
    </xf>
    <xf numFmtId="0" fontId="94" fillId="24" borderId="0" xfId="0" applyFont="1" applyFill="1" applyBorder="1" applyAlignment="1">
      <alignment horizontal="center"/>
    </xf>
    <xf numFmtId="183" fontId="87" fillId="0" borderId="6" xfId="34" applyFont="1" applyBorder="1" applyAlignment="1">
      <alignment horizontal="center"/>
    </xf>
    <xf numFmtId="184" fontId="83" fillId="0" borderId="0" xfId="34" applyNumberFormat="1" applyFont="1" applyAlignment="1">
      <alignment horizontal="center"/>
    </xf>
    <xf numFmtId="184" fontId="84" fillId="0" borderId="3" xfId="34" applyNumberFormat="1" applyFont="1" applyBorder="1" applyAlignment="1">
      <alignment horizontal="center"/>
    </xf>
    <xf numFmtId="184" fontId="84" fillId="0" borderId="30" xfId="34" applyNumberFormat="1" applyFont="1" applyBorder="1" applyAlignment="1">
      <alignment horizontal="center"/>
    </xf>
    <xf numFmtId="174" fontId="85" fillId="15" borderId="0" xfId="35" applyNumberFormat="1" applyFont="1" applyFill="1" applyAlignment="1">
      <alignment horizontal="center"/>
    </xf>
    <xf numFmtId="174" fontId="86" fillId="16" borderId="5" xfId="35" applyNumberFormat="1" applyFont="1" applyFill="1" applyBorder="1" applyAlignment="1">
      <alignment horizontal="center"/>
    </xf>
    <xf numFmtId="49" fontId="13" fillId="0" borderId="0" xfId="0" applyNumberFormat="1" applyFont="1" applyAlignment="1">
      <alignment horizontal="center"/>
    </xf>
    <xf numFmtId="0" fontId="104" fillId="0" borderId="0" xfId="40" applyFont="1" applyAlignment="1">
      <alignment horizontal="left" vertical="center"/>
    </xf>
    <xf numFmtId="0" fontId="103" fillId="0" borderId="0" xfId="40">
      <alignment vertical="center"/>
    </xf>
    <xf numFmtId="0" fontId="122" fillId="0" borderId="0" xfId="40" applyFont="1" applyAlignment="1">
      <alignment horizontal="left" vertical="center"/>
    </xf>
    <xf numFmtId="0" fontId="39" fillId="0" borderId="0" xfId="9" applyFont="1" applyAlignment="1">
      <alignment horizontal="center"/>
    </xf>
    <xf numFmtId="0" fontId="40" fillId="0" borderId="0" xfId="9" applyFont="1" applyAlignment="1">
      <alignment horizontal="center"/>
    </xf>
    <xf numFmtId="0" fontId="41" fillId="0" borderId="0" xfId="9" applyFont="1" applyAlignment="1">
      <alignment horizontal="right"/>
    </xf>
    <xf numFmtId="0" fontId="48" fillId="0" borderId="5" xfId="0" applyFont="1" applyBorder="1" applyAlignment="1">
      <alignment horizontal="center"/>
    </xf>
    <xf numFmtId="0" fontId="57" fillId="11" borderId="7" xfId="17" applyFont="1" applyFill="1" applyBorder="1" applyAlignment="1">
      <alignment horizontal="center" vertical="center"/>
    </xf>
    <xf numFmtId="0" fontId="57" fillId="11" borderId="8" xfId="17" applyFont="1" applyFill="1" applyBorder="1" applyAlignment="1">
      <alignment horizontal="center" vertical="center"/>
    </xf>
    <xf numFmtId="14" fontId="57" fillId="8" borderId="9" xfId="17" applyNumberFormat="1" applyFont="1" applyFill="1" applyBorder="1" applyAlignment="1">
      <alignment horizontal="center" vertical="center"/>
    </xf>
    <xf numFmtId="14" fontId="57" fillId="8" borderId="10" xfId="17" applyNumberFormat="1" applyFont="1" applyFill="1" applyBorder="1" applyAlignment="1">
      <alignment horizontal="center" vertical="center"/>
    </xf>
    <xf numFmtId="0" fontId="57" fillId="13" borderId="11" xfId="17" applyFont="1" applyFill="1" applyBorder="1" applyAlignment="1">
      <alignment horizontal="center" vertical="center"/>
    </xf>
    <xf numFmtId="0" fontId="57" fillId="13" borderId="12" xfId="17" applyFont="1" applyFill="1" applyBorder="1" applyAlignment="1">
      <alignment horizontal="center" vertical="center"/>
    </xf>
    <xf numFmtId="0" fontId="60" fillId="12" borderId="14" xfId="16" applyFont="1" applyFill="1" applyBorder="1" applyAlignment="1">
      <alignment horizontal="center"/>
    </xf>
    <xf numFmtId="0" fontId="60" fillId="12" borderId="15" xfId="16" applyFont="1" applyFill="1" applyBorder="1" applyAlignment="1">
      <alignment horizontal="center"/>
    </xf>
    <xf numFmtId="0" fontId="55" fillId="12" borderId="5" xfId="16" applyFont="1" applyFill="1" applyBorder="1" applyAlignment="1">
      <alignment horizontal="center"/>
    </xf>
    <xf numFmtId="0" fontId="55" fillId="12" borderId="19" xfId="16" applyFont="1" applyFill="1" applyBorder="1" applyAlignment="1">
      <alignment horizontal="center"/>
    </xf>
    <xf numFmtId="0" fontId="41" fillId="0" borderId="0" xfId="22" applyFont="1" applyAlignment="1">
      <alignment horizontal="center"/>
    </xf>
    <xf numFmtId="0" fontId="57" fillId="0" borderId="0" xfId="22" applyFont="1" applyAlignment="1">
      <alignment horizontal="center"/>
    </xf>
    <xf numFmtId="0" fontId="65" fillId="0" borderId="0" xfId="22" applyFont="1" applyAlignment="1">
      <alignment horizontal="center"/>
    </xf>
    <xf numFmtId="0" fontId="14" fillId="0" borderId="0" xfId="22" applyFont="1"/>
    <xf numFmtId="0" fontId="65" fillId="0" borderId="0" xfId="22" applyFont="1"/>
    <xf numFmtId="0" fontId="67" fillId="0" borderId="22" xfId="22" applyFont="1" applyBorder="1" applyAlignment="1">
      <alignment horizontal="center"/>
    </xf>
    <xf numFmtId="0" fontId="67" fillId="0" borderId="21" xfId="22" applyFont="1" applyBorder="1" applyAlignment="1">
      <alignment horizontal="center"/>
    </xf>
    <xf numFmtId="176" fontId="14" fillId="0" borderId="22" xfId="22" applyNumberFormat="1" applyFont="1" applyBorder="1" applyAlignment="1">
      <alignment horizontal="center"/>
    </xf>
    <xf numFmtId="176" fontId="14" fillId="0" borderId="21" xfId="22" applyNumberFormat="1" applyFont="1" applyBorder="1" applyAlignment="1">
      <alignment horizontal="center"/>
    </xf>
    <xf numFmtId="176" fontId="14" fillId="0" borderId="23" xfId="22" applyNumberFormat="1" applyFont="1" applyBorder="1" applyAlignment="1">
      <alignment horizontal="center"/>
    </xf>
    <xf numFmtId="176" fontId="14" fillId="0" borderId="24" xfId="22" applyNumberFormat="1" applyFont="1" applyBorder="1" applyAlignment="1">
      <alignment horizontal="center"/>
    </xf>
    <xf numFmtId="176" fontId="14" fillId="0" borderId="27" xfId="22" applyNumberFormat="1" applyFont="1" applyBorder="1" applyAlignment="1">
      <alignment horizontal="center"/>
    </xf>
    <xf numFmtId="0" fontId="14" fillId="0" borderId="25" xfId="22" applyFont="1" applyBorder="1" applyAlignment="1">
      <alignment horizontal="center"/>
    </xf>
    <xf numFmtId="0" fontId="14" fillId="0" borderId="26" xfId="22" applyFont="1" applyBorder="1" applyAlignment="1">
      <alignment horizontal="center"/>
    </xf>
    <xf numFmtId="0" fontId="14" fillId="0" borderId="23" xfId="22" applyFont="1" applyBorder="1" applyAlignment="1">
      <alignment horizontal="center"/>
    </xf>
    <xf numFmtId="0" fontId="14" fillId="0" borderId="27" xfId="22" applyFont="1" applyBorder="1" applyAlignment="1">
      <alignment horizontal="center"/>
    </xf>
    <xf numFmtId="176" fontId="14" fillId="0" borderId="13" xfId="22" applyNumberFormat="1" applyFont="1" applyBorder="1" applyAlignment="1">
      <alignment horizontal="center"/>
    </xf>
    <xf numFmtId="176" fontId="14" fillId="0" borderId="15" xfId="22" applyNumberFormat="1" applyFont="1" applyBorder="1" applyAlignment="1">
      <alignment horizontal="center"/>
    </xf>
    <xf numFmtId="176" fontId="14" fillId="0" borderId="18" xfId="22" applyNumberFormat="1" applyFont="1" applyBorder="1" applyAlignment="1">
      <alignment horizontal="center"/>
    </xf>
    <xf numFmtId="176" fontId="14" fillId="0" borderId="19" xfId="22" applyNumberFormat="1" applyFont="1" applyBorder="1" applyAlignment="1">
      <alignment horizontal="center"/>
    </xf>
    <xf numFmtId="17" fontId="14" fillId="0" borderId="22" xfId="22" applyNumberFormat="1" applyFont="1" applyBorder="1" applyAlignment="1">
      <alignment horizontal="center"/>
    </xf>
    <xf numFmtId="17" fontId="14" fillId="0" borderId="21" xfId="22" applyNumberFormat="1" applyFont="1" applyBorder="1" applyAlignment="1">
      <alignment horizontal="center"/>
    </xf>
    <xf numFmtId="0" fontId="14" fillId="0" borderId="22" xfId="22" applyFont="1" applyBorder="1" applyAlignment="1">
      <alignment horizontal="center"/>
    </xf>
    <xf numFmtId="0" fontId="14" fillId="0" borderId="21" xfId="22" applyFont="1" applyBorder="1" applyAlignment="1">
      <alignment horizontal="center"/>
    </xf>
    <xf numFmtId="0" fontId="14" fillId="0" borderId="22" xfId="22" applyFont="1" applyBorder="1" applyAlignment="1">
      <alignment horizontal="center" wrapText="1"/>
    </xf>
    <xf numFmtId="0" fontId="14" fillId="0" borderId="21" xfId="22" applyFont="1" applyBorder="1" applyAlignment="1">
      <alignment horizontal="center" wrapText="1"/>
    </xf>
    <xf numFmtId="0" fontId="68" fillId="0" borderId="0" xfId="22" applyFont="1" applyAlignment="1">
      <alignment horizontal="right"/>
    </xf>
    <xf numFmtId="176" fontId="55" fillId="0" borderId="5" xfId="22" applyNumberFormat="1" applyFont="1" applyBorder="1" applyAlignment="1">
      <alignment horizontal="center"/>
    </xf>
    <xf numFmtId="0" fontId="14" fillId="0" borderId="0" xfId="22" applyFont="1" applyAlignment="1">
      <alignment horizontal="center"/>
    </xf>
    <xf numFmtId="0" fontId="55" fillId="0" borderId="5" xfId="22" applyFont="1" applyBorder="1" applyAlignment="1">
      <alignment horizontal="center"/>
    </xf>
    <xf numFmtId="0" fontId="55" fillId="0" borderId="0" xfId="22" applyFont="1" applyAlignment="1">
      <alignment horizontal="center"/>
    </xf>
    <xf numFmtId="0" fontId="48" fillId="0" borderId="5" xfId="10" applyFont="1" applyBorder="1" applyAlignment="1">
      <alignment horizontal="center"/>
    </xf>
    <xf numFmtId="0" fontId="39" fillId="0" borderId="0" xfId="2" applyFont="1" applyAlignment="1">
      <alignment horizontal="right"/>
    </xf>
    <xf numFmtId="0" fontId="40" fillId="0" borderId="0" xfId="2" applyFont="1" applyAlignment="1">
      <alignment horizontal="right"/>
    </xf>
    <xf numFmtId="0" fontId="41" fillId="0" borderId="0" xfId="2" applyFont="1" applyAlignment="1">
      <alignment horizontal="right"/>
    </xf>
    <xf numFmtId="0" fontId="41" fillId="7" borderId="0" xfId="2" applyFont="1" applyFill="1" applyAlignment="1">
      <alignment horizontal="center"/>
    </xf>
  </cellXfs>
  <cellStyles count="377">
    <cellStyle name="$" xfId="1" xr:uid="{00000000-0005-0000-0000-000000000000}"/>
    <cellStyle name="$ 2" xfId="13" xr:uid="{00000000-0005-0000-0000-000001000000}"/>
    <cellStyle name="$_גרסה סופית ניירות עבודה ביקורת 2008" xfId="2" xr:uid="{00000000-0005-0000-0000-000002000000}"/>
    <cellStyle name="$_גרסה סופית ניירות עבודה ביקורת 2008 2" xfId="9" xr:uid="{00000000-0005-0000-0000-000003000000}"/>
    <cellStyle name="$_ניירות עבודה 2010" xfId="8" xr:uid="{00000000-0005-0000-0000-000004000000}"/>
    <cellStyle name="$_ניירות עבודה 2010 2" xfId="55" xr:uid="{A9E179EC-E1E6-4194-B492-9750F7ED5F68}"/>
    <cellStyle name="$_ניירות עבודה 2011" xfId="3" xr:uid="{00000000-0005-0000-0000-000005000000}"/>
    <cellStyle name="$_ניירות עבודה 2011 2" xfId="56" xr:uid="{ADB19794-64BC-47C5-956E-6FC63ACB1BEC}"/>
    <cellStyle name="20% - Accent1 2" xfId="57" xr:uid="{AB81A553-7B05-4499-A542-EC470E218CF4}"/>
    <cellStyle name="20% - Accent2 2" xfId="58" xr:uid="{A4B6B896-F9D4-4C04-9818-8EBDCEA30296}"/>
    <cellStyle name="20% - Accent3 2" xfId="59" xr:uid="{1BD2BC1D-ECF5-454C-8BA3-A181F1FD99B2}"/>
    <cellStyle name="20% - Accent4 2" xfId="60" xr:uid="{BA8F3426-926F-458F-AC9B-7B3946381C30}"/>
    <cellStyle name="20% - Accent5 2" xfId="61" xr:uid="{B6BD92CD-4F88-4BEA-987B-700A23287808}"/>
    <cellStyle name="20% - Accent6 2" xfId="62" xr:uid="{FFCEBCD0-F384-4726-965A-CA1DF87DB5AF}"/>
    <cellStyle name="40% - Accent1 2" xfId="63" xr:uid="{F0288B72-3110-4E17-A0E1-110AC2DFBC36}"/>
    <cellStyle name="40% - Accent2 2" xfId="64" xr:uid="{6DFF0597-339D-4375-B584-E5160E37F749}"/>
    <cellStyle name="40% - Accent3 2" xfId="65" xr:uid="{F01A1ECE-5B39-495F-A3C1-102F77CE8E9A}"/>
    <cellStyle name="40% - Accent4 2" xfId="66" xr:uid="{D3A22F25-C5F1-4F59-AFFB-9EBEE5AB96A7}"/>
    <cellStyle name="40% - Accent5 2" xfId="67" xr:uid="{DB7325FC-B334-4C52-8BCA-2D4FFB661E07}"/>
    <cellStyle name="40% - Accent6 2" xfId="68" xr:uid="{073D8306-79A7-47A6-BBD4-426941521558}"/>
    <cellStyle name="60% - Accent1 2" xfId="69" xr:uid="{ECF34B5B-3A7C-4CE9-9609-715503A85F71}"/>
    <cellStyle name="60% - Accent2 2" xfId="70" xr:uid="{BEF69E74-1660-4FC9-B902-80ADAEB3C653}"/>
    <cellStyle name="60% - Accent3 2" xfId="71" xr:uid="{6BC8EED0-182A-44FC-8F50-8042CFD137A0}"/>
    <cellStyle name="60% - Accent4 2" xfId="72" xr:uid="{1F3923C6-460A-4997-AA02-BD8F0EFA39B2}"/>
    <cellStyle name="60% - Accent5 2" xfId="73" xr:uid="{D56E7202-7F65-4967-B863-232B5049719A}"/>
    <cellStyle name="60% - Accent6 2" xfId="74" xr:uid="{DB95AFEC-5528-412F-B60C-A01BA5A37EB1}"/>
    <cellStyle name="Accent1 2" xfId="83" xr:uid="{3712F96F-0F1F-4DF2-8101-EB3488B66868}"/>
    <cellStyle name="Accent2 2" xfId="84" xr:uid="{62B9F744-F182-4C08-ADF6-4B8F271B4BB1}"/>
    <cellStyle name="Accent3 2" xfId="85" xr:uid="{9F862EFC-0EE1-4CC7-9D2A-C85BA7B52E87}"/>
    <cellStyle name="Accent4 2" xfId="86" xr:uid="{17A73A2A-9BD1-408D-AB5F-F4D28E5E2214}"/>
    <cellStyle name="Accent5 2" xfId="87" xr:uid="{65F6897F-6562-4F82-AB92-89E6070C0F0F}"/>
    <cellStyle name="Accent6 2" xfId="88" xr:uid="{9558CA31-3BBF-4D01-9E45-B4079D09A0B6}"/>
    <cellStyle name="Bad 2" xfId="103" xr:uid="{C5DD7504-00A2-4434-AA09-FE0DC0D01B00}"/>
    <cellStyle name="Calculation 2" xfId="90" xr:uid="{3EDCB973-16A4-4501-8636-8E89B47C6CB3}"/>
    <cellStyle name="Check Cell 2" xfId="104" xr:uid="{AA54C338-ED58-4438-A144-159A0556E50C}"/>
    <cellStyle name="Comma" xfId="4" builtinId="3"/>
    <cellStyle name="Comma 13 10" xfId="108" xr:uid="{167338B9-3DC3-4EC5-8157-2B7E02EC7BF7}"/>
    <cellStyle name="Comma 2" xfId="18" xr:uid="{00000000-0005-0000-0000-000007000000}"/>
    <cellStyle name="Comma 2 2" xfId="75" xr:uid="{E823B20E-C457-499F-91A9-C53F22A9812F}"/>
    <cellStyle name="Comma 2 3" xfId="109" xr:uid="{1232CA2C-4A6C-4539-92E6-5DDD1C24B74D}"/>
    <cellStyle name="Comma 2 4" xfId="123" xr:uid="{280B4AEA-226A-4E65-AE0B-4B346BE1109E}"/>
    <cellStyle name="Comma 2 5" xfId="214" xr:uid="{444D6030-57BD-4A02-A095-2DAF616C3AFE}"/>
    <cellStyle name="Comma 27" xfId="20" xr:uid="{00000000-0005-0000-0000-000008000000}"/>
    <cellStyle name="Comma 27 10" xfId="371" xr:uid="{B6778414-614D-4EFE-9D9F-03F5B474EE7B}"/>
    <cellStyle name="Comma 27 2" xfId="46" xr:uid="{D21E6A00-B96C-4E71-A613-BDCC657037FF}"/>
    <cellStyle name="Comma 27 2 2" xfId="77" xr:uid="{DC2B073B-6509-4819-9D53-34A4C2A433FB}"/>
    <cellStyle name="Comma 27 2 2 2" xfId="142" xr:uid="{A1D17186-E75D-4302-AFEC-7503FC4B1FD0}"/>
    <cellStyle name="Comma 27 2 2 2 2" xfId="194" xr:uid="{98E9F4E1-4375-411F-A253-851A1DD0C8B0}"/>
    <cellStyle name="Comma 27 2 2 2 2 2" xfId="264" xr:uid="{5594D21B-34FB-4F16-BAA2-84B77DBD6008}"/>
    <cellStyle name="Comma 27 2 2 2 2 3" xfId="333" xr:uid="{D77AEE66-4870-410B-BA6B-99298F996A88}"/>
    <cellStyle name="Comma 27 2 2 2 3" xfId="168" xr:uid="{32899837-DFFC-40B1-BE52-DC8CF2F8E932}"/>
    <cellStyle name="Comma 27 2 2 2 4" xfId="238" xr:uid="{CA88D635-ABB1-4FAC-8472-A2EF41A1A407}"/>
    <cellStyle name="Comma 27 2 2 2 5" xfId="307" xr:uid="{FC4C9157-DF00-4DCB-8F75-CBB41694B993}"/>
    <cellStyle name="Comma 27 2 2 3" xfId="125" xr:uid="{E3C073E1-C5C5-4A9C-AC65-97509E24377B}"/>
    <cellStyle name="Comma 27 2 2 3 2" xfId="181" xr:uid="{1B3EF751-1AEF-4535-BB1C-F12B4E5E6AC7}"/>
    <cellStyle name="Comma 27 2 2 3 3" xfId="251" xr:uid="{275D6429-3BA7-4EE0-B7A1-3EDF9E5EE5CF}"/>
    <cellStyle name="Comma 27 2 2 3 4" xfId="320" xr:uid="{137647BB-B679-42F5-A330-530E0921779E}"/>
    <cellStyle name="Comma 27 2 2 4" xfId="155" xr:uid="{6A70DF94-73C5-4F79-9303-E0DE9FE3C790}"/>
    <cellStyle name="Comma 27 2 2 5" xfId="225" xr:uid="{07EDCCF8-3163-46C0-B279-6732263E76CB}"/>
    <cellStyle name="Comma 27 2 2 6" xfId="294" xr:uid="{87C3C7E5-9A1B-4604-8048-52A83AF465DA}"/>
    <cellStyle name="Comma 27 2 3" xfId="135" xr:uid="{4B0AA701-443F-4E6C-B75C-732B565BDBC2}"/>
    <cellStyle name="Comma 27 2 3 2" xfId="187" xr:uid="{CE85BE00-2F6D-4BD4-9E91-90CED1DE6AB6}"/>
    <cellStyle name="Comma 27 2 3 2 2" xfId="257" xr:uid="{FA358E7C-D004-424C-B014-E8E1556B2B81}"/>
    <cellStyle name="Comma 27 2 3 2 3" xfId="326" xr:uid="{5D8E5EB5-71B3-44A0-86A6-0F21839DC089}"/>
    <cellStyle name="Comma 27 2 3 3" xfId="161" xr:uid="{75BF7BF1-09B7-42DA-A51B-AD273A262D22}"/>
    <cellStyle name="Comma 27 2 3 4" xfId="231" xr:uid="{BBEF2B64-7D87-49EA-BB45-2D6E9B52E3BC}"/>
    <cellStyle name="Comma 27 2 3 5" xfId="300" xr:uid="{60964548-390E-4217-88AA-4F6C502B0316}"/>
    <cellStyle name="Comma 27 2 4" xfId="114" xr:uid="{07A5D438-6411-48A1-8773-9D1ACB9ED875}"/>
    <cellStyle name="Comma 27 2 4 2" xfId="174" xr:uid="{96E51405-608A-4001-9A9F-7E7BCEDDA998}"/>
    <cellStyle name="Comma 27 2 4 3" xfId="244" xr:uid="{33589904-BEDB-4ECD-ADAB-D4A341ACA033}"/>
    <cellStyle name="Comma 27 2 4 4" xfId="313" xr:uid="{FA71D1B9-CCC4-4F7F-8CC5-BA7B96CD1562}"/>
    <cellStyle name="Comma 27 2 5" xfId="202" xr:uid="{855A79E0-C016-4160-84A6-2009C5EE86DD}"/>
    <cellStyle name="Comma 27 2 5 2" xfId="272" xr:uid="{0FECB142-1540-4745-9D2A-636019A75813}"/>
    <cellStyle name="Comma 27 2 5 3" xfId="341" xr:uid="{1A3617C5-315B-4C12-8BAA-826AA8291C58}"/>
    <cellStyle name="Comma 27 2 6" xfId="148" xr:uid="{66D1E9E5-34F4-4F15-9FBC-C9C64C1889F0}"/>
    <cellStyle name="Comma 27 2 6 2" xfId="357" xr:uid="{894598D7-D605-4F83-85E3-598F711D3B51}"/>
    <cellStyle name="Comma 27 2 7" xfId="218" xr:uid="{9D9FFCFB-E35B-4B9F-999D-82F85F66CB43}"/>
    <cellStyle name="Comma 27 2 8" xfId="287" xr:uid="{20D96730-4243-4CF6-85A8-929A1D76A403}"/>
    <cellStyle name="Comma 27 3" xfId="76" xr:uid="{5324F77B-46A0-4DF6-8EA0-9E1AB3445902}"/>
    <cellStyle name="Comma 27 3 2" xfId="141" xr:uid="{FE21371F-BDD3-49F1-A049-C9646AAE972A}"/>
    <cellStyle name="Comma 27 3 2 2" xfId="193" xr:uid="{5BFC949E-BF10-47B1-A72F-67D692D13DFB}"/>
    <cellStyle name="Comma 27 3 2 2 2" xfId="263" xr:uid="{0EFF8303-9413-4E62-8B1C-C327F06C3D9E}"/>
    <cellStyle name="Comma 27 3 2 2 3" xfId="332" xr:uid="{780D4AC7-0B1D-4A98-B1AF-49604A57B8E6}"/>
    <cellStyle name="Comma 27 3 2 3" xfId="167" xr:uid="{0AE03574-5ABD-4118-A2A0-BA8B633EB2CB}"/>
    <cellStyle name="Comma 27 3 2 4" xfId="237" xr:uid="{44F059D5-BEF4-48F6-A724-361200D9CC59}"/>
    <cellStyle name="Comma 27 3 2 5" xfId="306" xr:uid="{9B19D4C9-19D8-45FA-B2D9-18D4501F3260}"/>
    <cellStyle name="Comma 27 3 3" xfId="124" xr:uid="{E0BEDAC1-A664-411F-B06E-B2D347107832}"/>
    <cellStyle name="Comma 27 3 3 2" xfId="180" xr:uid="{ABA889DF-653F-4760-BC05-34A5849E8978}"/>
    <cellStyle name="Comma 27 3 3 3" xfId="250" xr:uid="{3F17559E-091A-40EE-AFEB-F582838535DD}"/>
    <cellStyle name="Comma 27 3 3 4" xfId="319" xr:uid="{48E82D19-1663-4D80-8E09-972132BA3730}"/>
    <cellStyle name="Comma 27 3 4" xfId="154" xr:uid="{FBDC9015-35F7-46D7-B129-CBC43CF2B066}"/>
    <cellStyle name="Comma 27 3 5" xfId="224" xr:uid="{DF5096D3-157F-4ED9-83D7-2A56BA97283D}"/>
    <cellStyle name="Comma 27 3 6" xfId="293" xr:uid="{6F010E66-44B0-4CCB-B0E2-2BCEB7A87151}"/>
    <cellStyle name="Comma 27 4" xfId="134" xr:uid="{A131C6F5-E651-4198-9F47-CEE28A6AB176}"/>
    <cellStyle name="Comma 27 4 2" xfId="186" xr:uid="{95EBFFF8-A3AE-4972-9010-4661A526CF25}"/>
    <cellStyle name="Comma 27 4 2 2" xfId="256" xr:uid="{69C79636-868D-4A6C-9811-2C11BD20CFF1}"/>
    <cellStyle name="Comma 27 4 2 3" xfId="325" xr:uid="{0D8B6A11-D553-4CAE-9CCC-F37E26AAFC91}"/>
    <cellStyle name="Comma 27 4 3" xfId="160" xr:uid="{14C236AF-1504-4529-BEFC-5C02512A5B27}"/>
    <cellStyle name="Comma 27 4 4" xfId="230" xr:uid="{CE74C285-DB5C-4495-BCE8-9D60A2F60922}"/>
    <cellStyle name="Comma 27 4 5" xfId="299" xr:uid="{DE03B343-E5E2-40AF-A139-2B481EB86305}"/>
    <cellStyle name="Comma 27 5" xfId="113" xr:uid="{52FF7E06-43B3-4DF4-A4E9-C47CC13F6A1A}"/>
    <cellStyle name="Comma 27 5 2" xfId="173" xr:uid="{8C539633-E065-4577-9778-9954430373AD}"/>
    <cellStyle name="Comma 27 5 3" xfId="243" xr:uid="{7633C655-B212-42B0-A5E8-C210D2704DD2}"/>
    <cellStyle name="Comma 27 5 4" xfId="312" xr:uid="{04A00337-1B68-420A-9A51-D6A44A7B39C7}"/>
    <cellStyle name="Comma 27 6" xfId="201" xr:uid="{90B1E74D-6962-46C0-A006-0F3191B4DCED}"/>
    <cellStyle name="Comma 27 6 2" xfId="271" xr:uid="{91F2C749-EA93-423A-9770-1C5FBC082786}"/>
    <cellStyle name="Comma 27 6 3" xfId="340" xr:uid="{2DB7F652-E8F5-4403-A5FB-66DBA1E67855}"/>
    <cellStyle name="Comma 27 7" xfId="147" xr:uid="{82744833-1A56-4FA0-9038-D72796FBAC11}"/>
    <cellStyle name="Comma 27 7 2" xfId="356" xr:uid="{11BCC5C5-D277-4F73-882B-AAB6C9C00B09}"/>
    <cellStyle name="Comma 27 8" xfId="217" xr:uid="{4F7AB8DC-D89F-47C7-AC91-54936598DA4D}"/>
    <cellStyle name="Comma 27 9" xfId="286" xr:uid="{F4414F00-57D5-4017-BA46-E881F1B2A710}"/>
    <cellStyle name="Comma 3" xfId="37" xr:uid="{00000000-0005-0000-0000-000009000000}"/>
    <cellStyle name="Comma 3 2" xfId="28" xr:uid="{00000000-0005-0000-0000-00000A000000}"/>
    <cellStyle name="Comma 3 2 2" xfId="78" xr:uid="{C8C4E062-F37F-4B1C-815C-EBFCEB543F2E}"/>
    <cellStyle name="Comma 3 3" xfId="53" xr:uid="{091169FF-8243-4E11-8FE9-81948C088D0A}"/>
    <cellStyle name="Comma 3 3 2" xfId="139" xr:uid="{4AF7A731-18EF-433B-A622-99C2FC3C822F}"/>
    <cellStyle name="Comma 3 3 2 2" xfId="191" xr:uid="{2934F4E3-1FEE-45D2-B93E-2F4B1408BC62}"/>
    <cellStyle name="Comma 3 3 2 3" xfId="261" xr:uid="{21DE38E2-3890-487D-B5FE-1F80F4A7A329}"/>
    <cellStyle name="Comma 3 3 2 4" xfId="330" xr:uid="{5DCDF641-C1D6-4768-B200-B30AB10C5F33}"/>
    <cellStyle name="Comma 3 3 3" xfId="165" xr:uid="{167FA82E-846B-479C-944E-3C061496B905}"/>
    <cellStyle name="Comma 3 3 4" xfId="235" xr:uid="{97D69C7A-E745-4FBF-BB66-C022E04CCB2E}"/>
    <cellStyle name="Comma 3 3 5" xfId="304" xr:uid="{6777BB95-68E9-4B2C-B4DC-1EB65A1BC01C}"/>
    <cellStyle name="Comma 3 4" xfId="118" xr:uid="{9AD006DE-928C-4512-AFEA-B05312406151}"/>
    <cellStyle name="Comma 3 4 2" xfId="178" xr:uid="{47C1190E-A7E6-433D-9B79-E75B20DAE12D}"/>
    <cellStyle name="Comma 3 4 3" xfId="248" xr:uid="{2DA030AD-579D-4C4E-8C82-0559E29D4EFD}"/>
    <cellStyle name="Comma 3 4 4" xfId="317" xr:uid="{D60EF031-1858-441A-B9B8-7984B657FA02}"/>
    <cellStyle name="Comma 3 5" xfId="207" xr:uid="{BABD3B66-5508-427B-87B5-008D8354C235}"/>
    <cellStyle name="Comma 3 5 2" xfId="277" xr:uid="{93D6E4F2-AC1C-4D1B-A387-EAF0A5E19500}"/>
    <cellStyle name="Comma 3 5 3" xfId="346" xr:uid="{2A463B6F-2CA5-454D-9D66-39C1A8C5E7A3}"/>
    <cellStyle name="Comma 3 6" xfId="152" xr:uid="{D5CE4EDC-BEC8-431D-93AC-CABF74F8EFB0}"/>
    <cellStyle name="Comma 3 6 2" xfId="362" xr:uid="{5528FC33-8749-457E-9CA2-6645559CB0A8}"/>
    <cellStyle name="Comma 3 7" xfId="222" xr:uid="{B8BCFEB0-FE4C-4766-B69F-1547A0AC445E}"/>
    <cellStyle name="Comma 3 8" xfId="291" xr:uid="{385C77D1-69F1-40C9-90F2-61CE6DF07B2E}"/>
    <cellStyle name="Comma 3 9" xfId="374" xr:uid="{96E2B4B2-346B-4825-928D-614621508D29}"/>
    <cellStyle name="Comma 4" xfId="122" xr:uid="{52287C83-7031-443F-B3B2-42336E350DDE}"/>
    <cellStyle name="Comma 5" xfId="212" xr:uid="{DF844382-34C7-4918-B653-CC6C88E04E8E}"/>
    <cellStyle name="Comma 5 2" xfId="281" xr:uid="{9288AFD3-687F-480E-8D48-9298785B2940}"/>
    <cellStyle name="Comma 5 2 2" xfId="366" xr:uid="{7C1CA938-441D-48D5-91AD-4D88109A1153}"/>
    <cellStyle name="Comma 5 3" xfId="350" xr:uid="{DE95EA04-6C0C-429B-9EE3-7BD4602E9FEF}"/>
    <cellStyle name="Comma 6" xfId="199" xr:uid="{BB02F018-B6DD-4430-BEA3-9CEC3437B8E8}"/>
    <cellStyle name="Comma 6 2" xfId="269" xr:uid="{EEBDC6A2-837C-4093-A8DC-1A40C44ECCED}"/>
    <cellStyle name="Comma 6 3" xfId="338" xr:uid="{D269B62B-2F9C-4A73-A6E7-B8052E25A9BD}"/>
    <cellStyle name="Comma 62" xfId="24" xr:uid="{00000000-0005-0000-0000-00000B000000}"/>
    <cellStyle name="Comma 62 2" xfId="49" xr:uid="{E0EB9E5A-7308-4E8E-BFED-C08AD5193BAD}"/>
    <cellStyle name="Comma 62 2 2" xfId="79" xr:uid="{4EA28629-75B2-4FB1-9B0E-F5379BF9401C}"/>
    <cellStyle name="Comma 62 3" xfId="126" xr:uid="{777ACD7B-1F13-4B46-9AD9-78F18A73AF16}"/>
    <cellStyle name="Comma 62 3 2" xfId="143" xr:uid="{CB8E32C2-9650-45B0-8A3E-464704FFB046}"/>
    <cellStyle name="Comma 62 3 2 2" xfId="195" xr:uid="{0F55DA9C-9E13-4B19-84F3-B92E327EE247}"/>
    <cellStyle name="Comma 62 3 2 2 2" xfId="265" xr:uid="{5B232DC5-7F12-4344-BA65-E2F5D7031E36}"/>
    <cellStyle name="Comma 62 3 2 2 3" xfId="334" xr:uid="{74557458-4B0D-4FD4-8566-9FE86BA5111B}"/>
    <cellStyle name="Comma 62 3 2 3" xfId="169" xr:uid="{B7ECC009-21F8-48F0-B86C-9249177F5A6E}"/>
    <cellStyle name="Comma 62 3 2 4" xfId="239" xr:uid="{1A7DD21D-7C5D-49AD-AB4C-9161C136C29A}"/>
    <cellStyle name="Comma 62 3 2 5" xfId="308" xr:uid="{2B8BECE7-4BF9-46EF-BF74-72D622907816}"/>
    <cellStyle name="Comma 62 3 3" xfId="182" xr:uid="{2F33E1D7-2F46-4133-9329-3DC6653728AA}"/>
    <cellStyle name="Comma 62 3 3 2" xfId="252" xr:uid="{343C30E2-3ADD-4085-B2DB-9E843963EB6B}"/>
    <cellStyle name="Comma 62 3 3 3" xfId="321" xr:uid="{7B9C8307-4968-4203-AECD-2FF3241079C7}"/>
    <cellStyle name="Comma 62 3 4" xfId="156" xr:uid="{622F3E19-230E-4961-A091-9D49067FCD55}"/>
    <cellStyle name="Comma 62 3 5" xfId="226" xr:uid="{E7F7A1AF-2CB5-4F22-BF80-E38461FF6FE4}"/>
    <cellStyle name="Comma 62 3 6" xfId="295" xr:uid="{F46B0052-C16F-4F42-9D65-864CE77038BF}"/>
    <cellStyle name="Comma 62 4" xfId="203" xr:uid="{4E027376-3F82-4282-98D3-530A29B1D7D8}"/>
    <cellStyle name="Comma 62 4 2" xfId="273" xr:uid="{6B07337A-5302-449C-A6BA-D6FC348EB599}"/>
    <cellStyle name="Comma 62 4 3" xfId="342" xr:uid="{6AB62508-C0ED-41A7-907B-3977D54812CD}"/>
    <cellStyle name="Comma 62 5" xfId="358" xr:uid="{B51A012B-DCA7-4FE7-9C84-4DF85A10D40D}"/>
    <cellStyle name="Comma 7" xfId="32" xr:uid="{00000000-0005-0000-0000-00000C000000}"/>
    <cellStyle name="Comma 7 2" xfId="80" xr:uid="{0BD6B53A-A586-4F2D-9777-5F98F60DD032}"/>
    <cellStyle name="Comma 8" xfId="354" xr:uid="{7808133F-E04E-48A0-9014-BB43C8CAA586}"/>
    <cellStyle name="Comma_Visionsense-maazan bochan for Q1-2010-160510 2" xfId="35" xr:uid="{00000000-0005-0000-0000-00000D000000}"/>
    <cellStyle name="Currency" xfId="376" builtinId="4"/>
    <cellStyle name="Currency 2" xfId="110" xr:uid="{341E0B47-8449-4366-AD16-AF17DB259E67}"/>
    <cellStyle name="Explanatory Text 2" xfId="93" xr:uid="{357E5219-83C9-440A-AFB6-A4278650E9AF}"/>
    <cellStyle name="Good 2" xfId="91" xr:uid="{371BCBBD-355C-4D88-869C-2D3B04890722}"/>
    <cellStyle name="Heading 1 2" xfId="95" xr:uid="{1665CAF1-C5F2-41BB-A7EA-B824EF207265}"/>
    <cellStyle name="Heading 2 2" xfId="96" xr:uid="{0EB0A32C-823A-4D16-A7DA-F1731C27B79A}"/>
    <cellStyle name="Heading 3 2" xfId="97" xr:uid="{C7F10249-147E-420E-A8EB-D44962DE1E32}"/>
    <cellStyle name="Heading 4 2" xfId="98" xr:uid="{19D97CAD-75D6-4857-909E-B50947AA10AF}"/>
    <cellStyle name="Hyperlink" xfId="19" builtinId="8"/>
    <cellStyle name="Hyperlink 2" xfId="120" xr:uid="{4FD1A14B-3FEA-47C7-9781-454E6765AF86}"/>
    <cellStyle name="Hyperlink 3" xfId="131" xr:uid="{C3046E74-4A30-4C69-9830-A8257DA09FBF}"/>
    <cellStyle name="Input 2" xfId="102" xr:uid="{8021A674-8486-4B30-A519-62EFFFC53673}"/>
    <cellStyle name="Linked Cell 2" xfId="105" xr:uid="{20FCD89D-28FF-411A-8A0E-C726DFAEECF3}"/>
    <cellStyle name="Neutral 2" xfId="99" xr:uid="{46A37D4A-BEFA-4DAA-ACAF-6D357E33298F}"/>
    <cellStyle name="Normal" xfId="0" builtinId="0"/>
    <cellStyle name="Normal 10" xfId="121" xr:uid="{C37BD0FB-05D7-4074-ADE9-8F593A0A5EE1}"/>
    <cellStyle name="Normal 11" xfId="209" xr:uid="{32F3D634-57DB-4849-BB22-56299669D394}"/>
    <cellStyle name="Normal 11 2" xfId="279" xr:uid="{21AEDAD4-DAD5-4BE3-B8E3-B2A0D2F08A2F}"/>
    <cellStyle name="Normal 11 2 2" xfId="364" xr:uid="{483808EE-2F1C-408E-93C8-014CC32B44A0}"/>
    <cellStyle name="Normal 11 3" xfId="348" xr:uid="{3AAFCB53-0F22-48A3-877C-8B3F00C56E3B}"/>
    <cellStyle name="Normal 12" xfId="211" xr:uid="{DAE695C9-59F0-47C5-B63F-014BB3E6EE5E}"/>
    <cellStyle name="Normal 12 2" xfId="280" xr:uid="{894840DD-2A99-498A-9420-F13D31CC7243}"/>
    <cellStyle name="Normal 12 2 2" xfId="365" xr:uid="{28BDB32D-3385-41FD-8723-3B72A857AEDF}"/>
    <cellStyle name="Normal 12 3" xfId="349" xr:uid="{6F8006D4-17B3-4FF1-9A10-190AB1AEC1FD}"/>
    <cellStyle name="Normal 13" xfId="215" xr:uid="{1C5138C0-1E2D-47E1-A042-8336E04C186F}"/>
    <cellStyle name="Normal 13 2" xfId="283" xr:uid="{490CB45C-51B0-44CD-9FBB-76B1DD596592}"/>
    <cellStyle name="Normal 13 2 2" xfId="368" xr:uid="{E8803790-1166-48A6-9F97-65748BFCE0FF}"/>
    <cellStyle name="Normal 13 3" xfId="352" xr:uid="{0CFFAB3A-24AF-4423-A92D-1D11D5347A81}"/>
    <cellStyle name="Normal 14" xfId="216" xr:uid="{E4DCE342-769F-4523-95F5-AC007CD3D717}"/>
    <cellStyle name="Normal 14 2" xfId="284" xr:uid="{17685C59-7EE2-40CD-BAF8-CDB60BDFB7A1}"/>
    <cellStyle name="Normal 14 2 2" xfId="369" xr:uid="{87D1F5EC-320A-4793-AAB4-32EB2AD371F6}"/>
    <cellStyle name="Normal 14 3" xfId="353" xr:uid="{85B1951F-3A54-4FC6-B5AD-FEECB0D48D2A}"/>
    <cellStyle name="Normal 15" xfId="285" xr:uid="{BB3C3C09-EBC2-417C-B5EC-DA7789C46140}"/>
    <cellStyle name="Normal 15 2" xfId="370" xr:uid="{AF7A0CF5-0C34-418B-A456-1E09211BBAD2}"/>
    <cellStyle name="Normal 2" xfId="10" xr:uid="{00000000-0005-0000-0000-00000F000000}"/>
    <cellStyle name="Normal 2 2" xfId="39" xr:uid="{F31E1191-A891-4D7F-A592-200E4601953A}"/>
    <cellStyle name="Normal 2 2 10" xfId="375" xr:uid="{C6CA1EF9-8A38-4D2B-A840-DFEA4EB76F8D}"/>
    <cellStyle name="Normal 2 2 2" xfId="16" xr:uid="{00000000-0005-0000-0000-000010000000}"/>
    <cellStyle name="Normal 2 2 3" xfId="54" xr:uid="{3D7AA6C3-1F5E-4C57-9E29-5F89711B506B}"/>
    <cellStyle name="Normal 2 2 3 2" xfId="146" xr:uid="{15760A14-4E40-44EF-B293-32684151B045}"/>
    <cellStyle name="Normal 2 2 3 2 2" xfId="198" xr:uid="{10836953-8E1F-4433-8584-56DD59C16B30}"/>
    <cellStyle name="Normal 2 2 3 2 2 2" xfId="268" xr:uid="{0E6841C3-E4A7-4378-A67C-47D02F2DC42C}"/>
    <cellStyle name="Normal 2 2 3 2 2 3" xfId="337" xr:uid="{BEC53AE2-8660-41A4-AA70-3D7D5C1218CA}"/>
    <cellStyle name="Normal 2 2 3 2 3" xfId="172" xr:uid="{06CC885A-4E51-4183-AD19-27C1013C18C4}"/>
    <cellStyle name="Normal 2 2 3 2 4" xfId="242" xr:uid="{313613ED-8994-431A-8074-4E9464DE6266}"/>
    <cellStyle name="Normal 2 2 3 2 5" xfId="311" xr:uid="{262EEFB0-C2D9-4F7C-8A97-59F7F60524B9}"/>
    <cellStyle name="Normal 2 2 3 3" xfId="133" xr:uid="{64559F33-D2FF-41BD-BB95-0C5DE29BA5AA}"/>
    <cellStyle name="Normal 2 2 3 3 2" xfId="185" xr:uid="{1F9E0EFD-F08F-4E08-B7D8-FC6EBB3DF05E}"/>
    <cellStyle name="Normal 2 2 3 3 3" xfId="255" xr:uid="{1658D51B-B8DD-4912-AE97-26F953162493}"/>
    <cellStyle name="Normal 2 2 3 3 4" xfId="324" xr:uid="{6F9B93BC-9D41-4D3E-97D5-1776285EEC70}"/>
    <cellStyle name="Normal 2 2 3 4" xfId="159" xr:uid="{C4C544DE-5F74-4B08-8A06-147D4DBF6615}"/>
    <cellStyle name="Normal 2 2 3 5" xfId="229" xr:uid="{72AA9F8C-9B60-4033-8E30-1DA723EA8A7B}"/>
    <cellStyle name="Normal 2 2 3 6" xfId="298" xr:uid="{67BB0551-3609-407A-8BD8-B4323E80452E}"/>
    <cellStyle name="Normal 2 2 4" xfId="106" xr:uid="{A860B3C3-FE4E-4035-91DD-140D24A5A80D}"/>
    <cellStyle name="Normal 2 2 4 2" xfId="138" xr:uid="{F37905A3-DC3B-4CE4-900F-A968C8CD45BD}"/>
    <cellStyle name="Normal 2 2 4 2 2" xfId="190" xr:uid="{41BA6816-C25A-451B-9BA2-FCA6CA6A5F66}"/>
    <cellStyle name="Normal 2 2 4 2 3" xfId="260" xr:uid="{C327C586-8EE5-4DCD-A180-4DE2486FA960}"/>
    <cellStyle name="Normal 2 2 4 2 4" xfId="329" xr:uid="{9C772109-F3C2-449B-A829-7A5084AEDAA5}"/>
    <cellStyle name="Normal 2 2 4 3" xfId="164" xr:uid="{BAA778E6-3B42-46E7-8E27-38106DAD4021}"/>
    <cellStyle name="Normal 2 2 4 4" xfId="234" xr:uid="{8FBE80BC-EB7F-4F47-A4CE-B8BAB229882F}"/>
    <cellStyle name="Normal 2 2 4 5" xfId="303" xr:uid="{1FB882BD-7681-47AC-966E-5A629606653F}"/>
    <cellStyle name="Normal 2 2 5" xfId="117" xr:uid="{628CDDA7-C1A2-4064-A648-79C4C1D4C926}"/>
    <cellStyle name="Normal 2 2 5 2" xfId="177" xr:uid="{4C05521B-52C1-4B1D-86F3-169C8C2E6509}"/>
    <cellStyle name="Normal 2 2 5 3" xfId="247" xr:uid="{4714DDEB-127D-4530-8D79-098D31889413}"/>
    <cellStyle name="Normal 2 2 5 4" xfId="316" xr:uid="{F87BBC06-1CCB-4CFB-B762-8A059123A96D}"/>
    <cellStyle name="Normal 2 2 6" xfId="206" xr:uid="{2AA330B3-163F-4D56-9612-AD004D53EBBB}"/>
    <cellStyle name="Normal 2 2 6 2" xfId="276" xr:uid="{CE7E96E7-5DB7-433F-9F26-247795C3A442}"/>
    <cellStyle name="Normal 2 2 6 3" xfId="345" xr:uid="{B5449D43-5496-492E-91B3-827C77634C10}"/>
    <cellStyle name="Normal 2 2 7" xfId="151" xr:uid="{81CC264C-2F71-4361-BE67-727283E483C7}"/>
    <cellStyle name="Normal 2 2 7 2" xfId="361" xr:uid="{19D69CFA-7FFE-4096-AE02-C98F12357474}"/>
    <cellStyle name="Normal 2 2 8" xfId="221" xr:uid="{18A5D2D9-978E-497F-BCA0-53BB786987CD}"/>
    <cellStyle name="Normal 2 2 9" xfId="290" xr:uid="{2CC69A6A-FB5C-4324-A024-976FAD8AA840}"/>
    <cellStyle name="Normal 2 3" xfId="119" xr:uid="{F112545C-B1CD-4DB4-96C6-7961B4624120}"/>
    <cellStyle name="Normal 2 3 2" xfId="140" xr:uid="{2C3BCEE7-555A-49C8-83F7-C54C5EFE4AAA}"/>
    <cellStyle name="Normal 2 3 2 2" xfId="192" xr:uid="{4E31C833-BDFD-4217-B5FF-C48CC7B56AEF}"/>
    <cellStyle name="Normal 2 3 2 2 2" xfId="262" xr:uid="{35AFC64A-509F-4CD0-9AFF-2C2D92947B5E}"/>
    <cellStyle name="Normal 2 3 2 2 3" xfId="331" xr:uid="{17AA944D-9F5A-4DA7-A4E6-95AF82E8382F}"/>
    <cellStyle name="Normal 2 3 2 3" xfId="166" xr:uid="{E3C58839-52B4-476A-91C3-4A49C6179968}"/>
    <cellStyle name="Normal 2 3 2 4" xfId="236" xr:uid="{A9CC278A-3683-42A5-87D4-F0F56A9D74D4}"/>
    <cellStyle name="Normal 2 3 2 5" xfId="305" xr:uid="{DDB56F09-3535-4C7D-AC17-632899D1D25F}"/>
    <cellStyle name="Normal 2 3 3" xfId="179" xr:uid="{264071E5-C6A8-40B0-9475-7227F0DDDBCF}"/>
    <cellStyle name="Normal 2 3 3 2" xfId="249" xr:uid="{9FCF1096-BECD-4C6A-A782-0528181CD73E}"/>
    <cellStyle name="Normal 2 3 3 3" xfId="318" xr:uid="{8E766D3F-0124-45BD-849B-B11F66C48754}"/>
    <cellStyle name="Normal 2 3 4" xfId="208" xr:uid="{046338C4-C2CE-451F-BB33-E5AC08DDF9FF}"/>
    <cellStyle name="Normal 2 3 4 2" xfId="278" xr:uid="{A167CE4A-E1D7-4226-8294-22B3DE0AF73C}"/>
    <cellStyle name="Normal 2 3 4 3" xfId="347" xr:uid="{95939049-7EEC-4D1D-9090-D872D84B1CE4}"/>
    <cellStyle name="Normal 2 3 5" xfId="153" xr:uid="{D364E433-E197-494F-995B-15367CFD9022}"/>
    <cellStyle name="Normal 2 3 5 2" xfId="363" xr:uid="{48DBF134-D47A-4E72-880D-2E18BED3722E}"/>
    <cellStyle name="Normal 2 3 6" xfId="223" xr:uid="{7A97BC01-894D-45FB-B9D8-7E2A26EF382F}"/>
    <cellStyle name="Normal 2 3 7" xfId="292" xr:uid="{E955B537-AB34-4C79-BDB1-5A831F1750B1}"/>
    <cellStyle name="Normal 2 4" xfId="127" xr:uid="{0C222445-F160-410F-9480-CC53A45B1506}"/>
    <cellStyle name="Normal 2 5" xfId="210" xr:uid="{42AFB6C7-1D51-4BB6-B227-C7B441FA5D9D}"/>
    <cellStyle name="Normal 2 6" xfId="213" xr:uid="{6D6E9222-96B1-4108-8B96-73AF9DFF0734}"/>
    <cellStyle name="Normal 2 6 2" xfId="282" xr:uid="{2DBAB2DB-3AA3-4FB0-9F0C-A889A36F20C3}"/>
    <cellStyle name="Normal 2 6 2 2" xfId="367" xr:uid="{95D6CA76-EBD4-407E-B2C7-45261769D3EA}"/>
    <cellStyle name="Normal 2 6 3" xfId="351" xr:uid="{903356AA-49C2-4F6D-B57C-A78BFD5030DB}"/>
    <cellStyle name="Normal 2 7" xfId="200" xr:uid="{0A73C2FB-0019-42FA-BD3C-9946D062D7B0}"/>
    <cellStyle name="Normal 2 7 2" xfId="270" xr:uid="{2597B913-72C2-42AA-A430-D7BBD8CA9608}"/>
    <cellStyle name="Normal 2 7 3" xfId="339" xr:uid="{CA1608E1-B223-4CEA-B37E-AEE6E7AC6927}"/>
    <cellStyle name="Normal 2 8" xfId="355" xr:uid="{3E02423F-4C18-4355-9EC9-46CBE01F4E57}"/>
    <cellStyle name="Normal 3" xfId="12" xr:uid="{00000000-0005-0000-0000-000011000000}"/>
    <cellStyle name="Normal 3 2" xfId="15" xr:uid="{00000000-0005-0000-0000-000012000000}"/>
    <cellStyle name="Normal 3 2 2" xfId="44" xr:uid="{836A77D1-670B-4219-937C-7747DD373AA5}"/>
    <cellStyle name="Normal 3 3" xfId="34" xr:uid="{00000000-0005-0000-0000-000013000000}"/>
    <cellStyle name="Normal 3 3 2" xfId="51" xr:uid="{2511B9B9-8C1A-4A1A-A71A-61EB7AA8BD66}"/>
    <cellStyle name="Normal 3 4" xfId="38" xr:uid="{05F6A6B8-A1B7-46C5-963B-2F628CBF5D50}"/>
    <cellStyle name="Normal 3 5" xfId="42" xr:uid="{97876A4E-E867-4175-B7ED-BE885DFB563A}"/>
    <cellStyle name="Normal 3 7" xfId="25" xr:uid="{00000000-0005-0000-0000-000014000000}"/>
    <cellStyle name="Normal 4" xfId="5" xr:uid="{00000000-0005-0000-0000-000015000000}"/>
    <cellStyle name="Normal 4 2" xfId="14" xr:uid="{00000000-0005-0000-0000-000016000000}"/>
    <cellStyle name="Normal 4 2 2" xfId="43" xr:uid="{6DB0E0B0-41BD-49E8-8440-0D78DCD4A7F8}"/>
    <cellStyle name="Normal 4 3" xfId="41" xr:uid="{55A066CD-443C-4217-89EC-8F81EDF41BCF}"/>
    <cellStyle name="Normal 4 3 2" xfId="111" xr:uid="{23380344-AE1C-4368-9D35-31C9606DEF46}"/>
    <cellStyle name="Normal 4 4" xfId="128" xr:uid="{759CB1F2-3DBC-4E7E-8EAA-5B3598DB70A3}"/>
    <cellStyle name="Normal 5" xfId="17" xr:uid="{00000000-0005-0000-0000-000017000000}"/>
    <cellStyle name="Normal 5 2" xfId="26" xr:uid="{00000000-0005-0000-0000-000018000000}"/>
    <cellStyle name="Normal 5 3" xfId="27" xr:uid="{00000000-0005-0000-0000-000019000000}"/>
    <cellStyle name="Normal 5 3 2" xfId="50" xr:uid="{65818DB3-8BA3-434C-BB20-B803D0BE4CE1}"/>
    <cellStyle name="Normal 5 3 2 2" xfId="144" xr:uid="{5C2BB812-FBA9-4938-A38D-63CF653AA76E}"/>
    <cellStyle name="Normal 5 3 2 2 2" xfId="196" xr:uid="{0685C7E1-E458-430D-858E-E89D5E8CDD9F}"/>
    <cellStyle name="Normal 5 3 2 2 2 2" xfId="266" xr:uid="{2C99D064-4E26-47A3-8092-028BAA9D9B12}"/>
    <cellStyle name="Normal 5 3 2 2 2 3" xfId="335" xr:uid="{934D3504-F97D-4AE8-8DFA-B96CC48FB3EE}"/>
    <cellStyle name="Normal 5 3 2 2 3" xfId="170" xr:uid="{50C9F584-0DC0-4E0F-906C-3FABDCA1E1DB}"/>
    <cellStyle name="Normal 5 3 2 2 4" xfId="240" xr:uid="{FA0577D4-1EDA-4538-991E-4D9D90446732}"/>
    <cellStyle name="Normal 5 3 2 2 5" xfId="309" xr:uid="{093FA0D4-3C26-46A6-81B0-EBCE059D1375}"/>
    <cellStyle name="Normal 5 3 2 3" xfId="129" xr:uid="{AE8E84FD-FF59-4B81-B2ED-C8A0F200742B}"/>
    <cellStyle name="Normal 5 3 2 3 2" xfId="183" xr:uid="{B8C2A1CC-0E47-47D2-AB7F-D097EA66DD24}"/>
    <cellStyle name="Normal 5 3 2 3 3" xfId="253" xr:uid="{C9CB8BAE-86CA-4D08-885A-0E3A6D7E033C}"/>
    <cellStyle name="Normal 5 3 2 3 4" xfId="322" xr:uid="{0B2093BA-5561-493F-8860-917926A6AA9B}"/>
    <cellStyle name="Normal 5 3 2 4" xfId="157" xr:uid="{C184DBD9-E51F-4685-A4EE-29C7D8325387}"/>
    <cellStyle name="Normal 5 3 2 5" xfId="227" xr:uid="{08C40CF4-6F50-4AFD-AF7E-D5A64985290E}"/>
    <cellStyle name="Normal 5 3 2 6" xfId="296" xr:uid="{6474A083-D8F7-4701-8E9D-D45E0A7374AF}"/>
    <cellStyle name="Normal 5 3 3" xfId="81" xr:uid="{D8E3D164-64E6-4D35-A0A4-4B3A679FF8AA}"/>
    <cellStyle name="Normal 5 3 3 2" xfId="136" xr:uid="{D19841B3-31E0-44C5-868A-BC85E53BCAD8}"/>
    <cellStyle name="Normal 5 3 3 2 2" xfId="188" xr:uid="{4DC843B5-B511-4C47-905E-038474C532B1}"/>
    <cellStyle name="Normal 5 3 3 2 3" xfId="258" xr:uid="{3079815E-D580-4400-95DC-7CAEF6A3CCC4}"/>
    <cellStyle name="Normal 5 3 3 2 4" xfId="327" xr:uid="{FDC25ABF-EEC0-414F-A049-997C2027FBD8}"/>
    <cellStyle name="Normal 5 3 3 3" xfId="162" xr:uid="{A0646978-BE4D-46AC-9533-B39B4EA15E45}"/>
    <cellStyle name="Normal 5 3 3 4" xfId="232" xr:uid="{D6C14E0E-62A4-4B24-8F1B-843BAB6D139B}"/>
    <cellStyle name="Normal 5 3 3 5" xfId="301" xr:uid="{EA2AAB00-5B01-4DD5-8645-B7C82081A48A}"/>
    <cellStyle name="Normal 5 3 4" xfId="115" xr:uid="{5C54FB95-B3C1-487B-871D-4A7BE395DAC1}"/>
    <cellStyle name="Normal 5 3 4 2" xfId="175" xr:uid="{123731D2-4637-4BE9-BA40-9E8C90F0DE79}"/>
    <cellStyle name="Normal 5 3 4 3" xfId="245" xr:uid="{F4CA078B-7222-49B3-B163-E0BF72AC34D9}"/>
    <cellStyle name="Normal 5 3 4 4" xfId="314" xr:uid="{2E5F7AD1-75FF-46DD-95E6-AA015297C566}"/>
    <cellStyle name="Normal 5 3 5" xfId="204" xr:uid="{3B4BCBAB-9556-480F-88F8-5B119998945B}"/>
    <cellStyle name="Normal 5 3 5 2" xfId="274" xr:uid="{5F1085CB-F657-40AF-A0BA-3B7FCE0CF44B}"/>
    <cellStyle name="Normal 5 3 5 3" xfId="343" xr:uid="{57969C7F-90B7-4495-AE90-172B645361E8}"/>
    <cellStyle name="Normal 5 3 6" xfId="149" xr:uid="{26663E87-4386-4392-A6A1-F31B1C622D46}"/>
    <cellStyle name="Normal 5 3 6 2" xfId="359" xr:uid="{AA417A05-26F6-4A17-A876-AB30FC2AB9DC}"/>
    <cellStyle name="Normal 5 3 7" xfId="219" xr:uid="{A77B00CE-B3C5-4A4F-BC0A-91D0A573F5D6}"/>
    <cellStyle name="Normal 5 3 8" xfId="288" xr:uid="{F052CD0F-6B16-45EC-8653-7F532C8E41B1}"/>
    <cellStyle name="Normal 5 3 9" xfId="372" xr:uid="{8F45C9AC-30A9-466F-90AE-33CB0EEA21AC}"/>
    <cellStyle name="Normal 5 4" xfId="45" xr:uid="{0CCC1D60-F310-43DB-B36D-776D3A593319}"/>
    <cellStyle name="Normal 6" xfId="23" xr:uid="{00000000-0005-0000-0000-00001A000000}"/>
    <cellStyle name="Normal 6 2" xfId="48" xr:uid="{4B057432-EE53-446A-B0D7-BB656F7F0204}"/>
    <cellStyle name="Normal 6 3" xfId="21" xr:uid="{00000000-0005-0000-0000-00001B000000}"/>
    <cellStyle name="Normal 6 3 2" xfId="47" xr:uid="{9730219E-484D-4F09-9F11-61F56AA97719}"/>
    <cellStyle name="Normal 7" xfId="36" xr:uid="{00000000-0005-0000-0000-00001C000000}"/>
    <cellStyle name="Normal 7 2" xfId="52" xr:uid="{7E0F4990-213C-4724-86B0-67A11E3E72C1}"/>
    <cellStyle name="Normal 7 2 2" xfId="145" xr:uid="{C64B7408-745D-4E18-9E6D-9E10DEBB57B0}"/>
    <cellStyle name="Normal 7 2 2 2" xfId="197" xr:uid="{7A2BB407-0E58-49AD-A557-466278935998}"/>
    <cellStyle name="Normal 7 2 2 2 2" xfId="267" xr:uid="{63F297FA-1A27-4684-A989-7490683FD931}"/>
    <cellStyle name="Normal 7 2 2 2 3" xfId="336" xr:uid="{9E6C5B55-51F0-4C80-AF31-14B5C96F10AA}"/>
    <cellStyle name="Normal 7 2 2 3" xfId="171" xr:uid="{04DD8A21-0BF8-4EA7-BC5E-211E01B708D5}"/>
    <cellStyle name="Normal 7 2 2 4" xfId="241" xr:uid="{77BED150-EB0B-4E79-8DF7-AD7583162748}"/>
    <cellStyle name="Normal 7 2 2 5" xfId="310" xr:uid="{EA9622F8-652D-4495-BDB0-4582075AAB60}"/>
    <cellStyle name="Normal 7 2 3" xfId="130" xr:uid="{241FE1C1-EC73-4EBF-A54D-FF80AD64ABD8}"/>
    <cellStyle name="Normal 7 2 3 2" xfId="184" xr:uid="{5A341387-055A-40C7-AF98-85FF1F0075BD}"/>
    <cellStyle name="Normal 7 2 3 3" xfId="254" xr:uid="{39172B52-FB6F-465B-B259-460BB5D1D59C}"/>
    <cellStyle name="Normal 7 2 3 4" xfId="323" xr:uid="{7124E99E-E0FB-4F58-A2C3-1B842BB94AF2}"/>
    <cellStyle name="Normal 7 2 4" xfId="158" xr:uid="{9CC92B58-C79B-4691-9F45-75D46D3606E2}"/>
    <cellStyle name="Normal 7 2 5" xfId="228" xr:uid="{C8801363-688E-4A0D-B4C2-C879652257CE}"/>
    <cellStyle name="Normal 7 2 6" xfId="297" xr:uid="{339E9B71-F8F0-47A5-B241-34E60F6A94B0}"/>
    <cellStyle name="Normal 7 3" xfId="82" xr:uid="{31BDC81E-A2E7-431F-B0B2-1B55A7F38906}"/>
    <cellStyle name="Normal 7 3 2" xfId="137" xr:uid="{7FFC2BB5-3D54-43AF-84F9-0C31037F5131}"/>
    <cellStyle name="Normal 7 3 2 2" xfId="189" xr:uid="{1DD98A82-260E-46C7-8CA6-E58FEE819684}"/>
    <cellStyle name="Normal 7 3 2 3" xfId="259" xr:uid="{E12B6900-C455-427D-90AA-22946511A8C0}"/>
    <cellStyle name="Normal 7 3 2 4" xfId="328" xr:uid="{FEB13AB3-B55D-4B3F-84F1-D4ACD68D1E71}"/>
    <cellStyle name="Normal 7 3 3" xfId="163" xr:uid="{5A5087C1-86DB-4CE0-AF88-F4F73F65B950}"/>
    <cellStyle name="Normal 7 3 4" xfId="233" xr:uid="{ABDD5041-9E29-40BC-B1D5-48840205B7FF}"/>
    <cellStyle name="Normal 7 3 5" xfId="302" xr:uid="{66FB9312-9CD9-464C-B0AB-5CB287FD2878}"/>
    <cellStyle name="Normal 7 4" xfId="116" xr:uid="{ABAE8C3E-1C45-43A0-A732-5F71FE650FA8}"/>
    <cellStyle name="Normal 7 4 2" xfId="176" xr:uid="{40DFA2CD-1734-4AB1-9A09-E8606F5EE806}"/>
    <cellStyle name="Normal 7 4 3" xfId="246" xr:uid="{AA92DBB7-84C5-4522-BD4E-58F6DA41009D}"/>
    <cellStyle name="Normal 7 4 4" xfId="315" xr:uid="{1C0B6298-D887-4998-AF8A-1A36A015C0A8}"/>
    <cellStyle name="Normal 7 5" xfId="205" xr:uid="{872FFB71-2D8B-4398-BAC4-1996E7B83143}"/>
    <cellStyle name="Normal 7 5 2" xfId="275" xr:uid="{82CBF4B4-1CAB-466F-AB6A-341CE93E1833}"/>
    <cellStyle name="Normal 7 5 3" xfId="344" xr:uid="{F40E153C-98D5-4552-89ED-165F3F74003E}"/>
    <cellStyle name="Normal 7 6" xfId="150" xr:uid="{A3161920-03EE-4EA7-B49E-D63907223D58}"/>
    <cellStyle name="Normal 7 6 2" xfId="360" xr:uid="{CFC2BCAF-B591-46B5-A16E-BBD0607DBF07}"/>
    <cellStyle name="Normal 7 7" xfId="220" xr:uid="{36494230-B7E0-4EFC-8EF5-CD8BDEA82401}"/>
    <cellStyle name="Normal 7 8" xfId="289" xr:uid="{4F110566-96D9-468E-BB8B-49BD9CB8E9AE}"/>
    <cellStyle name="Normal 7 9" xfId="373" xr:uid="{BECE6180-4D59-47EA-BA29-D1F389CFE03F}"/>
    <cellStyle name="Normal 8" xfId="29" xr:uid="{00000000-0005-0000-0000-00001D000000}"/>
    <cellStyle name="Normal 9" xfId="40" xr:uid="{4B24734A-E0FA-4EB1-89C7-4A5CB49DDC79}"/>
    <cellStyle name="Normal 9 2" xfId="107" xr:uid="{C7B4BBC6-ADDA-40B9-9734-33165098BC0F}"/>
    <cellStyle name="Normal_Copy of 32(9) 2006 2" xfId="30" xr:uid="{00000000-0005-0000-0000-00001E000000}"/>
    <cellStyle name="Normal_index" xfId="6" xr:uid="{00000000-0005-0000-0000-00001F000000}"/>
    <cellStyle name="Normal_SAP" xfId="7" xr:uid="{00000000-0005-0000-0000-000020000000}"/>
    <cellStyle name="Normal_טפסים 2007" xfId="22" xr:uid="{00000000-0005-0000-0000-000021000000}"/>
    <cellStyle name="Output 2" xfId="101" xr:uid="{7B095386-1CB9-426F-84BF-BB4DBF717E70}"/>
    <cellStyle name="Percent 2" xfId="11" xr:uid="{00000000-0005-0000-0000-000022000000}"/>
    <cellStyle name="Percent 2 4" xfId="31" xr:uid="{00000000-0005-0000-0000-000023000000}"/>
    <cellStyle name="Percent 3" xfId="112" xr:uid="{0128287D-43A8-4534-A74E-1E490A4D0086}"/>
    <cellStyle name="Percent 5" xfId="33" xr:uid="{00000000-0005-0000-0000-000024000000}"/>
    <cellStyle name="Title 2" xfId="94" xr:uid="{04BE2ACB-2AEC-4443-8EA6-2086868DD3A2}"/>
    <cellStyle name="Total 2" xfId="100" xr:uid="{07E76F8E-3838-45A9-B916-89FF96DD8732}"/>
    <cellStyle name="Warning Text 2" xfId="92" xr:uid="{52114CFB-A522-4687-BAB7-2B6E76D1D53F}"/>
    <cellStyle name="הערה 2" xfId="89" xr:uid="{C9AEFC4E-0159-4C9C-A372-9085BA9DEDAD}"/>
    <cellStyle name="הערה 2 2" xfId="132" xr:uid="{E29EC9EC-86D0-404F-9D0F-54BA82112CDB}"/>
  </cellStyles>
  <dxfs count="142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b val="0"/>
        <i val="0"/>
        <condense val="0"/>
        <extend val="0"/>
        <color indexed="10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9" formatCode="_(* #,##0_);[Red]_(* \(#,##0\);_(* &quot;-&quot;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9" formatCode="_(* #,##0_);[Red]_(* \(#,##0\);_(* &quot;-&quot;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9" formatCode="_(* #,##0_);[Red]_(* \(#,##0\);_(* &quot;-&quot;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9" formatCode="_(* #,##0_);[Red]_(* \(#,##0\);_(* &quot;-&quot;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9" formatCode="_(* #,##0_);[Red]_(* \(#,##0\);_(* &quot;-&quot;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9" formatCode="_(* #,##0_);[Red]_(* \(#,##0\);_(* &quot;-&quot;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9" formatCode="_(* #,##0_);[Red]_(* \(#,##0\);_(* &quot;-&quot;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9" formatCode="_(* #,##0_);[Red]_(* \(#,##0\);_(* &quot;-&quot;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9" formatCode="_(* #,##0_);[Red]_(* \(#,##0\);_(* &quot;-&quot;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singleAccounting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numFmt numFmtId="169" formatCode="_(* #,##0_);[Red]_(* \(#,##0\);_(* &quot;-&quot;_);_(@_)"/>
    </dxf>
    <dxf>
      <numFmt numFmtId="169" formatCode="_(* #,##0_);[Red]_(* \(#,##0\);_(* &quot;-&quot;_);_(@_)"/>
    </dxf>
    <dxf>
      <numFmt numFmtId="169" formatCode="_(* #,##0_);[Red]_(* \(#,##0\);_(* &quot;-&quot;_);_(@_)"/>
    </dxf>
    <dxf>
      <numFmt numFmtId="169" formatCode="_(* #,##0_);[Red]_(* \(#,##0\);_(* &quot;-&quot;_);_(@_)"/>
    </dxf>
    <dxf>
      <numFmt numFmtId="169" formatCode="_(* #,##0_);[Red]_(* \(#,##0\);_(* &quot;-&quot;_);_(@_)"/>
    </dxf>
    <dxf>
      <numFmt numFmtId="169" formatCode="_(* #,##0_);[Red]_(* \(#,##0\);_(* &quot;-&quot;_);_(@_)"/>
    </dxf>
    <dxf>
      <numFmt numFmtId="169" formatCode="_(* #,##0_);[Red]_(* \(#,##0\);_(* &quot;-&quot;_);_(@_)"/>
    </dxf>
    <dxf>
      <numFmt numFmtId="169" formatCode="_(* #,##0_);[Red]_(* \(#,##0\);_(* &quot;-&quot;_);_(@_)"/>
    </dxf>
    <dxf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singleAccounting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singleAccounting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singleAccounting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9" formatCode="_(* #,##0_);[Red]_(* \(#,##0\);_(* &quot;-&quot;_);_(@_)"/>
    </dxf>
    <dxf>
      <font>
        <b val="0"/>
        <i val="0"/>
        <strike val="0"/>
        <condense val="0"/>
        <extend val="0"/>
        <outline val="0"/>
        <shadow val="0"/>
        <u val="singleAccounting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singleAccounting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singleAccounting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9" formatCode="_(* #,##0_);[Red]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numFmt numFmtId="173" formatCode="_(* #,##0_);[Black]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3" formatCode="_(* #,##0_);[Black]_(* \(#,##0\);_(* &quot;-&quot;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3" formatCode="_(* #,##0_);[Black]_(* \(#,##0\);_(* &quot;-&quot;_);_(@_)"/>
      <fill>
        <patternFill patternType="none">
          <fgColor indexed="64"/>
          <bgColor indexed="65"/>
        </patternFill>
      </fill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3" formatCode="_(* #,##0_);[Black]_(* \(#,##0\);_(* &quot;-&quot;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3" formatCode="_(* #,##0_);[Black]_(* \(#,##0\);_(* &quot;-&quot;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ill>
        <patternFill patternType="solid">
          <fgColor theme="0" tint="-0.34998626667073579"/>
          <bgColor theme="0" tint="-0.34998626667073579"/>
        </patternFill>
      </fill>
    </dxf>
    <dxf>
      <fill>
        <patternFill>
          <bgColor rgb="FFF3F3F3"/>
        </patternFill>
      </fill>
    </dxf>
    <dxf>
      <fill>
        <patternFill patternType="solid">
          <fgColor theme="0" tint="-0.24994659260841701"/>
          <bgColor rgb="FFD7D7D7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0" tint="-0.14999847407452621"/>
          <bgColor theme="0" tint="-0.14999847407452621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9" defaultPivotStyle="PivotStyleLight16">
    <tableStyle name="GubermanFS1" pivot="0" count="8" xr9:uid="{5925B20C-39C6-4B63-B53D-37F187E3EA50}">
      <tableStyleElement type="wholeTable" dxfId="141"/>
      <tableStyleElement type="headerRow" dxfId="140"/>
      <tableStyleElement type="totalRow" dxfId="139"/>
      <tableStyleElement type="firstColumn" dxfId="138"/>
      <tableStyleElement type="lastColumn" dxfId="137"/>
      <tableStyleElement type="firstRowStripe" dxfId="136"/>
      <tableStyleElement type="secondRowStripe" dxfId="135"/>
      <tableStyleElement type="firstColumnStripe" dxfId="134"/>
    </tableStyle>
  </tableStyles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69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externalLink" Target="externalLinks/externalLink15.xml"/><Relationship Id="rId84" Type="http://schemas.openxmlformats.org/officeDocument/2006/relationships/externalLink" Target="externalLinks/externalLink36.xml"/><Relationship Id="rId138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59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externalLink" Target="externalLinks/externalLink5.xml"/><Relationship Id="rId58" Type="http://schemas.openxmlformats.org/officeDocument/2006/relationships/externalLink" Target="externalLinks/externalLink10.xml"/><Relationship Id="rId74" Type="http://schemas.openxmlformats.org/officeDocument/2006/relationships/externalLink" Target="externalLinks/externalLink26.xml"/><Relationship Id="rId79" Type="http://schemas.openxmlformats.org/officeDocument/2006/relationships/externalLink" Target="externalLinks/externalLink31.xml"/><Relationship Id="rId102" Type="http://schemas.openxmlformats.org/officeDocument/2006/relationships/externalLink" Target="externalLinks/externalLink54.xml"/><Relationship Id="rId123" Type="http://schemas.openxmlformats.org/officeDocument/2006/relationships/externalLink" Target="externalLinks/externalLink75.xml"/><Relationship Id="rId128" Type="http://schemas.openxmlformats.org/officeDocument/2006/relationships/externalLink" Target="externalLinks/externalLink80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42.xml"/><Relationship Id="rId95" Type="http://schemas.openxmlformats.org/officeDocument/2006/relationships/externalLink" Target="externalLinks/externalLink47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externalLink" Target="externalLinks/externalLink16.xml"/><Relationship Id="rId69" Type="http://schemas.openxmlformats.org/officeDocument/2006/relationships/externalLink" Target="externalLinks/externalLink21.xml"/><Relationship Id="rId113" Type="http://schemas.openxmlformats.org/officeDocument/2006/relationships/externalLink" Target="externalLinks/externalLink65.xml"/><Relationship Id="rId118" Type="http://schemas.openxmlformats.org/officeDocument/2006/relationships/externalLink" Target="externalLinks/externalLink70.xml"/><Relationship Id="rId134" Type="http://schemas.openxmlformats.org/officeDocument/2006/relationships/styles" Target="styles.xml"/><Relationship Id="rId139" Type="http://schemas.openxmlformats.org/officeDocument/2006/relationships/customXml" Target="../customXml/item2.xml"/><Relationship Id="rId80" Type="http://schemas.openxmlformats.org/officeDocument/2006/relationships/externalLink" Target="externalLinks/externalLink32.xml"/><Relationship Id="rId85" Type="http://schemas.openxmlformats.org/officeDocument/2006/relationships/externalLink" Target="externalLinks/externalLink3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externalLink" Target="externalLinks/externalLink11.xml"/><Relationship Id="rId103" Type="http://schemas.openxmlformats.org/officeDocument/2006/relationships/externalLink" Target="externalLinks/externalLink55.xml"/><Relationship Id="rId108" Type="http://schemas.openxmlformats.org/officeDocument/2006/relationships/externalLink" Target="externalLinks/externalLink60.xml"/><Relationship Id="rId124" Type="http://schemas.openxmlformats.org/officeDocument/2006/relationships/externalLink" Target="externalLinks/externalLink76.xml"/><Relationship Id="rId129" Type="http://schemas.openxmlformats.org/officeDocument/2006/relationships/externalLink" Target="externalLinks/externalLink81.xml"/><Relationship Id="rId54" Type="http://schemas.openxmlformats.org/officeDocument/2006/relationships/externalLink" Target="externalLinks/externalLink6.xml"/><Relationship Id="rId70" Type="http://schemas.openxmlformats.org/officeDocument/2006/relationships/externalLink" Target="externalLinks/externalLink22.xml"/><Relationship Id="rId75" Type="http://schemas.openxmlformats.org/officeDocument/2006/relationships/externalLink" Target="externalLinks/externalLink27.xml"/><Relationship Id="rId91" Type="http://schemas.openxmlformats.org/officeDocument/2006/relationships/externalLink" Target="externalLinks/externalLink43.xml"/><Relationship Id="rId96" Type="http://schemas.openxmlformats.org/officeDocument/2006/relationships/externalLink" Target="externalLinks/externalLink48.xml"/><Relationship Id="rId14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externalLink" Target="externalLinks/externalLink1.xml"/><Relationship Id="rId114" Type="http://schemas.openxmlformats.org/officeDocument/2006/relationships/externalLink" Target="externalLinks/externalLink66.xml"/><Relationship Id="rId119" Type="http://schemas.openxmlformats.org/officeDocument/2006/relationships/externalLink" Target="externalLinks/externalLink71.xml"/><Relationship Id="rId44" Type="http://schemas.openxmlformats.org/officeDocument/2006/relationships/worksheet" Target="worksheets/sheet44.xml"/><Relationship Id="rId60" Type="http://schemas.openxmlformats.org/officeDocument/2006/relationships/externalLink" Target="externalLinks/externalLink12.xml"/><Relationship Id="rId65" Type="http://schemas.openxmlformats.org/officeDocument/2006/relationships/externalLink" Target="externalLinks/externalLink17.xml"/><Relationship Id="rId81" Type="http://schemas.openxmlformats.org/officeDocument/2006/relationships/externalLink" Target="externalLinks/externalLink33.xml"/><Relationship Id="rId86" Type="http://schemas.openxmlformats.org/officeDocument/2006/relationships/externalLink" Target="externalLinks/externalLink38.xml"/><Relationship Id="rId130" Type="http://schemas.openxmlformats.org/officeDocument/2006/relationships/externalLink" Target="externalLinks/externalLink82.xml"/><Relationship Id="rId135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externalLink" Target="externalLinks/externalLink61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2.xml"/><Relationship Id="rId55" Type="http://schemas.openxmlformats.org/officeDocument/2006/relationships/externalLink" Target="externalLinks/externalLink7.xml"/><Relationship Id="rId76" Type="http://schemas.openxmlformats.org/officeDocument/2006/relationships/externalLink" Target="externalLinks/externalLink28.xml"/><Relationship Id="rId97" Type="http://schemas.openxmlformats.org/officeDocument/2006/relationships/externalLink" Target="externalLinks/externalLink49.xml"/><Relationship Id="rId104" Type="http://schemas.openxmlformats.org/officeDocument/2006/relationships/externalLink" Target="externalLinks/externalLink56.xml"/><Relationship Id="rId120" Type="http://schemas.openxmlformats.org/officeDocument/2006/relationships/externalLink" Target="externalLinks/externalLink72.xml"/><Relationship Id="rId125" Type="http://schemas.openxmlformats.org/officeDocument/2006/relationships/externalLink" Target="externalLinks/externalLink77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23.xml"/><Relationship Id="rId92" Type="http://schemas.openxmlformats.org/officeDocument/2006/relationships/externalLink" Target="externalLinks/externalLink4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externalLink" Target="externalLinks/externalLink18.xml"/><Relationship Id="rId87" Type="http://schemas.openxmlformats.org/officeDocument/2006/relationships/externalLink" Target="externalLinks/externalLink39.xml"/><Relationship Id="rId110" Type="http://schemas.openxmlformats.org/officeDocument/2006/relationships/externalLink" Target="externalLinks/externalLink62.xml"/><Relationship Id="rId115" Type="http://schemas.openxmlformats.org/officeDocument/2006/relationships/externalLink" Target="externalLinks/externalLink67.xml"/><Relationship Id="rId131" Type="http://schemas.openxmlformats.org/officeDocument/2006/relationships/externalLink" Target="externalLinks/externalLink83.xml"/><Relationship Id="rId136" Type="http://schemas.microsoft.com/office/2017/10/relationships/person" Target="persons/person.xml"/><Relationship Id="rId61" Type="http://schemas.openxmlformats.org/officeDocument/2006/relationships/externalLink" Target="externalLinks/externalLink13.xml"/><Relationship Id="rId82" Type="http://schemas.openxmlformats.org/officeDocument/2006/relationships/externalLink" Target="externalLinks/externalLink34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externalLink" Target="externalLinks/externalLink8.xml"/><Relationship Id="rId77" Type="http://schemas.openxmlformats.org/officeDocument/2006/relationships/externalLink" Target="externalLinks/externalLink29.xml"/><Relationship Id="rId100" Type="http://schemas.openxmlformats.org/officeDocument/2006/relationships/externalLink" Target="externalLinks/externalLink52.xml"/><Relationship Id="rId105" Type="http://schemas.openxmlformats.org/officeDocument/2006/relationships/externalLink" Target="externalLinks/externalLink57.xml"/><Relationship Id="rId126" Type="http://schemas.openxmlformats.org/officeDocument/2006/relationships/externalLink" Target="externalLinks/externalLink78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.xml"/><Relationship Id="rId72" Type="http://schemas.openxmlformats.org/officeDocument/2006/relationships/externalLink" Target="externalLinks/externalLink24.xml"/><Relationship Id="rId93" Type="http://schemas.openxmlformats.org/officeDocument/2006/relationships/externalLink" Target="externalLinks/externalLink45.xml"/><Relationship Id="rId98" Type="http://schemas.openxmlformats.org/officeDocument/2006/relationships/externalLink" Target="externalLinks/externalLink50.xml"/><Relationship Id="rId121" Type="http://schemas.openxmlformats.org/officeDocument/2006/relationships/externalLink" Target="externalLinks/externalLink7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externalLink" Target="externalLinks/externalLink19.xml"/><Relationship Id="rId116" Type="http://schemas.openxmlformats.org/officeDocument/2006/relationships/externalLink" Target="externalLinks/externalLink68.xml"/><Relationship Id="rId13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externalLink" Target="externalLinks/externalLink14.xml"/><Relationship Id="rId83" Type="http://schemas.openxmlformats.org/officeDocument/2006/relationships/externalLink" Target="externalLinks/externalLink35.xml"/><Relationship Id="rId88" Type="http://schemas.openxmlformats.org/officeDocument/2006/relationships/externalLink" Target="externalLinks/externalLink40.xml"/><Relationship Id="rId111" Type="http://schemas.openxmlformats.org/officeDocument/2006/relationships/externalLink" Target="externalLinks/externalLink63.xml"/><Relationship Id="rId132" Type="http://schemas.openxmlformats.org/officeDocument/2006/relationships/externalLink" Target="externalLinks/externalLink8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externalLink" Target="externalLinks/externalLink9.xml"/><Relationship Id="rId106" Type="http://schemas.openxmlformats.org/officeDocument/2006/relationships/externalLink" Target="externalLinks/externalLink58.xml"/><Relationship Id="rId127" Type="http://schemas.openxmlformats.org/officeDocument/2006/relationships/externalLink" Target="externalLinks/externalLink7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externalLink" Target="externalLinks/externalLink4.xml"/><Relationship Id="rId73" Type="http://schemas.openxmlformats.org/officeDocument/2006/relationships/externalLink" Target="externalLinks/externalLink25.xml"/><Relationship Id="rId78" Type="http://schemas.openxmlformats.org/officeDocument/2006/relationships/externalLink" Target="externalLinks/externalLink30.xml"/><Relationship Id="rId94" Type="http://schemas.openxmlformats.org/officeDocument/2006/relationships/externalLink" Target="externalLinks/externalLink46.xml"/><Relationship Id="rId99" Type="http://schemas.openxmlformats.org/officeDocument/2006/relationships/externalLink" Target="externalLinks/externalLink51.xml"/><Relationship Id="rId101" Type="http://schemas.openxmlformats.org/officeDocument/2006/relationships/externalLink" Target="externalLinks/externalLink53.xml"/><Relationship Id="rId122" Type="http://schemas.openxmlformats.org/officeDocument/2006/relationships/externalLink" Target="externalLinks/externalLink7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externalLink" Target="externalLinks/externalLink20.xml"/><Relationship Id="rId89" Type="http://schemas.openxmlformats.org/officeDocument/2006/relationships/externalLink" Target="externalLinks/externalLink41.xml"/><Relationship Id="rId112" Type="http://schemas.openxmlformats.org/officeDocument/2006/relationships/externalLink" Target="externalLinks/externalLink64.xml"/><Relationship Id="rId133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8</xdr:row>
      <xdr:rowOff>119062</xdr:rowOff>
    </xdr:from>
    <xdr:to>
      <xdr:col>11</xdr:col>
      <xdr:colOff>488157</xdr:colOff>
      <xdr:row>8</xdr:row>
      <xdr:rowOff>142875</xdr:rowOff>
    </xdr:to>
    <xdr:cxnSp macro="">
      <xdr:nvCxnSpPr>
        <xdr:cNvPr id="3" name="מחבר חץ ישר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CxnSpPr/>
      </xdr:nvCxnSpPr>
      <xdr:spPr>
        <a:xfrm flipH="1">
          <a:off x="10845903187" y="1774031"/>
          <a:ext cx="1107282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0</xdr:rowOff>
    </xdr:from>
    <xdr:to>
      <xdr:col>2</xdr:col>
      <xdr:colOff>581025</xdr:colOff>
      <xdr:row>5</xdr:row>
      <xdr:rowOff>171450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>
          <a:spLocks noChangeArrowheads="1"/>
        </xdr:cNvSpPr>
      </xdr:nvSpPr>
      <xdr:spPr bwMode="auto">
        <a:xfrm>
          <a:off x="10295181975" y="899160"/>
          <a:ext cx="1880235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he-IL" sz="1000" b="0" i="0" u="none" strike="noStrike" baseline="0">
              <a:solidFill>
                <a:srgbClr val="000000"/>
              </a:solidFill>
              <a:cs typeface="David"/>
            </a:rPr>
            <a:t>שם "חבר בני אדם" </a:t>
          </a:r>
        </a:p>
      </xdr:txBody>
    </xdr:sp>
    <xdr:clientData/>
  </xdr:twoCellAnchor>
  <xdr:twoCellAnchor>
    <xdr:from>
      <xdr:col>5</xdr:col>
      <xdr:colOff>523875</xdr:colOff>
      <xdr:row>5</xdr:row>
      <xdr:rowOff>0</xdr:rowOff>
    </xdr:from>
    <xdr:to>
      <xdr:col>8</xdr:col>
      <xdr:colOff>895350</xdr:colOff>
      <xdr:row>5</xdr:row>
      <xdr:rowOff>171450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 txBox="1">
          <a:spLocks noChangeArrowheads="1"/>
        </xdr:cNvSpPr>
      </xdr:nvSpPr>
      <xdr:spPr bwMode="auto">
        <a:xfrm>
          <a:off x="10290493770" y="899160"/>
          <a:ext cx="2245995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he-IL" sz="1000" b="0" i="0" u="none" strike="noStrike" baseline="0">
              <a:solidFill>
                <a:srgbClr val="000000"/>
              </a:solidFill>
              <a:cs typeface="David"/>
            </a:rPr>
            <a:t>מספר תיק ניכויים</a:t>
          </a:r>
        </a:p>
      </xdr:txBody>
    </xdr:sp>
    <xdr:clientData/>
  </xdr:twoCellAnchor>
  <xdr:twoCellAnchor>
    <xdr:from>
      <xdr:col>2</xdr:col>
      <xdr:colOff>581025</xdr:colOff>
      <xdr:row>5</xdr:row>
      <xdr:rowOff>0</xdr:rowOff>
    </xdr:from>
    <xdr:to>
      <xdr:col>5</xdr:col>
      <xdr:colOff>533400</xdr:colOff>
      <xdr:row>5</xdr:row>
      <xdr:rowOff>171450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 txBox="1">
          <a:spLocks noChangeArrowheads="1"/>
        </xdr:cNvSpPr>
      </xdr:nvSpPr>
      <xdr:spPr bwMode="auto">
        <a:xfrm>
          <a:off x="10292730240" y="899160"/>
          <a:ext cx="2451735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he-IL" sz="1000" b="0" i="0" u="none" strike="noStrike" baseline="0">
              <a:solidFill>
                <a:srgbClr val="000000"/>
              </a:solidFill>
              <a:cs typeface="David"/>
            </a:rPr>
            <a:t>מספר יישות</a:t>
          </a:r>
        </a:p>
      </xdr:txBody>
    </xdr:sp>
    <xdr:clientData/>
  </xdr:twoCellAnchor>
  <xdr:twoCellAnchor>
    <xdr:from>
      <xdr:col>5</xdr:col>
      <xdr:colOff>533400</xdr:colOff>
      <xdr:row>5</xdr:row>
      <xdr:rowOff>171450</xdr:rowOff>
    </xdr:from>
    <xdr:to>
      <xdr:col>8</xdr:col>
      <xdr:colOff>895350</xdr:colOff>
      <xdr:row>6</xdr:row>
      <xdr:rowOff>152400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 txBox="1">
          <a:spLocks noChangeArrowheads="1"/>
        </xdr:cNvSpPr>
      </xdr:nvSpPr>
      <xdr:spPr bwMode="auto">
        <a:xfrm>
          <a:off x="10290493770" y="1070610"/>
          <a:ext cx="2236470" cy="15621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he-IL" sz="1000" b="0" i="0" u="none" strike="noStrike" baseline="0">
              <a:solidFill>
                <a:srgbClr val="000000"/>
              </a:solidFill>
              <a:cs typeface="David"/>
            </a:rPr>
            <a:t>936104801</a:t>
          </a:r>
          <a:endParaRPr lang="en-US" sz="1000" b="0" i="0" u="none" strike="noStrike" baseline="0">
            <a:solidFill>
              <a:srgbClr val="000000"/>
            </a:solidFill>
            <a:cs typeface="David"/>
          </a:endParaRPr>
        </a:p>
      </xdr:txBody>
    </xdr:sp>
    <xdr:clientData/>
  </xdr:twoCellAnchor>
  <xdr:twoCellAnchor>
    <xdr:from>
      <xdr:col>2</xdr:col>
      <xdr:colOff>581025</xdr:colOff>
      <xdr:row>5</xdr:row>
      <xdr:rowOff>171450</xdr:rowOff>
    </xdr:from>
    <xdr:to>
      <xdr:col>5</xdr:col>
      <xdr:colOff>533400</xdr:colOff>
      <xdr:row>6</xdr:row>
      <xdr:rowOff>152400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SpPr txBox="1">
          <a:spLocks noChangeArrowheads="1"/>
        </xdr:cNvSpPr>
      </xdr:nvSpPr>
      <xdr:spPr bwMode="auto">
        <a:xfrm>
          <a:off x="10292730240" y="1070610"/>
          <a:ext cx="2451735" cy="15621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 fontAlgn="base"/>
          <a:r>
            <a:rPr lang="he-IL" sz="1100" b="1" i="0" baseline="0">
              <a:latin typeface="+mn-lt"/>
              <a:ea typeface="+mn-ea"/>
              <a:cs typeface="+mn-cs"/>
            </a:rPr>
            <a:t>514872431</a:t>
          </a:r>
          <a:endParaRPr lang="en-US" sz="1100" b="1" i="0" baseline="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7</xdr:row>
      <xdr:rowOff>38100</xdr:rowOff>
    </xdr:from>
    <xdr:to>
      <xdr:col>9</xdr:col>
      <xdr:colOff>9525</xdr:colOff>
      <xdr:row>9</xdr:row>
      <xdr:rowOff>19050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>
          <a:spLocks noChangeArrowheads="1"/>
        </xdr:cNvSpPr>
      </xdr:nvSpPr>
      <xdr:spPr bwMode="auto">
        <a:xfrm>
          <a:off x="10290442335" y="1341120"/>
          <a:ext cx="6638925" cy="33147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523875</xdr:colOff>
      <xdr:row>8</xdr:row>
      <xdr:rowOff>76200</xdr:rowOff>
    </xdr:from>
    <xdr:to>
      <xdr:col>3</xdr:col>
      <xdr:colOff>600075</xdr:colOff>
      <xdr:row>8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SpPr>
          <a:spLocks noChangeArrowheads="1"/>
        </xdr:cNvSpPr>
      </xdr:nvSpPr>
      <xdr:spPr bwMode="auto">
        <a:xfrm>
          <a:off x="10294454265" y="1554480"/>
          <a:ext cx="7620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495300</xdr:colOff>
      <xdr:row>8</xdr:row>
      <xdr:rowOff>76200</xdr:rowOff>
    </xdr:from>
    <xdr:to>
      <xdr:col>1</xdr:col>
      <xdr:colOff>571500</xdr:colOff>
      <xdr:row>8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SpPr>
          <a:spLocks noChangeArrowheads="1"/>
        </xdr:cNvSpPr>
      </xdr:nvSpPr>
      <xdr:spPr bwMode="auto">
        <a:xfrm>
          <a:off x="10295884920" y="1554480"/>
          <a:ext cx="7620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571500</xdr:colOff>
      <xdr:row>8</xdr:row>
      <xdr:rowOff>76200</xdr:rowOff>
    </xdr:from>
    <xdr:to>
      <xdr:col>2</xdr:col>
      <xdr:colOff>666750</xdr:colOff>
      <xdr:row>8</xdr:row>
      <xdr:rowOff>152400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SpPr>
          <a:spLocks noChangeArrowheads="1"/>
        </xdr:cNvSpPr>
      </xdr:nvSpPr>
      <xdr:spPr bwMode="auto">
        <a:xfrm>
          <a:off x="10295096250" y="1554480"/>
          <a:ext cx="952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504825</xdr:colOff>
      <xdr:row>8</xdr:row>
      <xdr:rowOff>76200</xdr:rowOff>
    </xdr:from>
    <xdr:to>
      <xdr:col>0</xdr:col>
      <xdr:colOff>581025</xdr:colOff>
      <xdr:row>8</xdr:row>
      <xdr:rowOff>152400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SpPr>
          <a:spLocks noChangeArrowheads="1"/>
        </xdr:cNvSpPr>
      </xdr:nvSpPr>
      <xdr:spPr bwMode="auto">
        <a:xfrm>
          <a:off x="10296500235" y="1554480"/>
          <a:ext cx="76200" cy="762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he-IL"/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9</xdr:col>
      <xdr:colOff>0</xdr:colOff>
      <xdr:row>64</xdr:row>
      <xdr:rowOff>19050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SpPr>
          <a:spLocks noChangeArrowheads="1"/>
        </xdr:cNvSpPr>
      </xdr:nvSpPr>
      <xdr:spPr bwMode="auto">
        <a:xfrm>
          <a:off x="10290451860" y="7953375"/>
          <a:ext cx="6629400" cy="3495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590550</xdr:colOff>
      <xdr:row>0</xdr:row>
      <xdr:rowOff>38100</xdr:rowOff>
    </xdr:from>
    <xdr:to>
      <xdr:col>8</xdr:col>
      <xdr:colOff>504825</xdr:colOff>
      <xdr:row>4</xdr:row>
      <xdr:rowOff>114300</xdr:rowOff>
    </xdr:to>
    <xdr:pic>
      <xdr:nvPicPr>
        <xdr:cNvPr id="13" name="Picture 12" descr="סמל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biLevel thresh="50000"/>
        </a:blip>
        <a:srcRect/>
        <a:stretch>
          <a:fillRect/>
        </a:stretch>
      </xdr:blipFill>
      <xdr:spPr bwMode="auto">
        <a:xfrm>
          <a:off x="10290884295" y="38100"/>
          <a:ext cx="1163955" cy="8001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19050</xdr:colOff>
      <xdr:row>5</xdr:row>
      <xdr:rowOff>171449</xdr:rowOff>
    </xdr:from>
    <xdr:to>
      <xdr:col>2</xdr:col>
      <xdr:colOff>581025</xdr:colOff>
      <xdr:row>6</xdr:row>
      <xdr:rowOff>152400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SpPr txBox="1">
          <a:spLocks noChangeArrowheads="1"/>
        </xdr:cNvSpPr>
      </xdr:nvSpPr>
      <xdr:spPr bwMode="auto">
        <a:xfrm>
          <a:off x="10295181975" y="1070609"/>
          <a:ext cx="1880235" cy="15621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he-IL" sz="1000" b="0" i="0" u="none" strike="noStrike" baseline="0">
              <a:solidFill>
                <a:srgbClr val="000000"/>
              </a:solidFill>
              <a:cs typeface="David"/>
            </a:rPr>
            <a:t>אקספוזבוקס בע"מ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yehezkel/WINDOWS/TEMP/ALISUB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ALISUB9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LF\OFER_E\AUDIT\NESS\06_01\ness%20tech\ran%2006_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rafiXL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yehezkel/WINDOWS/TEMP/rafiXL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-K\VOL6\DATA\ZVIKA\LEVY\ALIS\1998\ALIS9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15\G\1999\12.99\SIVAN9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13\OfficeDocs\My%20Documents\Expense%20Reports\Michal\NY%207.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2/Local%20Settings/Temporary%20Internet%20Files/OLK172/&#1502;&#1497;&#1499;&#1508;&#1500;_&#1496;&#1489;&#1500;&#1488;&#1493;&#1514;%20&#1510;&#1497;&#1512;_&#1514;&#1502;&#1495;&#1497;&#1512;%20(2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IntercompanyInvoices\IC\IC%202004\IC01_0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415\G\SIV1297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NEW%20bsbk\Clients\Notal%20Vision\financial%20statements\12.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ATA\Preminger\066605\2004\audit\12.04\Files%20from%20Ofer\Camero%2012%20200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-K\VOL6\kesselman%20&amp;%20kesselman\b&amp;s_las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yarza/DATA/KARAT/MAALA_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Users\DavidD\Celtro\&#1502;&#1497;&#1505;&#1497;&#1501;\&#1513;&#1504;&#1514;%202007\&#1511;&#1497;&#1500;&#1493;&#1502;&#1496;&#1512;&#1488;&#1494;%20&#1512;&#1499;&#1489;&#1497;&#1501;-&#1500;&#1491;&#1493;&#1491;&#1497;%2012200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982\G\2001\Q1\HARCAVA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BSBK\Clients\Notal%20Vision\board%20meeting\01.04.03\Budget%20%202003%20-%2031.3.03%20-%20including%20CDIB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huva\&#1488;&#1514;&#1504;&#1492;\Quarter%20Report%20Master%20-%20060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Iohan\SEAMBI\2007\Seambi%20Audit%20&amp;%20Tax%202007\pbc\Seambi%20311207v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&#1502;&#1505;&#1502;&#1499;&#1497;%20&#1502;&#1513;&#1512;&#1491;\&#1502;&#1505;&#1502;&#1499;&#1497;&#1501;%20&#1489;&#1490;&#1497;&#1503;%20&#1500;&#1511;&#1493;&#1495;&#1493;&#1514;\&#1511;&#1493;&#1500;&#1488;&#1508;\&#1489;&#1497;&#1511;&#1493;&#1512;&#1514;%202013\CallApp%20LTD%20December%202013%20after%20audi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enal/AppData/Local/Microsoft/Windows/Temporary%20Internet%20Files/Content.Outlook/47GKLLPT/Green%20SQL%20LTD%2031.12.2015%20V13%20&#1505;&#1493;&#1508;&#1497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UBERMAN\Fserver\&#1502;&#1505;&#1502;&#1499;&#1497;&#1501;\&#1502;&#1505;&#1502;&#1499;&#1497;%20&#1488;&#1511;&#1505;&#1500;\&#1506;&#1493;&#1494;&#1493;&#1497;&#1494;'&#1503;\&#1491;&#1493;&#1495;&#1493;&#1514;%202005\03-2005\March05%20Israel%2004062005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\pkudo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Users\ofir\AppData\Local\Microsoft\Windows\Temporary%20Internet%20Files\Content.Outlook\FIWL2NVK\Gigya%20LTD%20April%202010%20monthly%20V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\Clients\Maxbill\TRAVEL99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yehezkel/Data/Clients/Maxbill/TRAVEL9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LF\YORAM_T\3124\G\1997\HASHKAO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yarza/DATA/MAALA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WINDOWS\TEMP\TBT999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1549\1998\MS1298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Documents%20and%20Settings\ben.SHONUTIL\Local%20Settings\Temporary%20Internet%20Files\Content.IE5\ZKDGWGNE\CONS1200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15\G\2000\SIV0900\SIVAN90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30\G\1996\RTS1296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13\OfficeDocs\DOCUME~1\yossig\LOCALS~1\Temp\ni10%2031-03-04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xacct-Q1-01\HARCAVA01-0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a-katz\company\NEW%20bsbk\Clients\Notal%20Vision\financial%20statements\09-2003\Notal%2009%202003%20-%20new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Finance%20(C)\Xtend\Eilon%20on%20Xtend\MFG-SAP\Xtend%208dig%20budget%20code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\Excel%20Course\&#1508;&#1514;&#1512;&#1493;&#1503;%20&#1492;&#1514;&#1512;&#1490;&#1497;&#150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aeld/AppData/Local/Temp/notesF3B52A/&#1492;&#1514;&#1511;&#1489;&#1500;%20&#1502;&#1492;&#1495;&#1489;&#1512;&#1492;/EIDC%20Odfot%202012%20-SAP+Oracle%20V6xlsx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mbo\Finance\Documents%20and%20Settings\Michal%20Rosenberg\Local%20Settings\Temporary%20Internet%20Files\OLK7\&#1504;&#1497;&#1512;&#1493;&#1514;%20&#1506;&#1489;&#1493;&#1491;&#1492;%20%20&#1493;&#1512;&#1491;%20&#1502;&#1512;&#1509;%202003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yehezkel/WINDOWS/TEMP/Tax%20Proforma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1558\G\TAL397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1549\G\MS129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164\1999\12.99\AUDIT\TTI1299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8\TELG129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WINDOWS\Desktop\My%20Briefcase\details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ERL/3083/gy/2002/BUG12_02%20-cost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notesE1EF34/oridian%2031-12-2006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\LEVY\047522\1999\AUDIT\ALIS99RT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yehezkel/DATA/LEVY/047522/1999/AUDIT/ALIS99RT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My%20Documents/GENERAL/&#1513;-&#1496;&#1508;&#1505;&#1497;%20&#1502;&#1505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My%20Documents\GENERAL\&#1513;-&#1496;&#1508;&#1505;&#1497;%20&#1502;&#1505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arza/data/My%20Documents/GENERAL/&#1513;-&#1496;&#1508;&#1505;&#1497;%20&#1502;&#1505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notesE1EF34/~3169755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efrat\Remon\&#1495;&#1493;&#1491;&#1513;&#1497;&#1497;&#1501;%202000\remon1200(f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yarza/My%20Documents/043208/2006/tax/efrat/Remon/&#1495;&#1493;&#1491;&#1513;&#1497;&#1497;&#1501;%202000/remon1200(f)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288\G\1998\12.98\E&amp;C98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191\1999\699\TRIV699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1558\G\TAL1296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yehezkel/DATA/LEVY/047514/2001/TAX/1392-T99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&#1514;&#1493;&#1498;%20%204500-15%20%20-%20%20&#1502;&#1506;&#1490;&#1500;&#1497;%20&#1497;&#1506;&#1493;&#1491;&#1492;%20&#1493;&#1506;&#1514;&#1493;&#1491;&#1492;%20&#1500;&#1508;&#1497;&#1510;&#1493;&#1497;&#1497;&#1501;%20%20-%20%20Katz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1506;&#1493;&#1512;&#1511;%20&#1513;&#1512;&#1493;&#1514;&#1497;%20&#1502;&#1497;&#1491;&#1506;\1200\&#1489;&#1497;&#1511;&#1493;&#1512;&#1514;%20&#1502;&#1488;&#1493;&#1495;&#1491;%202000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yehezkel/My%20Documents/&#1506;&#1493;&#1512;&#1511;%20&#1513;&#1512;&#1493;&#1514;&#1497;%20&#1502;&#1497;&#1491;&#1506;/1200/&#1489;&#1497;&#1511;&#1493;&#1512;&#1514;%20&#1502;&#1488;&#1493;&#1495;&#1491;%2020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1549\2000\12_00\WALA1200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TENDLER\TELEMAIL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7\TASHNIS2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&#1514;&#1493;&#1498;%20%204500-05%20%20-%20%20&#1502;&#1506;&#1490;&#1500;&#1497;%20&#1492;&#1492;&#1508;&#1512;&#1513;&#1492;%20&#1493;&#1492;&#1497;&#1506;&#1493;&#1491;&#1492;%20&#1500;&#1508;&#1497;&#1510;&#1493;&#1497;&#1497;&#1501;%20%20-%20%20Katz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FELLUS\036184\1996\06-96\ACOUNT\UNIT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982\G\2000\12-00\HARCAVA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164\1998\TASHKIF\TASH998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Finance/2008%20Audit/TB%20for%202008%20Audit-v3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1549\G\1997\MS1296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13\OfficeDocs\DATA\EREZ\061093\2002\tax\TAX2002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rel%20Net%20LTD\Financial%20Statements\31.12.1999\Profor_4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FELLUS/048371/1999/TAX/TAXHAZ99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yarza/Claudio/062604/2008/AUDIT/ltd/10501208E-%20final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Castiel/XOSoft/12_01/XOsoft_inc_120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yarza/_%20&#1495;&#1489;&#1512;&#1493;&#1514;%20&#1508;&#1506;&#1497;&#1500;&#1493;&#1514;/ilogix/monthly%20reports%202004/122004/efrat/Remon/&#1495;&#1493;&#1491;&#1513;&#1497;&#1497;&#1501;%202000/remon1200(f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1549\G\MS1296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8\TELG698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&#1491;&#1493;&#1495;&#1493;&#1514;%20&#1499;&#1505;&#1508;&#1497;&#1497;&#1501;/cydoor1203%20final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UBERMAN13\OfficeDocs\&#1502;&#1505;&#1502;&#1499;&#1497;%20&#1502;&#1513;&#1512;&#1491;\&#1502;&#1505;&#1502;&#1499;&#1497;&#1501;%20&#1489;&#1490;&#1497;&#1503;%20&#1500;&#1511;&#1493;&#1495;&#1493;&#1514;\&#1488;&#1493;&#1497;&#1490;&#1497;&#1500;&#1493;\&#1489;&#1497;&#1511;&#1493;&#1512;&#1514;\2015\Evigilo%20December%20report%202015V10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Rubi\Tipalti\2015\TAX\&#1491;&#1493;&#1495;%20&#1502;&#1505;%20&#1500;&#1513;&#1504;&#1514;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רכז ער&quot;ז"/>
      <sheetName val="עידן 1099"/>
      <sheetName val="ערוצי זהב 1099"/>
      <sheetName val="ערוצי אדום 1099"/>
      <sheetName val="טורים 98"/>
      <sheetName val="מדריכי פנאי"/>
      <sheetName val="netcom 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1998</v>
          </cell>
          <cell r="B1">
            <v>4.16</v>
          </cell>
          <cell r="G1" t="str">
            <v>עורק שמ"מ</v>
          </cell>
          <cell r="Q1" t="str">
            <v>דוחות מאוחדים</v>
          </cell>
          <cell r="AF1">
            <v>36160</v>
          </cell>
          <cell r="AZ1">
            <v>0</v>
          </cell>
          <cell r="BE1" t="str">
            <v>;</v>
          </cell>
          <cell r="BG1" t="str">
            <v>CONSOLIDATED STATEMENTS</v>
          </cell>
          <cell r="BS1" t="str">
            <v xml:space="preserve"> AS AT </v>
          </cell>
          <cell r="BU1">
            <v>36160</v>
          </cell>
          <cell r="CX1">
            <v>36160</v>
          </cell>
          <cell r="FG1" t="str">
            <v>מד"פ</v>
          </cell>
          <cell r="FH1" t="str">
            <v>נטקום</v>
          </cell>
          <cell r="FI1" t="str">
            <v>ער"ז</v>
          </cell>
          <cell r="FJ1" t="str">
            <v>עידן</v>
          </cell>
          <cell r="FK1" t="str">
            <v>עידן</v>
          </cell>
          <cell r="FL1" t="str">
            <v>ע.אדום</v>
          </cell>
          <cell r="FM1" t="str">
            <v>פקודת  איחוד</v>
          </cell>
          <cell r="FN1" t="str">
            <v>ער"ז</v>
          </cell>
          <cell r="FO1" t="str">
            <v>דרה"ש</v>
          </cell>
          <cell r="FP1" t="str">
            <v>ט.ל.מ.</v>
          </cell>
          <cell r="FQ1" t="str">
            <v>פקודת איחוד</v>
          </cell>
          <cell r="FR1" t="str">
            <v>דר"ש</v>
          </cell>
          <cell r="FS1" t="str">
            <v>מ. ער"ז</v>
          </cell>
          <cell r="FT1" t="str">
            <v>TOTAL</v>
          </cell>
          <cell r="FU1" t="str">
            <v>פקודות</v>
          </cell>
          <cell r="FV1" t="str">
            <v>TOTAL</v>
          </cell>
          <cell r="GG1" t="str">
            <v>TOTAL</v>
          </cell>
        </row>
        <row r="2">
          <cell r="A2">
            <v>36160</v>
          </cell>
          <cell r="B2">
            <v>3.536</v>
          </cell>
          <cell r="C2">
            <v>153.1</v>
          </cell>
          <cell r="AX2" t="str">
            <v>$</v>
          </cell>
          <cell r="FC2" t="str">
            <v>"31/12/98</v>
          </cell>
          <cell r="FG2" t="str">
            <v>"31/12/98</v>
          </cell>
          <cell r="FH2" t="str">
            <v>"31/12/98</v>
          </cell>
          <cell r="FI2" t="str">
            <v>"31/12/98</v>
          </cell>
          <cell r="FJ2" t="str">
            <v>כניסה לאיחוד</v>
          </cell>
          <cell r="FK2">
            <v>0.5</v>
          </cell>
          <cell r="FL2" t="str">
            <v>"31/12/98</v>
          </cell>
          <cell r="FN2" t="str">
            <v>מאוחד</v>
          </cell>
          <cell r="FO2" t="str">
            <v>"31/12/98</v>
          </cell>
          <cell r="FP2" t="str">
            <v>"31/12/98</v>
          </cell>
          <cell r="FR2" t="str">
            <v>מאוחד</v>
          </cell>
          <cell r="FS2" t="str">
            <v>"31/12/98</v>
          </cell>
          <cell r="FT2" t="str">
            <v>"31/12/98</v>
          </cell>
          <cell r="FU2" t="str">
            <v>נוספות</v>
          </cell>
          <cell r="FV2" t="str">
            <v>"31/12/98</v>
          </cell>
          <cell r="FW2" t="str">
            <v>שע"מ 1998</v>
          </cell>
          <cell r="FX2" t="str">
            <v>ער"ז מאוחד</v>
          </cell>
          <cell r="FY2" t="str">
            <v>דרום השרון מאוחד</v>
          </cell>
          <cell r="FZ2" t="str">
            <v>הוספת פקודות של ביטול מחזורים</v>
          </cell>
          <cell r="GA2" t="str">
            <v xml:space="preserve">ער"ז+דרהמ"ש בניטרול עסקאות עם </v>
          </cell>
          <cell r="GB2" t="str">
            <v xml:space="preserve">ער"ז+דרהמ"ש בניטרול עסקאות עם </v>
          </cell>
          <cell r="GC2" t="str">
            <v xml:space="preserve">עורק מאוחד בניטרול ער"ז </v>
          </cell>
          <cell r="GD2" t="str">
            <v xml:space="preserve">עורק מאוחד בניטרול ער"ז </v>
          </cell>
          <cell r="GE2" t="str">
            <v xml:space="preserve">עורק מאוחד בניטרול ער"ז </v>
          </cell>
          <cell r="GG2" t="str">
            <v>31/12/97</v>
          </cell>
          <cell r="GS2" t="str">
            <v>{EDIT}*a:Gx44/a:Gy44~{DOWN}</v>
          </cell>
        </row>
        <row r="3">
          <cell r="B3" t="str">
            <v xml:space="preserve">    =1$</v>
          </cell>
          <cell r="C3" t="str">
            <v>מדד</v>
          </cell>
          <cell r="G3" t="str">
            <v>עורק שמ"מ</v>
          </cell>
          <cell r="S3" t="str">
            <v>ערוצי זהב</v>
          </cell>
          <cell r="AB3" t="str">
            <v>ערוצי זהב - מאוחד</v>
          </cell>
          <cell r="AF3" t="str">
            <v>דרום השרון</v>
          </cell>
          <cell r="AJ3" t="str">
            <v>דרה"ש</v>
          </cell>
          <cell r="AL3" t="str">
            <v>ט.ל.מ.</v>
          </cell>
          <cell r="AP3" t="str">
            <v>דרה"ש - מאוחד</v>
          </cell>
          <cell r="AR3" t="str">
            <v>מרכז ער"ז</v>
          </cell>
          <cell r="AX3" t="str">
            <v>עורק שמ"מ - מאוחד</v>
          </cell>
          <cell r="BG3" t="str">
            <v>A.C.T.V.</v>
          </cell>
          <cell r="BS3" t="str">
            <v>G.C.&amp; CO.</v>
          </cell>
          <cell r="BZ3" t="str">
            <v>G.C.&amp; CO. CONSOLIDATED</v>
          </cell>
          <cell r="CF3" t="str">
            <v>SOUTH SHARON COMM.</v>
          </cell>
          <cell r="CL3" t="str">
            <v>T.L.M</v>
          </cell>
          <cell r="CN3" t="str">
            <v>S.S.C.-CONSOLIDATED</v>
          </cell>
          <cell r="CR3" t="str">
            <v>MERCAZ</v>
          </cell>
          <cell r="CV3" t="str">
            <v xml:space="preserve">CONSOLIDATED </v>
          </cell>
          <cell r="FC3" t="str">
            <v>שמ"מ חברה</v>
          </cell>
          <cell r="FD3" t="str">
            <v>שמ"מ</v>
          </cell>
          <cell r="FE3" t="str">
            <v>פקודות נוספות</v>
          </cell>
          <cell r="FF3" t="str">
            <v>TOTAL</v>
          </cell>
          <cell r="FG3" t="str">
            <v>מד"פ</v>
          </cell>
          <cell r="FH3" t="str">
            <v>נטקום</v>
          </cell>
          <cell r="FI3" t="str">
            <v>ער"ז</v>
          </cell>
          <cell r="FL3" t="str">
            <v>ע.אדום</v>
          </cell>
          <cell r="FO3" t="str">
            <v>דרה"ש</v>
          </cell>
          <cell r="FP3" t="str">
            <v>ט.ל.מ.</v>
          </cell>
          <cell r="FS3" t="str">
            <v>מ. ער"ז</v>
          </cell>
          <cell r="FT3" t="str">
            <v>שממ - מאוחד</v>
          </cell>
          <cell r="FX3" t="str">
            <v>מותאם למדד 12/98</v>
          </cell>
          <cell r="FY3" t="str">
            <v>מותאם למדד 12/98</v>
          </cell>
          <cell r="FZ3" t="str">
            <v>בין דרום השרון ער"ז לשאר הקבוצה</v>
          </cell>
          <cell r="GA3" t="str">
            <v>שאר הקבוצה</v>
          </cell>
          <cell r="GB3" t="str">
            <v>ש"ח 12/99</v>
          </cell>
          <cell r="GD3" t="str">
            <v>ודרום השרון</v>
          </cell>
          <cell r="GE3" t="str">
            <v>ודרום השרון</v>
          </cell>
          <cell r="GG3" t="str">
            <v>שממ מאוחד</v>
          </cell>
        </row>
        <row r="4">
          <cell r="C4" t="str">
            <v>U.S dollar</v>
          </cell>
          <cell r="BB4" t="str">
            <v>Nominal NIS</v>
          </cell>
          <cell r="CX4" t="str">
            <v>Nominal NIS</v>
          </cell>
          <cell r="FC4" t="str">
            <v>Adjusted NIS</v>
          </cell>
          <cell r="GD4" t="str">
            <v>ש"ח 12/99</v>
          </cell>
        </row>
        <row r="5">
          <cell r="A5" t="str">
            <v>בדיקת איזון</v>
          </cell>
          <cell r="C5">
            <v>-654.16539999999804</v>
          </cell>
          <cell r="E5">
            <v>6.2999999998282874E-2</v>
          </cell>
          <cell r="G5">
            <v>655.80807821267035</v>
          </cell>
          <cell r="I5">
            <v>1.7056782126746839</v>
          </cell>
          <cell r="M5">
            <v>-2.1664038461537132</v>
          </cell>
          <cell r="O5">
            <v>-0.5</v>
          </cell>
          <cell r="Q5">
            <v>0.28200000003562309</v>
          </cell>
          <cell r="S5">
            <v>0</v>
          </cell>
          <cell r="U5">
            <v>0.28200000000651926</v>
          </cell>
          <cell r="W5">
            <v>-1.25</v>
          </cell>
          <cell r="X5">
            <v>0</v>
          </cell>
          <cell r="Z5">
            <v>2.5950000000002547</v>
          </cell>
          <cell r="AB5">
            <v>-0.64581538461561649</v>
          </cell>
          <cell r="AD5">
            <v>-0.19281538468203507</v>
          </cell>
          <cell r="AF5">
            <v>9.9999999656574801E-4</v>
          </cell>
          <cell r="AH5">
            <v>0</v>
          </cell>
          <cell r="AJ5">
            <v>9.9999999656574801E-4</v>
          </cell>
          <cell r="AL5">
            <v>-0.21899999999732245</v>
          </cell>
          <cell r="AN5">
            <v>0.9180000000014843</v>
          </cell>
          <cell r="AP5">
            <v>0.70000000000436557</v>
          </cell>
          <cell r="AR5">
            <v>1.1666515837059706</v>
          </cell>
          <cell r="AT5">
            <v>0.55073075788095593</v>
          </cell>
          <cell r="AV5">
            <v>-1.8870480769110145</v>
          </cell>
          <cell r="AX5">
            <v>-1.336317318957299</v>
          </cell>
          <cell r="AZ5" t="str">
            <v>ACTIV</v>
          </cell>
          <cell r="BC5">
            <v>-0.67198000004282221</v>
          </cell>
          <cell r="BE5">
            <v>0.67900000000372529</v>
          </cell>
          <cell r="BG5">
            <v>0</v>
          </cell>
          <cell r="BI5">
            <v>7.0200000773184001E-3</v>
          </cell>
          <cell r="BM5">
            <v>-4.9999999964711606E-4</v>
          </cell>
          <cell r="BO5">
            <v>0.22499999999854481</v>
          </cell>
          <cell r="BQ5">
            <v>-8.999999996740371E-2</v>
          </cell>
          <cell r="BS5">
            <v>0</v>
          </cell>
          <cell r="BU5">
            <v>-8.999999996740371E-2</v>
          </cell>
          <cell r="BW5">
            <v>-0.28299999999580905</v>
          </cell>
          <cell r="BX5">
            <v>0</v>
          </cell>
          <cell r="BZ5">
            <v>-7.8000000003157766E-2</v>
          </cell>
          <cell r="CB5">
            <v>-0.78099999999994907</v>
          </cell>
          <cell r="CD5">
            <v>-1.2319999999599531</v>
          </cell>
          <cell r="CF5">
            <v>-0.5</v>
          </cell>
          <cell r="CH5">
            <v>0</v>
          </cell>
          <cell r="CJ5">
            <v>-0.50000000000090949</v>
          </cell>
          <cell r="CL5">
            <v>-1.1000000000058208</v>
          </cell>
          <cell r="CN5">
            <v>-0.79200000000128057</v>
          </cell>
          <cell r="CP5">
            <v>-2.3919999999925494</v>
          </cell>
          <cell r="CR5">
            <v>-0.30799999998998828</v>
          </cell>
          <cell r="CT5">
            <v>-3.4974800001364201</v>
          </cell>
          <cell r="CV5">
            <v>0.38790000014705583</v>
          </cell>
          <cell r="CX5">
            <v>-3.1095799999311566</v>
          </cell>
          <cell r="FC5">
            <v>-0.10369562375126407</v>
          </cell>
          <cell r="FD5">
            <v>-0.22047200000088196</v>
          </cell>
          <cell r="FE5">
            <v>1.2446000000054482</v>
          </cell>
          <cell r="FF5">
            <v>0.92043237620964646</v>
          </cell>
          <cell r="FG5">
            <v>-1.5000000005329639E-3</v>
          </cell>
          <cell r="FH5">
            <v>0</v>
          </cell>
          <cell r="FI5">
            <v>-0.23599999980069697</v>
          </cell>
          <cell r="FJ5">
            <v>-0.28299999999580905</v>
          </cell>
          <cell r="FK5">
            <v>0</v>
          </cell>
          <cell r="FL5">
            <v>0.12900000000081491</v>
          </cell>
          <cell r="FM5">
            <v>0.31099999999969441</v>
          </cell>
          <cell r="FN5">
            <v>-7.9000000027008355E-2</v>
          </cell>
          <cell r="FO5">
            <v>0</v>
          </cell>
          <cell r="FP5">
            <v>-0.45207184844184667</v>
          </cell>
          <cell r="FQ5">
            <v>-0.3090000000083819</v>
          </cell>
          <cell r="FR5">
            <v>-0.76107184845022857</v>
          </cell>
          <cell r="FS5">
            <v>-0.11200000000826549</v>
          </cell>
          <cell r="FT5">
            <v>-3.3139471663162112E-2</v>
          </cell>
          <cell r="FU5">
            <v>-3.4795708599267527</v>
          </cell>
          <cell r="FV5">
            <v>-4.1310970068443567</v>
          </cell>
          <cell r="FX5">
            <v>-7.9000000027008355E-2</v>
          </cell>
          <cell r="FY5">
            <v>-0.76107184845022857</v>
          </cell>
          <cell r="FZ5">
            <v>-4.6048449999507284</v>
          </cell>
          <cell r="GA5">
            <v>-5.4449168485589325</v>
          </cell>
          <cell r="GB5">
            <v>-5.5179304655175656</v>
          </cell>
          <cell r="GC5">
            <v>-4.1310970068443567</v>
          </cell>
          <cell r="GD5">
            <v>-4.1864929564762861</v>
          </cell>
          <cell r="GE5">
            <v>-56728.977280158928</v>
          </cell>
          <cell r="GG5">
            <v>7.5622143634827808</v>
          </cell>
        </row>
        <row r="6">
          <cell r="A6" t="str">
            <v>ACTIV</v>
          </cell>
          <cell r="C6" t="str">
            <v>שממ</v>
          </cell>
          <cell r="E6" t="str">
            <v>שממ</v>
          </cell>
          <cell r="G6" t="str">
            <v>פ. נוספות</v>
          </cell>
          <cell r="I6" t="str">
            <v>TOTAL</v>
          </cell>
          <cell r="K6" t="str">
            <v>טלפאואר</v>
          </cell>
          <cell r="M6" t="str">
            <v>מד"פ</v>
          </cell>
          <cell r="O6" t="str">
            <v>נטקום</v>
          </cell>
          <cell r="Q6" t="str">
            <v>ער"ז</v>
          </cell>
          <cell r="S6" t="str">
            <v>פ. נוספות</v>
          </cell>
          <cell r="U6" t="str">
            <v>TOTAL</v>
          </cell>
          <cell r="W6" t="str">
            <v>עידן</v>
          </cell>
          <cell r="X6" t="str">
            <v>עידן</v>
          </cell>
          <cell r="Z6" t="str">
            <v>ע. אדום</v>
          </cell>
          <cell r="AB6" t="str">
            <v>פ.נוספות</v>
          </cell>
          <cell r="AD6" t="str">
            <v>TOTAL</v>
          </cell>
          <cell r="AF6" t="str">
            <v>דרה"ש</v>
          </cell>
          <cell r="AH6" t="str">
            <v>פ. נוספות</v>
          </cell>
          <cell r="AJ6" t="str">
            <v>TOTAL</v>
          </cell>
          <cell r="AL6" t="str">
            <v>ט.ל.מ.</v>
          </cell>
          <cell r="AN6" t="str">
            <v>פ. נוספות</v>
          </cell>
          <cell r="AP6" t="str">
            <v>TOTAL</v>
          </cell>
          <cell r="AR6" t="str">
            <v>מרכז ער"ז</v>
          </cell>
          <cell r="AT6" t="str">
            <v>TOTAL</v>
          </cell>
          <cell r="AV6" t="str">
            <v>פ. נוספות</v>
          </cell>
          <cell r="AX6" t="str">
            <v>TOTAL</v>
          </cell>
          <cell r="AZ6">
            <v>36661.599855671295</v>
          </cell>
          <cell r="BC6" t="str">
            <v>A.C.T.V.</v>
          </cell>
          <cell r="BE6" t="str">
            <v>A.L.I.S</v>
          </cell>
          <cell r="BG6" t="str">
            <v>J.ENTRIES</v>
          </cell>
          <cell r="BI6" t="str">
            <v>TOTAL</v>
          </cell>
          <cell r="BK6" t="str">
            <v>T.POWER</v>
          </cell>
          <cell r="BM6" t="str">
            <v>Madrichei Pnai</v>
          </cell>
          <cell r="BO6" t="str">
            <v>Netcom</v>
          </cell>
          <cell r="BQ6" t="str">
            <v>G.C.&amp; CO.</v>
          </cell>
          <cell r="BS6" t="str">
            <v>J.ENTRIES</v>
          </cell>
          <cell r="BU6" t="str">
            <v>TOTAL</v>
          </cell>
          <cell r="BW6" t="str">
            <v>IDAN</v>
          </cell>
          <cell r="BX6" t="str">
            <v>עידן %50</v>
          </cell>
          <cell r="BZ6" t="str">
            <v>EDOM</v>
          </cell>
          <cell r="CB6" t="str">
            <v>J.ENTRIES</v>
          </cell>
          <cell r="CD6" t="str">
            <v>Total</v>
          </cell>
          <cell r="CF6" t="str">
            <v>S.S.C.</v>
          </cell>
          <cell r="CH6" t="str">
            <v>J.ENTRIES</v>
          </cell>
          <cell r="CJ6" t="str">
            <v>TOTAL</v>
          </cell>
          <cell r="CL6" t="str">
            <v>T.L.M</v>
          </cell>
          <cell r="CN6" t="str">
            <v>J.ENTRIES</v>
          </cell>
          <cell r="CP6" t="str">
            <v>TOTAL</v>
          </cell>
          <cell r="CR6" t="str">
            <v>MERCAZ</v>
          </cell>
          <cell r="CT6" t="str">
            <v>TOTAL</v>
          </cell>
          <cell r="CV6" t="str">
            <v>J.ENTRIES</v>
          </cell>
          <cell r="CX6" t="str">
            <v>TOTAL</v>
          </cell>
          <cell r="FW6" t="str">
            <v>ACTIVE</v>
          </cell>
          <cell r="GT6" t="str">
            <v>{edit}*A:hX90/A:hY96~{down}</v>
          </cell>
        </row>
        <row r="7">
          <cell r="FX7">
            <v>0</v>
          </cell>
          <cell r="FY7">
            <v>0</v>
          </cell>
        </row>
        <row r="8">
          <cell r="FX8">
            <v>0</v>
          </cell>
          <cell r="FY8">
            <v>0</v>
          </cell>
        </row>
        <row r="9">
          <cell r="FX9">
            <v>0</v>
          </cell>
          <cell r="FY9">
            <v>0</v>
          </cell>
        </row>
        <row r="10">
          <cell r="FX10">
            <v>0</v>
          </cell>
          <cell r="FY10">
            <v>0</v>
          </cell>
        </row>
        <row r="11">
          <cell r="FX11">
            <v>0</v>
          </cell>
          <cell r="FY11">
            <v>0</v>
          </cell>
        </row>
        <row r="12">
          <cell r="A12" t="str">
            <v>FIXED ASSETS</v>
          </cell>
          <cell r="E12">
            <v>0.15899999999996339</v>
          </cell>
          <cell r="M12">
            <v>1.8028846153844924E-2</v>
          </cell>
          <cell r="O12">
            <v>0</v>
          </cell>
          <cell r="U12">
            <v>-0.96399999999266583</v>
          </cell>
          <cell r="Z12">
            <v>-7.5000000000272848E-2</v>
          </cell>
          <cell r="AB12" t="str">
            <v xml:space="preserve"> </v>
          </cell>
          <cell r="AL12">
            <v>-0.21699999998963904</v>
          </cell>
          <cell r="AP12">
            <v>-0.21699999998963904</v>
          </cell>
          <cell r="AR12">
            <v>0</v>
          </cell>
          <cell r="AX12">
            <v>444.32902884625946</v>
          </cell>
          <cell r="AZ12" t="str">
            <v>FIXED ASSETS</v>
          </cell>
          <cell r="BE12">
            <v>0</v>
          </cell>
          <cell r="BG12">
            <v>0</v>
          </cell>
          <cell r="BM12">
            <v>53.964500000000001</v>
          </cell>
          <cell r="BO12">
            <v>0</v>
          </cell>
          <cell r="BQ12">
            <v>-5750.8410000000149</v>
          </cell>
          <cell r="BU12">
            <v>-5750.8410000000149</v>
          </cell>
          <cell r="BZ12">
            <v>-495.48500000000058</v>
          </cell>
          <cell r="CB12">
            <v>-7.8000000003157766E-2</v>
          </cell>
          <cell r="CL12">
            <v>-15947</v>
          </cell>
          <cell r="CR12">
            <v>2998.4870000000083</v>
          </cell>
          <cell r="FG12">
            <v>-1140.7650000000001</v>
          </cell>
          <cell r="FP12">
            <v>-0.1463096016086638</v>
          </cell>
          <cell r="FV12">
            <v>0.24459787225350738</v>
          </cell>
          <cell r="FW12" t="str">
            <v>FIXED ASSETS</v>
          </cell>
          <cell r="FX12">
            <v>0</v>
          </cell>
          <cell r="FY12">
            <v>0</v>
          </cell>
          <cell r="GA12">
            <v>0</v>
          </cell>
        </row>
        <row r="13">
          <cell r="A13" t="str">
            <v>total-cost</v>
          </cell>
          <cell r="I13">
            <v>0</v>
          </cell>
          <cell r="M13">
            <v>17.48497596153846</v>
          </cell>
          <cell r="O13">
            <v>1144</v>
          </cell>
          <cell r="Q13">
            <v>112483.67600000001</v>
          </cell>
          <cell r="U13">
            <v>112483.67600000001</v>
          </cell>
          <cell r="W13">
            <v>41905.5</v>
          </cell>
          <cell r="X13">
            <v>41905.5</v>
          </cell>
          <cell r="Z13">
            <v>1896.7860000000001</v>
          </cell>
          <cell r="AB13">
            <v>1377.838</v>
          </cell>
          <cell r="AD13">
            <v>199569.3</v>
          </cell>
          <cell r="AL13">
            <v>86659</v>
          </cell>
          <cell r="AN13">
            <v>0</v>
          </cell>
          <cell r="AP13">
            <v>86659</v>
          </cell>
          <cell r="AR13">
            <v>21867.181</v>
          </cell>
          <cell r="AT13">
            <v>309256.96597596159</v>
          </cell>
          <cell r="AV13">
            <v>0</v>
          </cell>
          <cell r="AX13">
            <v>309256.96597596159</v>
          </cell>
          <cell r="AY13">
            <v>0</v>
          </cell>
          <cell r="AZ13" t="str">
            <v>total-cost</v>
          </cell>
          <cell r="BC13">
            <v>0</v>
          </cell>
          <cell r="BE13">
            <v>0</v>
          </cell>
          <cell r="BG13">
            <v>0</v>
          </cell>
          <cell r="BI13">
            <v>0</v>
          </cell>
          <cell r="BM13">
            <v>69.030500000000004</v>
          </cell>
          <cell r="BO13">
            <v>3768.5</v>
          </cell>
          <cell r="BQ13">
            <v>326524.80499999999</v>
          </cell>
          <cell r="BU13">
            <v>326524.80499999999</v>
          </cell>
          <cell r="BW13">
            <v>117928.5</v>
          </cell>
          <cell r="BX13">
            <v>117928.5</v>
          </cell>
          <cell r="BZ13">
            <v>6038.6689999999999</v>
          </cell>
          <cell r="CD13">
            <v>568420.47399999993</v>
          </cell>
          <cell r="CH13">
            <v>0</v>
          </cell>
          <cell r="CJ13">
            <v>0</v>
          </cell>
          <cell r="CL13">
            <v>254841</v>
          </cell>
          <cell r="CN13">
            <v>0</v>
          </cell>
          <cell r="CP13">
            <v>254841</v>
          </cell>
          <cell r="CR13">
            <v>76213.039000000004</v>
          </cell>
          <cell r="CT13">
            <v>903312.04349999991</v>
          </cell>
          <cell r="CV13">
            <v>0</v>
          </cell>
          <cell r="CX13">
            <v>903312.04349999991</v>
          </cell>
          <cell r="FF13">
            <v>0</v>
          </cell>
          <cell r="FG13">
            <v>72.737499999999997</v>
          </cell>
          <cell r="FH13">
            <v>4569</v>
          </cell>
          <cell r="FI13">
            <v>492225.87800000003</v>
          </cell>
          <cell r="FJ13">
            <v>184884.5</v>
          </cell>
          <cell r="FK13">
            <v>184884.5</v>
          </cell>
          <cell r="FL13">
            <v>7273.2939999999999</v>
          </cell>
          <cell r="FN13">
            <v>869268.17200000002</v>
          </cell>
          <cell r="FO13">
            <v>0</v>
          </cell>
          <cell r="FP13">
            <v>372163.45852384064</v>
          </cell>
          <cell r="FQ13">
            <v>0</v>
          </cell>
          <cell r="FR13">
            <v>372163.45852384064</v>
          </cell>
          <cell r="FS13">
            <v>83754.096999999994</v>
          </cell>
          <cell r="FT13">
            <v>1329827.4650238408</v>
          </cell>
          <cell r="FU13">
            <v>0</v>
          </cell>
          <cell r="FV13">
            <v>1329827.4650238408</v>
          </cell>
          <cell r="FW13" t="str">
            <v>total-cost</v>
          </cell>
          <cell r="FX13">
            <v>869268.17200000002</v>
          </cell>
          <cell r="FY13">
            <v>372163.45852384064</v>
          </cell>
          <cell r="GA13">
            <v>1241431.6305238407</v>
          </cell>
          <cell r="GB13">
            <v>1258078.6090931019</v>
          </cell>
          <cell r="GC13">
            <v>1329827.4650238408</v>
          </cell>
          <cell r="GD13">
            <v>1347659.7876155614</v>
          </cell>
          <cell r="GE13">
            <v>88395.834500000114</v>
          </cell>
          <cell r="GF13">
            <v>4.3000727916576915</v>
          </cell>
          <cell r="GG13">
            <v>834613</v>
          </cell>
          <cell r="GH13">
            <v>-834613</v>
          </cell>
          <cell r="GT13" t="str">
            <v>{MENUBRANCH main}</v>
          </cell>
        </row>
        <row r="14">
          <cell r="A14" t="str">
            <v>Depreciation</v>
          </cell>
          <cell r="G14">
            <v>0</v>
          </cell>
          <cell r="I14">
            <v>0</v>
          </cell>
          <cell r="M14">
            <v>-3.9669471153846154</v>
          </cell>
          <cell r="O14">
            <v>-428</v>
          </cell>
          <cell r="Q14">
            <v>-54907.004000000001</v>
          </cell>
          <cell r="U14">
            <v>-54907.004000000001</v>
          </cell>
          <cell r="W14">
            <v>-20771.5</v>
          </cell>
          <cell r="X14">
            <v>-20771.5</v>
          </cell>
          <cell r="Z14">
            <v>-546.55600000000004</v>
          </cell>
          <cell r="AB14">
            <v>-80.430000000000007</v>
          </cell>
          <cell r="AD14">
            <v>-97076.99</v>
          </cell>
          <cell r="AL14">
            <v>-35176</v>
          </cell>
          <cell r="AN14">
            <v>0</v>
          </cell>
          <cell r="AP14">
            <v>-35176</v>
          </cell>
          <cell r="AR14">
            <v>-1266.8440000000001</v>
          </cell>
          <cell r="AT14">
            <v>-133951.80094711535</v>
          </cell>
          <cell r="AV14">
            <v>0</v>
          </cell>
          <cell r="AX14">
            <v>-133951.80094711535</v>
          </cell>
          <cell r="AY14">
            <v>0</v>
          </cell>
          <cell r="AZ14" t="str">
            <v>Depreciation</v>
          </cell>
          <cell r="BC14">
            <v>0</v>
          </cell>
          <cell r="BE14">
            <v>0</v>
          </cell>
          <cell r="BG14">
            <v>0</v>
          </cell>
          <cell r="BI14">
            <v>0</v>
          </cell>
          <cell r="BM14">
            <v>-15.066000000000001</v>
          </cell>
          <cell r="BO14">
            <v>-1337.5</v>
          </cell>
          <cell r="BQ14">
            <v>-137589.96799999999</v>
          </cell>
          <cell r="BU14">
            <v>-137589.96799999999</v>
          </cell>
          <cell r="BW14">
            <v>-53533</v>
          </cell>
          <cell r="BX14">
            <v>-53533</v>
          </cell>
          <cell r="BZ14">
            <v>-1706.154</v>
          </cell>
          <cell r="CB14">
            <v>0</v>
          </cell>
          <cell r="CD14">
            <v>-246362.122</v>
          </cell>
          <cell r="CH14">
            <v>0</v>
          </cell>
          <cell r="CJ14">
            <v>0</v>
          </cell>
          <cell r="CL14">
            <v>-97795</v>
          </cell>
          <cell r="CN14">
            <v>0</v>
          </cell>
          <cell r="CP14">
            <v>-97795</v>
          </cell>
          <cell r="CR14">
            <v>-4389.5519999999997</v>
          </cell>
          <cell r="CT14">
            <v>-349899.24</v>
          </cell>
          <cell r="CV14">
            <v>0</v>
          </cell>
          <cell r="CX14">
            <v>-349899.24</v>
          </cell>
          <cell r="DU14">
            <v>-17553</v>
          </cell>
          <cell r="FC14">
            <v>0</v>
          </cell>
          <cell r="FE14">
            <v>0</v>
          </cell>
          <cell r="FF14">
            <v>0</v>
          </cell>
          <cell r="FG14">
            <v>-16.502500000000001</v>
          </cell>
          <cell r="FH14">
            <v>-1762</v>
          </cell>
          <cell r="FI14">
            <v>-252037.40599999999</v>
          </cell>
          <cell r="FJ14">
            <v>-95140.5</v>
          </cell>
          <cell r="FK14">
            <v>-95140.5</v>
          </cell>
          <cell r="FL14">
            <v>-2079.0160000000001</v>
          </cell>
          <cell r="FM14">
            <v>0</v>
          </cell>
          <cell r="FN14">
            <v>-444397.42199999996</v>
          </cell>
          <cell r="FO14">
            <v>0</v>
          </cell>
          <cell r="FP14">
            <v>-155845</v>
          </cell>
          <cell r="FQ14">
            <v>0</v>
          </cell>
          <cell r="FR14">
            <v>-155845</v>
          </cell>
          <cell r="FS14">
            <v>-4815.6570000000002</v>
          </cell>
          <cell r="FT14">
            <v>-606836.58149999997</v>
          </cell>
          <cell r="FU14">
            <v>0</v>
          </cell>
          <cell r="FV14">
            <v>-606836.58149999997</v>
          </cell>
          <cell r="FW14" t="str">
            <v>Depreciation</v>
          </cell>
          <cell r="FX14">
            <v>-444397.42199999996</v>
          </cell>
          <cell r="FY14">
            <v>-155845</v>
          </cell>
          <cell r="GA14">
            <v>-600242.42200000002</v>
          </cell>
          <cell r="GB14">
            <v>-608291.37329921825</v>
          </cell>
          <cell r="GC14">
            <v>-606836.58149999997</v>
          </cell>
          <cell r="GD14">
            <v>-614973.95718698134</v>
          </cell>
          <cell r="GE14">
            <v>-6594.1594999999506</v>
          </cell>
          <cell r="GF14">
            <v>4.5302607147445615</v>
          </cell>
          <cell r="GG14">
            <v>-319946.32149902027</v>
          </cell>
          <cell r="GH14">
            <v>0</v>
          </cell>
        </row>
        <row r="15">
          <cell r="A15" t="str">
            <v>Total Fix.Assets</v>
          </cell>
          <cell r="C15">
            <v>0</v>
          </cell>
          <cell r="E15">
            <v>0</v>
          </cell>
          <cell r="G15">
            <v>0</v>
          </cell>
          <cell r="I15">
            <v>0</v>
          </cell>
          <cell r="M15">
            <v>13.518028846153845</v>
          </cell>
          <cell r="O15">
            <v>716</v>
          </cell>
          <cell r="Q15">
            <v>57576.672000000006</v>
          </cell>
          <cell r="S15">
            <v>0</v>
          </cell>
          <cell r="U15">
            <v>57576.672000000006</v>
          </cell>
          <cell r="W15">
            <v>21134</v>
          </cell>
          <cell r="X15">
            <v>21134</v>
          </cell>
          <cell r="Z15">
            <v>1350.23</v>
          </cell>
          <cell r="AB15">
            <v>1297.4079999999999</v>
          </cell>
          <cell r="AD15">
            <v>102492.31</v>
          </cell>
          <cell r="AH15">
            <v>0</v>
          </cell>
          <cell r="AJ15">
            <v>0</v>
          </cell>
          <cell r="AL15">
            <v>51483</v>
          </cell>
          <cell r="AN15">
            <v>0</v>
          </cell>
          <cell r="AP15">
            <v>51483</v>
          </cell>
          <cell r="AR15">
            <v>20600.337</v>
          </cell>
          <cell r="AT15">
            <v>175305.16502884624</v>
          </cell>
          <cell r="AV15">
            <v>0</v>
          </cell>
          <cell r="AX15">
            <v>175305.16502884624</v>
          </cell>
          <cell r="AY15">
            <v>0</v>
          </cell>
          <cell r="AZ15" t="str">
            <v>Total Fix.Assets</v>
          </cell>
          <cell r="BC15">
            <v>0</v>
          </cell>
          <cell r="BE15">
            <v>0</v>
          </cell>
          <cell r="BG15">
            <v>0</v>
          </cell>
          <cell r="BI15">
            <v>0</v>
          </cell>
          <cell r="BM15">
            <v>53.964500000000001</v>
          </cell>
          <cell r="BO15">
            <v>2431</v>
          </cell>
          <cell r="BQ15">
            <v>188934.837</v>
          </cell>
          <cell r="BS15">
            <v>0</v>
          </cell>
          <cell r="BU15">
            <v>188934.837</v>
          </cell>
          <cell r="BW15">
            <v>64395.5</v>
          </cell>
          <cell r="BX15">
            <v>64395.5</v>
          </cell>
          <cell r="BZ15">
            <v>4332.5149999999994</v>
          </cell>
          <cell r="CB15">
            <v>0</v>
          </cell>
          <cell r="CD15">
            <v>322058.35200000001</v>
          </cell>
          <cell r="CF15">
            <v>0</v>
          </cell>
          <cell r="CH15">
            <v>0</v>
          </cell>
          <cell r="CJ15">
            <v>0</v>
          </cell>
          <cell r="CL15">
            <v>157046</v>
          </cell>
          <cell r="CN15">
            <v>0</v>
          </cell>
          <cell r="CP15">
            <v>157046</v>
          </cell>
          <cell r="CR15">
            <v>71823.487000000008</v>
          </cell>
          <cell r="CT15">
            <v>553412.80349999992</v>
          </cell>
          <cell r="CV15">
            <v>0</v>
          </cell>
          <cell r="CX15">
            <v>553412.80349999992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56.234999999999999</v>
          </cell>
          <cell r="FH15">
            <v>2807</v>
          </cell>
          <cell r="FI15">
            <v>240188.47200000004</v>
          </cell>
          <cell r="FJ15">
            <v>89744</v>
          </cell>
          <cell r="FK15">
            <v>89744</v>
          </cell>
          <cell r="FL15">
            <v>5194.2780000000002</v>
          </cell>
          <cell r="FM15">
            <v>0</v>
          </cell>
          <cell r="FN15">
            <v>424870.75</v>
          </cell>
          <cell r="FO15">
            <v>0</v>
          </cell>
          <cell r="FP15">
            <v>216318.45852384064</v>
          </cell>
          <cell r="FQ15">
            <v>0</v>
          </cell>
          <cell r="FR15">
            <v>216318.45852384064</v>
          </cell>
          <cell r="FS15">
            <v>78938.44</v>
          </cell>
          <cell r="FT15">
            <v>722990.88352384081</v>
          </cell>
          <cell r="FU15">
            <v>0</v>
          </cell>
          <cell r="FV15">
            <v>722990.88352384081</v>
          </cell>
          <cell r="FW15" t="str">
            <v>Total Fix.Assets</v>
          </cell>
          <cell r="FX15">
            <v>424870.75</v>
          </cell>
          <cell r="FY15">
            <v>216318.45852384064</v>
          </cell>
          <cell r="FZ15">
            <v>0</v>
          </cell>
          <cell r="GA15">
            <v>641189.20852384064</v>
          </cell>
          <cell r="GB15">
            <v>649787.23579388368</v>
          </cell>
          <cell r="GC15">
            <v>722990.88352384081</v>
          </cell>
          <cell r="GD15">
            <v>732685.83042858006</v>
          </cell>
          <cell r="GE15">
            <v>81801.675000000163</v>
          </cell>
          <cell r="GF15">
            <v>4.124184723278824</v>
          </cell>
          <cell r="GG15">
            <v>514666.67850097973</v>
          </cell>
          <cell r="GH15">
            <v>0</v>
          </cell>
          <cell r="GT15" t="str">
            <v xml:space="preserve"> עורק שמ"מ </v>
          </cell>
        </row>
        <row r="16">
          <cell r="FX16">
            <v>0</v>
          </cell>
          <cell r="FY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</row>
        <row r="17">
          <cell r="A17" t="str">
            <v>INVESTMENTS</v>
          </cell>
          <cell r="AT17">
            <v>0</v>
          </cell>
          <cell r="AY17">
            <v>0</v>
          </cell>
          <cell r="AZ17" t="str">
            <v>INVESTMENTS</v>
          </cell>
          <cell r="BX17">
            <v>0</v>
          </cell>
          <cell r="CD17">
            <v>0</v>
          </cell>
          <cell r="FS17">
            <v>0</v>
          </cell>
          <cell r="FT17">
            <v>0</v>
          </cell>
          <cell r="FW17" t="str">
            <v>INVESTMENTS</v>
          </cell>
          <cell r="FX17">
            <v>0</v>
          </cell>
          <cell r="FY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 t="e">
            <v>#DIV/0!</v>
          </cell>
          <cell r="GH17">
            <v>0</v>
          </cell>
        </row>
        <row r="18">
          <cell r="A18" t="str">
            <v>G.C.&amp; CO.</v>
          </cell>
          <cell r="B18">
            <v>0.7</v>
          </cell>
          <cell r="C18">
            <v>-3591.5340000000001</v>
          </cell>
          <cell r="G18">
            <v>984.702</v>
          </cell>
          <cell r="I18">
            <v>-2606.8320000000003</v>
          </cell>
          <cell r="U18">
            <v>0</v>
          </cell>
          <cell r="AD18">
            <v>0</v>
          </cell>
          <cell r="AJ18">
            <v>0</v>
          </cell>
          <cell r="AP18">
            <v>0</v>
          </cell>
          <cell r="AR18">
            <v>0</v>
          </cell>
          <cell r="AT18">
            <v>-2606.8320000000003</v>
          </cell>
          <cell r="AV18">
            <v>2606.8320000000003</v>
          </cell>
          <cell r="AX18">
            <v>0</v>
          </cell>
          <cell r="AY18">
            <v>0</v>
          </cell>
          <cell r="AZ18" t="str">
            <v>G.C.&amp; CO.</v>
          </cell>
          <cell r="BA18">
            <v>0.7</v>
          </cell>
          <cell r="BC18">
            <v>-14783.111000000001</v>
          </cell>
          <cell r="BE18">
            <v>0</v>
          </cell>
          <cell r="BG18">
            <v>26872.384000000002</v>
          </cell>
          <cell r="BI18">
            <v>12089.273000000001</v>
          </cell>
          <cell r="BQ18">
            <v>0</v>
          </cell>
          <cell r="BU18">
            <v>0</v>
          </cell>
          <cell r="BX18">
            <v>0</v>
          </cell>
          <cell r="CD18">
            <v>0</v>
          </cell>
          <cell r="CF18">
            <v>0</v>
          </cell>
          <cell r="CH18">
            <v>0</v>
          </cell>
          <cell r="CJ18">
            <v>0</v>
          </cell>
          <cell r="CN18">
            <v>0</v>
          </cell>
          <cell r="CP18">
            <v>0</v>
          </cell>
          <cell r="CR18">
            <v>0</v>
          </cell>
          <cell r="CT18">
            <v>12089.273000000001</v>
          </cell>
          <cell r="CV18">
            <v>-12089.273000000001</v>
          </cell>
          <cell r="CX18">
            <v>0</v>
          </cell>
          <cell r="FC18">
            <v>11180.316000000001</v>
          </cell>
          <cell r="FF18">
            <v>11180.316000000001</v>
          </cell>
          <cell r="FR18">
            <v>0</v>
          </cell>
          <cell r="FS18">
            <v>0</v>
          </cell>
          <cell r="FT18">
            <v>11180.316000000001</v>
          </cell>
          <cell r="FU18">
            <v>-11180.316000000001</v>
          </cell>
          <cell r="FV18">
            <v>0</v>
          </cell>
          <cell r="FW18" t="str">
            <v>G.C.&amp; CO.</v>
          </cell>
          <cell r="FX18">
            <v>0</v>
          </cell>
          <cell r="FY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 t="e">
            <v>#DIV/0!</v>
          </cell>
          <cell r="GH18">
            <v>0</v>
          </cell>
        </row>
        <row r="19">
          <cell r="A19" t="str">
            <v xml:space="preserve"> long term loans</v>
          </cell>
          <cell r="I19">
            <v>0</v>
          </cell>
          <cell r="U19">
            <v>0</v>
          </cell>
          <cell r="AD19">
            <v>0</v>
          </cell>
          <cell r="AJ19">
            <v>0</v>
          </cell>
          <cell r="AN19">
            <v>0</v>
          </cell>
          <cell r="AP19">
            <v>0</v>
          </cell>
          <cell r="AR19">
            <v>0</v>
          </cell>
          <cell r="AT19">
            <v>0</v>
          </cell>
          <cell r="AV19">
            <v>0</v>
          </cell>
          <cell r="AX19">
            <v>0</v>
          </cell>
          <cell r="AY19">
            <v>0</v>
          </cell>
          <cell r="AZ19" t="str">
            <v xml:space="preserve"> long term loans</v>
          </cell>
          <cell r="BC19">
            <v>0</v>
          </cell>
          <cell r="BE19">
            <v>0</v>
          </cell>
          <cell r="BG19">
            <v>0</v>
          </cell>
          <cell r="BI19">
            <v>0</v>
          </cell>
          <cell r="BQ19">
            <v>0</v>
          </cell>
          <cell r="BU19">
            <v>0</v>
          </cell>
          <cell r="BX19">
            <v>0</v>
          </cell>
          <cell r="CD19">
            <v>0</v>
          </cell>
          <cell r="CF19">
            <v>0</v>
          </cell>
          <cell r="CH19">
            <v>0</v>
          </cell>
          <cell r="CJ19">
            <v>0</v>
          </cell>
          <cell r="CP19">
            <v>0</v>
          </cell>
          <cell r="CR19">
            <v>0</v>
          </cell>
          <cell r="CT19">
            <v>0</v>
          </cell>
          <cell r="CV19">
            <v>0</v>
          </cell>
          <cell r="CX19">
            <v>0</v>
          </cell>
          <cell r="FF19">
            <v>0</v>
          </cell>
          <cell r="FN19">
            <v>0</v>
          </cell>
          <cell r="FO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 t="str">
            <v xml:space="preserve"> long term loans</v>
          </cell>
          <cell r="FX19">
            <v>0</v>
          </cell>
          <cell r="FY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 t="e">
            <v>#DIV/0!</v>
          </cell>
          <cell r="GH19">
            <v>0</v>
          </cell>
        </row>
        <row r="20">
          <cell r="A20" t="str">
            <v xml:space="preserve"> accumulated profit</v>
          </cell>
          <cell r="C20">
            <v>33834.866000000002</v>
          </cell>
          <cell r="I20">
            <v>33834.866000000002</v>
          </cell>
          <cell r="U20">
            <v>0</v>
          </cell>
          <cell r="AD20">
            <v>0</v>
          </cell>
          <cell r="AJ20">
            <v>0</v>
          </cell>
          <cell r="AP20">
            <v>0</v>
          </cell>
          <cell r="AR20">
            <v>0</v>
          </cell>
          <cell r="AT20">
            <v>33834.866000000002</v>
          </cell>
          <cell r="AV20">
            <v>-33834.866000000002</v>
          </cell>
          <cell r="AX20">
            <v>0</v>
          </cell>
          <cell r="AY20">
            <v>0</v>
          </cell>
          <cell r="AZ20" t="str">
            <v xml:space="preserve"> accumulated profit</v>
          </cell>
          <cell r="BC20">
            <v>99863.627999999997</v>
          </cell>
          <cell r="BE20">
            <v>0</v>
          </cell>
          <cell r="BG20">
            <v>0</v>
          </cell>
          <cell r="BI20">
            <v>99863.627999999997</v>
          </cell>
          <cell r="BQ20">
            <v>0</v>
          </cell>
          <cell r="BU20">
            <v>0</v>
          </cell>
          <cell r="BX20">
            <v>0</v>
          </cell>
          <cell r="CD20">
            <v>0</v>
          </cell>
          <cell r="CF20">
            <v>0</v>
          </cell>
          <cell r="CH20">
            <v>0</v>
          </cell>
          <cell r="CJ20">
            <v>0</v>
          </cell>
          <cell r="CP20">
            <v>0</v>
          </cell>
          <cell r="CR20">
            <v>0</v>
          </cell>
          <cell r="CT20">
            <v>99863.627999999997</v>
          </cell>
          <cell r="CV20">
            <v>-99863.627999999997</v>
          </cell>
          <cell r="CX20">
            <v>0</v>
          </cell>
          <cell r="FC20">
            <v>137520.64990202483</v>
          </cell>
          <cell r="FF20">
            <v>137520.64990202483</v>
          </cell>
          <cell r="FN20">
            <v>0</v>
          </cell>
          <cell r="FO20">
            <v>0</v>
          </cell>
          <cell r="FR20">
            <v>0</v>
          </cell>
          <cell r="FS20">
            <v>0</v>
          </cell>
          <cell r="FT20">
            <v>137520.64990202483</v>
          </cell>
          <cell r="FU20">
            <v>-137520.64990202483</v>
          </cell>
          <cell r="FV20">
            <v>0</v>
          </cell>
          <cell r="FW20" t="str">
            <v xml:space="preserve"> accumulated profit</v>
          </cell>
          <cell r="FX20">
            <v>0</v>
          </cell>
          <cell r="FY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 t="e">
            <v>#DIV/0!</v>
          </cell>
          <cell r="GH20">
            <v>0</v>
          </cell>
          <cell r="GT20" t="str">
            <v xml:space="preserve">דוח דולר  </v>
          </cell>
        </row>
        <row r="21">
          <cell r="A21" t="str">
            <v xml:space="preserve"> profit-(equity method)</v>
          </cell>
          <cell r="C21">
            <v>13677</v>
          </cell>
          <cell r="E21" t="str">
            <v xml:space="preserve"> </v>
          </cell>
          <cell r="G21">
            <v>4397</v>
          </cell>
          <cell r="I21">
            <v>18074</v>
          </cell>
          <cell r="U21">
            <v>0</v>
          </cell>
          <cell r="AD21">
            <v>0</v>
          </cell>
          <cell r="AJ21">
            <v>0</v>
          </cell>
          <cell r="AP21">
            <v>0</v>
          </cell>
          <cell r="AR21">
            <v>0</v>
          </cell>
          <cell r="AT21">
            <v>18074</v>
          </cell>
          <cell r="AV21">
            <v>-18074</v>
          </cell>
          <cell r="AX21">
            <v>0</v>
          </cell>
          <cell r="AY21">
            <v>0</v>
          </cell>
          <cell r="AZ21" t="str">
            <v xml:space="preserve"> profit-(equity method)</v>
          </cell>
          <cell r="BC21">
            <v>31186</v>
          </cell>
          <cell r="BE21">
            <v>0</v>
          </cell>
          <cell r="BG21">
            <v>-758</v>
          </cell>
          <cell r="BI21">
            <v>30428</v>
          </cell>
          <cell r="BQ21">
            <v>0</v>
          </cell>
          <cell r="BU21">
            <v>0</v>
          </cell>
          <cell r="BX21">
            <v>0</v>
          </cell>
          <cell r="CD21">
            <v>0</v>
          </cell>
          <cell r="CF21">
            <v>0</v>
          </cell>
          <cell r="CH21">
            <v>0</v>
          </cell>
          <cell r="CJ21">
            <v>0</v>
          </cell>
          <cell r="CP21">
            <v>0</v>
          </cell>
          <cell r="CR21">
            <v>0</v>
          </cell>
          <cell r="CT21">
            <v>30428</v>
          </cell>
          <cell r="CV21">
            <v>-30428</v>
          </cell>
          <cell r="CX21">
            <v>0</v>
          </cell>
          <cell r="FC21">
            <v>44193</v>
          </cell>
          <cell r="FE21">
            <v>1019</v>
          </cell>
          <cell r="FF21">
            <v>45212</v>
          </cell>
          <cell r="FN21">
            <v>0</v>
          </cell>
          <cell r="FO21">
            <v>0</v>
          </cell>
          <cell r="FR21">
            <v>0</v>
          </cell>
          <cell r="FS21">
            <v>0</v>
          </cell>
          <cell r="FT21">
            <v>45212</v>
          </cell>
          <cell r="FU21">
            <v>-45212</v>
          </cell>
          <cell r="FV21">
            <v>0</v>
          </cell>
          <cell r="FW21" t="str">
            <v xml:space="preserve"> profit-(equity method)</v>
          </cell>
          <cell r="FX21">
            <v>0</v>
          </cell>
          <cell r="FY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 t="e">
            <v>#DIV/0!</v>
          </cell>
          <cell r="GH21">
            <v>0</v>
          </cell>
        </row>
        <row r="22">
          <cell r="A22" t="str">
            <v xml:space="preserve"> s. IEDIOT accumulated loss</v>
          </cell>
          <cell r="C22">
            <v>-735</v>
          </cell>
          <cell r="I22">
            <v>-735</v>
          </cell>
          <cell r="U22">
            <v>0</v>
          </cell>
          <cell r="AD22">
            <v>0</v>
          </cell>
          <cell r="AJ22">
            <v>0</v>
          </cell>
          <cell r="AP22">
            <v>0</v>
          </cell>
          <cell r="AT22">
            <v>-735</v>
          </cell>
          <cell r="AV22">
            <v>735</v>
          </cell>
          <cell r="AX22">
            <v>0</v>
          </cell>
          <cell r="AY22">
            <v>0</v>
          </cell>
          <cell r="AZ22" t="str">
            <v xml:space="preserve"> s. IEDIOT accumulated loss</v>
          </cell>
          <cell r="BC22">
            <v>-2458.9899999999998</v>
          </cell>
          <cell r="BG22">
            <v>0</v>
          </cell>
          <cell r="BI22">
            <v>-2458.9899999999998</v>
          </cell>
          <cell r="BU22">
            <v>0</v>
          </cell>
          <cell r="BX22">
            <v>0</v>
          </cell>
          <cell r="CD22">
            <v>0</v>
          </cell>
          <cell r="CJ22">
            <v>0</v>
          </cell>
          <cell r="CP22">
            <v>0</v>
          </cell>
          <cell r="CT22">
            <v>-2458.9899999999998</v>
          </cell>
          <cell r="CV22">
            <v>2458.9899999999998</v>
          </cell>
          <cell r="CX22">
            <v>0</v>
          </cell>
          <cell r="FC22">
            <v>-2791.5806662312216</v>
          </cell>
          <cell r="FF22">
            <v>-2791.5806662312216</v>
          </cell>
          <cell r="FN22">
            <v>0</v>
          </cell>
          <cell r="FO22">
            <v>0</v>
          </cell>
          <cell r="FR22">
            <v>0</v>
          </cell>
          <cell r="FS22">
            <v>0</v>
          </cell>
          <cell r="FT22">
            <v>-2791.5806662312216</v>
          </cell>
          <cell r="FU22">
            <v>2791.5806662312216</v>
          </cell>
          <cell r="FV22">
            <v>0</v>
          </cell>
          <cell r="FW22" t="str">
            <v xml:space="preserve"> s. IEDIOT accumulated loss</v>
          </cell>
          <cell r="FX22">
            <v>0</v>
          </cell>
          <cell r="FY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 t="e">
            <v>#DIV/0!</v>
          </cell>
          <cell r="GH22">
            <v>0</v>
          </cell>
        </row>
        <row r="23">
          <cell r="A23" t="str">
            <v xml:space="preserve"> s. IEDIOT loss-(equity method)</v>
          </cell>
          <cell r="G23">
            <v>-245</v>
          </cell>
          <cell r="I23">
            <v>-245</v>
          </cell>
          <cell r="U23">
            <v>0</v>
          </cell>
          <cell r="AD23">
            <v>0</v>
          </cell>
          <cell r="AJ23">
            <v>0</v>
          </cell>
          <cell r="AP23">
            <v>0</v>
          </cell>
          <cell r="AT23">
            <v>-245</v>
          </cell>
          <cell r="AV23">
            <v>245</v>
          </cell>
          <cell r="AX23">
            <v>0</v>
          </cell>
          <cell r="AY23">
            <v>0</v>
          </cell>
          <cell r="AZ23" t="str">
            <v xml:space="preserve"> s. IEDIOT loss-(equity method)</v>
          </cell>
          <cell r="BG23">
            <v>-1019.2</v>
          </cell>
          <cell r="BI23">
            <v>-1019.2</v>
          </cell>
          <cell r="BX23">
            <v>0</v>
          </cell>
          <cell r="CD23">
            <v>0</v>
          </cell>
          <cell r="CT23">
            <v>-1019.2</v>
          </cell>
          <cell r="CV23">
            <v>1019.2</v>
          </cell>
          <cell r="CX23">
            <v>0</v>
          </cell>
          <cell r="FE23">
            <v>-1019.2</v>
          </cell>
          <cell r="FF23">
            <v>-1019.2</v>
          </cell>
          <cell r="FN23">
            <v>0</v>
          </cell>
          <cell r="FR23">
            <v>0</v>
          </cell>
          <cell r="FS23">
            <v>0</v>
          </cell>
          <cell r="FT23">
            <v>-1019.2</v>
          </cell>
          <cell r="FU23">
            <v>1019.2</v>
          </cell>
          <cell r="FV23">
            <v>0</v>
          </cell>
          <cell r="FW23" t="str">
            <v xml:space="preserve"> s. IEDIOT loss-(equity method)</v>
          </cell>
          <cell r="FX23">
            <v>0</v>
          </cell>
          <cell r="FY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 t="e">
            <v>#DIV/0!</v>
          </cell>
          <cell r="GH23">
            <v>0</v>
          </cell>
        </row>
        <row r="24">
          <cell r="B24" t="str">
            <v xml:space="preserve">total </v>
          </cell>
          <cell r="C24">
            <v>43185.332000000002</v>
          </cell>
          <cell r="E24">
            <v>0</v>
          </cell>
          <cell r="G24">
            <v>5136.7020000000002</v>
          </cell>
          <cell r="I24">
            <v>48322.034</v>
          </cell>
          <cell r="M24">
            <v>0</v>
          </cell>
          <cell r="O24">
            <v>0</v>
          </cell>
          <cell r="Q24">
            <v>0</v>
          </cell>
          <cell r="S24">
            <v>0</v>
          </cell>
          <cell r="U24">
            <v>0</v>
          </cell>
          <cell r="Z24">
            <v>0</v>
          </cell>
          <cell r="AB24">
            <v>0</v>
          </cell>
          <cell r="AD24">
            <v>0</v>
          </cell>
          <cell r="AF24">
            <v>0</v>
          </cell>
          <cell r="AH24">
            <v>0</v>
          </cell>
          <cell r="AJ24">
            <v>0</v>
          </cell>
          <cell r="AL24">
            <v>0</v>
          </cell>
          <cell r="AN24">
            <v>0</v>
          </cell>
          <cell r="AP24">
            <v>0</v>
          </cell>
          <cell r="AR24">
            <v>0</v>
          </cell>
          <cell r="AT24">
            <v>48322.034</v>
          </cell>
          <cell r="AV24">
            <v>-48322.034</v>
          </cell>
          <cell r="AX24">
            <v>0</v>
          </cell>
          <cell r="AY24">
            <v>0</v>
          </cell>
          <cell r="BA24" t="str">
            <v xml:space="preserve">total </v>
          </cell>
          <cell r="BC24">
            <v>113807.52699999999</v>
          </cell>
          <cell r="BE24">
            <v>0</v>
          </cell>
          <cell r="BG24">
            <v>25095.184000000001</v>
          </cell>
          <cell r="BI24">
            <v>138902.71100000001</v>
          </cell>
          <cell r="BO24">
            <v>0</v>
          </cell>
          <cell r="BQ24">
            <v>0</v>
          </cell>
          <cell r="BS24">
            <v>0</v>
          </cell>
          <cell r="BU24">
            <v>0</v>
          </cell>
          <cell r="BX24">
            <v>0</v>
          </cell>
          <cell r="BZ24">
            <v>0</v>
          </cell>
          <cell r="CB24">
            <v>0</v>
          </cell>
          <cell r="CD24">
            <v>0</v>
          </cell>
          <cell r="CF24">
            <v>0</v>
          </cell>
          <cell r="CH24">
            <v>0</v>
          </cell>
          <cell r="CJ24">
            <v>0</v>
          </cell>
          <cell r="CL24">
            <v>0</v>
          </cell>
          <cell r="CN24">
            <v>0</v>
          </cell>
          <cell r="CP24">
            <v>0</v>
          </cell>
          <cell r="CR24">
            <v>0</v>
          </cell>
          <cell r="CT24">
            <v>138902.71100000001</v>
          </cell>
          <cell r="CV24">
            <v>-138902.71100000001</v>
          </cell>
          <cell r="CX24">
            <v>0</v>
          </cell>
          <cell r="FC24">
            <v>190102.3852357936</v>
          </cell>
          <cell r="FE24">
            <v>-0.19999999999993179</v>
          </cell>
          <cell r="FF24">
            <v>190102.18523579359</v>
          </cell>
          <cell r="FI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190102.18523579359</v>
          </cell>
          <cell r="FU24">
            <v>-190102.18523579359</v>
          </cell>
          <cell r="FV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 t="e">
            <v>#DIV/0!</v>
          </cell>
          <cell r="GG24">
            <v>0</v>
          </cell>
          <cell r="GH24">
            <v>0</v>
          </cell>
        </row>
        <row r="25">
          <cell r="A25" t="str">
            <v>IDAN</v>
          </cell>
          <cell r="B25">
            <v>0.75</v>
          </cell>
          <cell r="Q25">
            <v>4.5</v>
          </cell>
          <cell r="U25">
            <v>4.5</v>
          </cell>
          <cell r="W25">
            <v>-4.5</v>
          </cell>
          <cell r="AD25">
            <v>0</v>
          </cell>
          <cell r="AJ25">
            <v>0</v>
          </cell>
          <cell r="AP25">
            <v>0</v>
          </cell>
          <cell r="AT25">
            <v>0</v>
          </cell>
          <cell r="AV25">
            <v>0</v>
          </cell>
          <cell r="AX25">
            <v>0</v>
          </cell>
          <cell r="AY25">
            <v>0</v>
          </cell>
          <cell r="AZ25" t="str">
            <v>IDAN</v>
          </cell>
          <cell r="BA25">
            <v>0.5</v>
          </cell>
          <cell r="BQ25">
            <v>7.5</v>
          </cell>
          <cell r="BU25">
            <v>7.5</v>
          </cell>
          <cell r="BW25">
            <v>-7.5</v>
          </cell>
          <cell r="BX25">
            <v>0</v>
          </cell>
          <cell r="CD25">
            <v>0</v>
          </cell>
          <cell r="CT25">
            <v>0</v>
          </cell>
          <cell r="CX25">
            <v>0</v>
          </cell>
          <cell r="FI25">
            <v>27.7</v>
          </cell>
          <cell r="FJ25">
            <v>-27.7</v>
          </cell>
          <cell r="FN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 t="str">
            <v>IDAN</v>
          </cell>
          <cell r="FX25">
            <v>0</v>
          </cell>
          <cell r="FY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 t="e">
            <v>#DIV/0!</v>
          </cell>
          <cell r="GH25">
            <v>0</v>
          </cell>
        </row>
        <row r="26">
          <cell r="A26" t="str">
            <v xml:space="preserve"> long term loans</v>
          </cell>
          <cell r="Q26">
            <v>188</v>
          </cell>
          <cell r="U26">
            <v>188</v>
          </cell>
          <cell r="W26">
            <v>-188</v>
          </cell>
          <cell r="AD26">
            <v>0</v>
          </cell>
          <cell r="AP26">
            <v>0</v>
          </cell>
          <cell r="AT26">
            <v>0</v>
          </cell>
          <cell r="AX26">
            <v>0</v>
          </cell>
          <cell r="AY26">
            <v>0</v>
          </cell>
          <cell r="AZ26" t="str">
            <v xml:space="preserve"> long term loans</v>
          </cell>
          <cell r="BQ26">
            <v>784.28300000000002</v>
          </cell>
          <cell r="BU26">
            <v>784.28300000000002</v>
          </cell>
          <cell r="BW26">
            <v>-784.28300000000002</v>
          </cell>
          <cell r="BX26">
            <v>0</v>
          </cell>
          <cell r="CD26">
            <v>0</v>
          </cell>
          <cell r="CT26">
            <v>0</v>
          </cell>
          <cell r="CX26">
            <v>0</v>
          </cell>
          <cell r="FF26">
            <v>0</v>
          </cell>
          <cell r="FI26">
            <v>784.28300000000002</v>
          </cell>
          <cell r="FJ26">
            <v>-784.28300000000002</v>
          </cell>
          <cell r="FN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 t="str">
            <v xml:space="preserve"> long term loans</v>
          </cell>
          <cell r="FX26">
            <v>0</v>
          </cell>
          <cell r="FY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 t="e">
            <v>#DIV/0!</v>
          </cell>
          <cell r="GH26">
            <v>0</v>
          </cell>
        </row>
        <row r="27">
          <cell r="A27" t="str">
            <v xml:space="preserve"> accumulated profit</v>
          </cell>
          <cell r="Q27">
            <v>11223.25</v>
          </cell>
          <cell r="U27">
            <v>11223.25</v>
          </cell>
          <cell r="W27">
            <v>-11223.25</v>
          </cell>
          <cell r="AD27">
            <v>0</v>
          </cell>
          <cell r="AP27">
            <v>0</v>
          </cell>
          <cell r="AT27">
            <v>0</v>
          </cell>
          <cell r="AX27">
            <v>0</v>
          </cell>
          <cell r="AY27">
            <v>0</v>
          </cell>
          <cell r="AZ27" t="str">
            <v xml:space="preserve"> accumulated profit</v>
          </cell>
          <cell r="BQ27">
            <v>10619</v>
          </cell>
          <cell r="BU27">
            <v>10619</v>
          </cell>
          <cell r="BW27">
            <v>-10619</v>
          </cell>
          <cell r="BX27">
            <v>0</v>
          </cell>
          <cell r="CD27">
            <v>0</v>
          </cell>
          <cell r="CT27">
            <v>0</v>
          </cell>
          <cell r="CX27">
            <v>0</v>
          </cell>
          <cell r="FF27">
            <v>0</v>
          </cell>
          <cell r="FI27">
            <v>49741.858</v>
          </cell>
          <cell r="FJ27">
            <v>-49741.858</v>
          </cell>
          <cell r="FN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 t="str">
            <v xml:space="preserve"> accumulated profit</v>
          </cell>
          <cell r="FX27">
            <v>0</v>
          </cell>
          <cell r="FY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 t="e">
            <v>#DIV/0!</v>
          </cell>
          <cell r="GH27">
            <v>0</v>
          </cell>
        </row>
        <row r="28">
          <cell r="A28" t="str">
            <v xml:space="preserve"> profit-(equity method)</v>
          </cell>
          <cell r="Q28">
            <v>-5924.5</v>
          </cell>
          <cell r="U28">
            <v>-5924.5</v>
          </cell>
          <cell r="W28">
            <v>5924.5</v>
          </cell>
          <cell r="AD28">
            <v>0</v>
          </cell>
          <cell r="AP28">
            <v>0</v>
          </cell>
          <cell r="AT28">
            <v>0</v>
          </cell>
          <cell r="AV28">
            <v>0</v>
          </cell>
          <cell r="AX28">
            <v>0</v>
          </cell>
          <cell r="AY28">
            <v>0</v>
          </cell>
          <cell r="AZ28" t="str">
            <v xml:space="preserve"> profit-(equity method)</v>
          </cell>
          <cell r="BQ28">
            <v>-25673</v>
          </cell>
          <cell r="BU28">
            <v>-25673</v>
          </cell>
          <cell r="BW28">
            <v>25673</v>
          </cell>
          <cell r="BX28">
            <v>0</v>
          </cell>
          <cell r="CD28">
            <v>0</v>
          </cell>
          <cell r="CT28">
            <v>0</v>
          </cell>
          <cell r="CX28">
            <v>0</v>
          </cell>
          <cell r="FF28">
            <v>0</v>
          </cell>
          <cell r="FI28">
            <v>-26083.058000000001</v>
          </cell>
          <cell r="FJ28">
            <v>26083.058000000001</v>
          </cell>
          <cell r="FN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 t="str">
            <v xml:space="preserve"> profit-(equity method)</v>
          </cell>
          <cell r="FX28">
            <v>0</v>
          </cell>
          <cell r="FY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 t="e">
            <v>#DIV/0!</v>
          </cell>
          <cell r="GH28">
            <v>0</v>
          </cell>
        </row>
        <row r="29">
          <cell r="A29" t="str">
            <v>GOODWILL</v>
          </cell>
          <cell r="Q29">
            <v>82508.133000000002</v>
          </cell>
          <cell r="U29">
            <v>82508.133000000002</v>
          </cell>
          <cell r="AB29">
            <v>-1297.4079999999999</v>
          </cell>
          <cell r="AD29">
            <v>81210.725000000006</v>
          </cell>
          <cell r="AP29">
            <v>0</v>
          </cell>
          <cell r="AT29">
            <v>81210.725000000006</v>
          </cell>
          <cell r="AV29">
            <v>-81210.725000000006</v>
          </cell>
          <cell r="AX29">
            <v>0</v>
          </cell>
          <cell r="AY29">
            <v>0</v>
          </cell>
          <cell r="AZ29" t="str">
            <v>GOODWILL</v>
          </cell>
          <cell r="BQ29">
            <v>351680.27600000001</v>
          </cell>
          <cell r="BU29">
            <v>351680.27600000001</v>
          </cell>
          <cell r="BX29">
            <v>0</v>
          </cell>
          <cell r="CD29">
            <v>351680.27600000001</v>
          </cell>
          <cell r="CT29">
            <v>351680.27600000001</v>
          </cell>
          <cell r="CV29">
            <v>-351680.27600000001</v>
          </cell>
          <cell r="CX29">
            <v>0</v>
          </cell>
          <cell r="FF29">
            <v>0</v>
          </cell>
          <cell r="FI29">
            <v>328376.951</v>
          </cell>
          <cell r="FN29">
            <v>328376.951</v>
          </cell>
          <cell r="FR29">
            <v>0</v>
          </cell>
          <cell r="FS29">
            <v>0</v>
          </cell>
          <cell r="FT29">
            <v>328376.951</v>
          </cell>
          <cell r="FU29">
            <v>-328376.951</v>
          </cell>
          <cell r="FV29">
            <v>0</v>
          </cell>
          <cell r="FW29" t="str">
            <v>GOODWILL</v>
          </cell>
          <cell r="FX29">
            <v>328376.951</v>
          </cell>
          <cell r="FY29">
            <v>0</v>
          </cell>
          <cell r="FZ29">
            <v>-328376.951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 t="e">
            <v>#DIV/0!</v>
          </cell>
          <cell r="GH29">
            <v>0</v>
          </cell>
        </row>
        <row r="30">
          <cell r="A30" t="str">
            <v>TOTAL</v>
          </cell>
          <cell r="Q30">
            <v>87999.383000000002</v>
          </cell>
          <cell r="S30">
            <v>0</v>
          </cell>
          <cell r="U30">
            <v>87999.383000000002</v>
          </cell>
          <cell r="W30">
            <v>-5491.25</v>
          </cell>
          <cell r="Z30">
            <v>0</v>
          </cell>
          <cell r="AB30">
            <v>-1297.4079999999999</v>
          </cell>
          <cell r="AD30">
            <v>81210.725000000006</v>
          </cell>
          <cell r="AF30">
            <v>0</v>
          </cell>
          <cell r="AH30">
            <v>0</v>
          </cell>
          <cell r="AJ30">
            <v>0</v>
          </cell>
          <cell r="AL30">
            <v>0</v>
          </cell>
          <cell r="AN30">
            <v>0</v>
          </cell>
          <cell r="AP30">
            <v>0</v>
          </cell>
          <cell r="AR30">
            <v>0</v>
          </cell>
          <cell r="AT30">
            <v>81210.725000000006</v>
          </cell>
          <cell r="AV30">
            <v>-81210.725000000006</v>
          </cell>
          <cell r="AX30">
            <v>0</v>
          </cell>
          <cell r="AY30">
            <v>0</v>
          </cell>
          <cell r="AZ30" t="str">
            <v>TOTAL</v>
          </cell>
          <cell r="BC30">
            <v>0</v>
          </cell>
          <cell r="BE30">
            <v>0</v>
          </cell>
          <cell r="BG30">
            <v>0</v>
          </cell>
          <cell r="BI30">
            <v>0</v>
          </cell>
          <cell r="BQ30">
            <v>337418.05900000001</v>
          </cell>
          <cell r="BS30">
            <v>0</v>
          </cell>
          <cell r="BU30">
            <v>337418.05900000001</v>
          </cell>
          <cell r="BW30">
            <v>14262.217000000001</v>
          </cell>
          <cell r="BX30">
            <v>0</v>
          </cell>
          <cell r="CB30">
            <v>0</v>
          </cell>
          <cell r="CD30">
            <v>351680.27600000001</v>
          </cell>
          <cell r="CL30">
            <v>0</v>
          </cell>
          <cell r="CT30">
            <v>351680.27600000001</v>
          </cell>
          <cell r="CV30">
            <v>-351680.27600000001</v>
          </cell>
          <cell r="CX30">
            <v>0</v>
          </cell>
          <cell r="FC30">
            <v>0</v>
          </cell>
          <cell r="FF30">
            <v>0</v>
          </cell>
          <cell r="FI30">
            <v>352847.734</v>
          </cell>
          <cell r="FJ30">
            <v>-24470.782999999999</v>
          </cell>
          <cell r="FM30">
            <v>0</v>
          </cell>
          <cell r="FN30">
            <v>328376.951</v>
          </cell>
          <cell r="FQ30">
            <v>0</v>
          </cell>
          <cell r="FR30">
            <v>0</v>
          </cell>
          <cell r="FS30">
            <v>0</v>
          </cell>
          <cell r="FT30">
            <v>328376.951</v>
          </cell>
          <cell r="FU30">
            <v>-328376.951</v>
          </cell>
          <cell r="FV30">
            <v>0</v>
          </cell>
          <cell r="FW30" t="str">
            <v>TOTAL</v>
          </cell>
          <cell r="FX30">
            <v>328376.951</v>
          </cell>
          <cell r="FY30">
            <v>0</v>
          </cell>
          <cell r="FZ30">
            <v>-328376.951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 t="e">
            <v>#DIV/0!</v>
          </cell>
          <cell r="GH30">
            <v>0</v>
          </cell>
        </row>
        <row r="31">
          <cell r="AT31">
            <v>0</v>
          </cell>
          <cell r="AY31">
            <v>0</v>
          </cell>
          <cell r="BX31">
            <v>0</v>
          </cell>
          <cell r="CD31">
            <v>0</v>
          </cell>
          <cell r="CT31">
            <v>0</v>
          </cell>
          <cell r="FN31">
            <v>0</v>
          </cell>
          <cell r="FS31">
            <v>0</v>
          </cell>
          <cell r="FX31">
            <v>0</v>
          </cell>
          <cell r="FY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 t="e">
            <v>#DIV/0!</v>
          </cell>
          <cell r="GH31">
            <v>0</v>
          </cell>
        </row>
        <row r="32">
          <cell r="A32" t="str">
            <v>ICP-shares</v>
          </cell>
          <cell r="B32">
            <v>0.3</v>
          </cell>
          <cell r="I32">
            <v>0</v>
          </cell>
          <cell r="Q32">
            <v>14.6</v>
          </cell>
          <cell r="U32">
            <v>14.6</v>
          </cell>
          <cell r="W32">
            <v>164</v>
          </cell>
          <cell r="X32">
            <v>164</v>
          </cell>
          <cell r="AD32">
            <v>342.6</v>
          </cell>
          <cell r="AF32">
            <v>0</v>
          </cell>
          <cell r="AH32">
            <v>0</v>
          </cell>
          <cell r="AJ32">
            <v>0</v>
          </cell>
          <cell r="AP32">
            <v>0</v>
          </cell>
          <cell r="AR32">
            <v>0</v>
          </cell>
          <cell r="AT32">
            <v>342.6</v>
          </cell>
          <cell r="AV32">
            <v>0</v>
          </cell>
          <cell r="AX32">
            <v>342.6</v>
          </cell>
          <cell r="AY32">
            <v>0</v>
          </cell>
          <cell r="AZ32" t="str">
            <v>ICP-shares</v>
          </cell>
          <cell r="BA32">
            <v>0.3</v>
          </cell>
          <cell r="BC32">
            <v>0</v>
          </cell>
          <cell r="BG32">
            <v>0</v>
          </cell>
          <cell r="BI32">
            <v>0</v>
          </cell>
          <cell r="BQ32">
            <v>27</v>
          </cell>
          <cell r="BU32">
            <v>27</v>
          </cell>
          <cell r="BW32">
            <v>-54</v>
          </cell>
          <cell r="BX32">
            <v>-54</v>
          </cell>
          <cell r="CD32">
            <v>-81</v>
          </cell>
          <cell r="CF32">
            <v>0</v>
          </cell>
          <cell r="CH32">
            <v>0</v>
          </cell>
          <cell r="CJ32">
            <v>0</v>
          </cell>
          <cell r="CP32">
            <v>0</v>
          </cell>
          <cell r="CR32">
            <v>0</v>
          </cell>
          <cell r="CT32">
            <v>-81</v>
          </cell>
          <cell r="CV32">
            <v>0</v>
          </cell>
          <cell r="CX32">
            <v>-81</v>
          </cell>
          <cell r="FC32">
            <v>0</v>
          </cell>
          <cell r="FF32">
            <v>0</v>
          </cell>
          <cell r="FI32">
            <v>79.5</v>
          </cell>
          <cell r="FJ32">
            <v>417</v>
          </cell>
          <cell r="FK32">
            <v>417</v>
          </cell>
          <cell r="FN32">
            <v>913.5</v>
          </cell>
          <cell r="FO32">
            <v>0</v>
          </cell>
          <cell r="FR32">
            <v>0</v>
          </cell>
          <cell r="FS32">
            <v>0</v>
          </cell>
          <cell r="FT32">
            <v>913.5</v>
          </cell>
          <cell r="FU32">
            <v>0</v>
          </cell>
          <cell r="FV32">
            <v>913.5</v>
          </cell>
          <cell r="FW32" t="str">
            <v>ICP-shares</v>
          </cell>
          <cell r="FX32">
            <v>913.5</v>
          </cell>
          <cell r="FY32">
            <v>0</v>
          </cell>
          <cell r="GA32">
            <v>913.5</v>
          </cell>
          <cell r="GB32">
            <v>925.74957907396265</v>
          </cell>
          <cell r="GC32">
            <v>913.5</v>
          </cell>
          <cell r="GD32">
            <v>925.74957907396265</v>
          </cell>
          <cell r="GE32">
            <v>0</v>
          </cell>
          <cell r="GF32">
            <v>2.666374781085814</v>
          </cell>
          <cell r="GG32">
            <v>79.612187459177022</v>
          </cell>
          <cell r="GH32">
            <v>0</v>
          </cell>
        </row>
        <row r="33">
          <cell r="A33" t="str">
            <v xml:space="preserve"> long term loans</v>
          </cell>
          <cell r="I33">
            <v>0</v>
          </cell>
          <cell r="Q33">
            <v>486.709</v>
          </cell>
          <cell r="U33">
            <v>486.709</v>
          </cell>
          <cell r="W33">
            <v>162</v>
          </cell>
          <cell r="X33">
            <v>162</v>
          </cell>
          <cell r="AD33">
            <v>810.70900000000006</v>
          </cell>
          <cell r="AF33">
            <v>0</v>
          </cell>
          <cell r="AH33">
            <v>0</v>
          </cell>
          <cell r="AJ33">
            <v>0</v>
          </cell>
          <cell r="AP33">
            <v>0</v>
          </cell>
          <cell r="AR33">
            <v>0</v>
          </cell>
          <cell r="AT33">
            <v>810.70900000000006</v>
          </cell>
          <cell r="AV33">
            <v>0</v>
          </cell>
          <cell r="AX33">
            <v>810.70900000000006</v>
          </cell>
          <cell r="AY33">
            <v>0</v>
          </cell>
          <cell r="AZ33" t="str">
            <v xml:space="preserve"> long term loans</v>
          </cell>
          <cell r="BG33">
            <v>0</v>
          </cell>
          <cell r="BI33">
            <v>0</v>
          </cell>
          <cell r="BQ33">
            <v>2025</v>
          </cell>
          <cell r="BU33">
            <v>2025</v>
          </cell>
          <cell r="BW33">
            <v>675</v>
          </cell>
          <cell r="BX33">
            <v>675</v>
          </cell>
          <cell r="CD33">
            <v>3375</v>
          </cell>
          <cell r="CF33">
            <v>0</v>
          </cell>
          <cell r="CH33">
            <v>0</v>
          </cell>
          <cell r="CJ33">
            <v>0</v>
          </cell>
          <cell r="CP33">
            <v>0</v>
          </cell>
          <cell r="CR33">
            <v>0</v>
          </cell>
          <cell r="CT33">
            <v>3375</v>
          </cell>
          <cell r="CV33">
            <v>0</v>
          </cell>
          <cell r="CX33">
            <v>3375</v>
          </cell>
          <cell r="FC33">
            <v>0</v>
          </cell>
          <cell r="FF33">
            <v>0</v>
          </cell>
          <cell r="FI33">
            <v>2025</v>
          </cell>
          <cell r="FJ33">
            <v>675</v>
          </cell>
          <cell r="FK33">
            <v>675</v>
          </cell>
          <cell r="FN33">
            <v>3375</v>
          </cell>
          <cell r="FO33">
            <v>0</v>
          </cell>
          <cell r="FR33">
            <v>0</v>
          </cell>
          <cell r="FS33">
            <v>0</v>
          </cell>
          <cell r="FT33">
            <v>3375</v>
          </cell>
          <cell r="FU33">
            <v>0</v>
          </cell>
          <cell r="FV33">
            <v>3375</v>
          </cell>
          <cell r="FW33" t="str">
            <v xml:space="preserve"> long term loans</v>
          </cell>
          <cell r="FX33">
            <v>3375</v>
          </cell>
          <cell r="FY33">
            <v>0</v>
          </cell>
          <cell r="GA33">
            <v>3375</v>
          </cell>
          <cell r="GB33">
            <v>3420.2570655441968</v>
          </cell>
          <cell r="GC33">
            <v>3375</v>
          </cell>
          <cell r="GD33">
            <v>3420.2570655441968</v>
          </cell>
          <cell r="GE33">
            <v>0</v>
          </cell>
          <cell r="GF33">
            <v>4.1630227368883279</v>
          </cell>
          <cell r="GG33">
            <v>1935.6683828606779</v>
          </cell>
          <cell r="GH33">
            <v>0</v>
          </cell>
        </row>
        <row r="34">
          <cell r="A34" t="str">
            <v xml:space="preserve"> accumulated profit</v>
          </cell>
          <cell r="Q34">
            <v>1161</v>
          </cell>
          <cell r="U34">
            <v>1161</v>
          </cell>
          <cell r="AD34">
            <v>1161</v>
          </cell>
          <cell r="AJ34">
            <v>0</v>
          </cell>
          <cell r="AP34">
            <v>0</v>
          </cell>
          <cell r="AT34">
            <v>1161</v>
          </cell>
          <cell r="AX34">
            <v>1161</v>
          </cell>
          <cell r="AY34">
            <v>0</v>
          </cell>
          <cell r="AZ34" t="str">
            <v xml:space="preserve"> accumulated profit</v>
          </cell>
          <cell r="BQ34">
            <v>3204.6</v>
          </cell>
          <cell r="BU34">
            <v>3204.6</v>
          </cell>
          <cell r="BX34">
            <v>0</v>
          </cell>
          <cell r="CD34">
            <v>3204.6</v>
          </cell>
          <cell r="CJ34">
            <v>0</v>
          </cell>
          <cell r="CP34">
            <v>0</v>
          </cell>
          <cell r="CT34">
            <v>3204.6</v>
          </cell>
          <cell r="CV34">
            <v>0</v>
          </cell>
          <cell r="CX34">
            <v>3204.6</v>
          </cell>
          <cell r="FC34">
            <v>0</v>
          </cell>
          <cell r="FF34">
            <v>0</v>
          </cell>
          <cell r="FI34">
            <v>4640.634</v>
          </cell>
          <cell r="FN34">
            <v>4640.634</v>
          </cell>
          <cell r="FO34">
            <v>0</v>
          </cell>
          <cell r="FR34">
            <v>0</v>
          </cell>
          <cell r="FS34">
            <v>0</v>
          </cell>
          <cell r="FT34">
            <v>4640.634</v>
          </cell>
          <cell r="FU34">
            <v>0</v>
          </cell>
          <cell r="FV34">
            <v>4640.634</v>
          </cell>
          <cell r="FW34" t="str">
            <v xml:space="preserve"> accumulated profit</v>
          </cell>
          <cell r="FX34">
            <v>4640.634</v>
          </cell>
          <cell r="FY34">
            <v>0</v>
          </cell>
          <cell r="GA34">
            <v>4640.634</v>
          </cell>
          <cell r="GB34">
            <v>4702.8625858087789</v>
          </cell>
          <cell r="GC34">
            <v>4640.634</v>
          </cell>
          <cell r="GD34">
            <v>4702.8625858087789</v>
          </cell>
          <cell r="GE34">
            <v>0</v>
          </cell>
          <cell r="GF34">
            <v>3.9971007751937986</v>
          </cell>
          <cell r="GG34">
            <v>4474.0057393431171</v>
          </cell>
          <cell r="GH34">
            <v>0</v>
          </cell>
        </row>
        <row r="35">
          <cell r="A35" t="str">
            <v xml:space="preserve"> profit-(equity method)</v>
          </cell>
          <cell r="I35">
            <v>0</v>
          </cell>
          <cell r="Q35">
            <v>-313.3</v>
          </cell>
          <cell r="S35">
            <v>0</v>
          </cell>
          <cell r="U35">
            <v>-313.3</v>
          </cell>
          <cell r="AD35">
            <v>-313.3</v>
          </cell>
          <cell r="AF35">
            <v>0</v>
          </cell>
          <cell r="AH35">
            <v>0</v>
          </cell>
          <cell r="AJ35">
            <v>0</v>
          </cell>
          <cell r="AP35">
            <v>0</v>
          </cell>
          <cell r="AR35">
            <v>0</v>
          </cell>
          <cell r="AT35">
            <v>-313.3</v>
          </cell>
          <cell r="AV35">
            <v>0</v>
          </cell>
          <cell r="AX35">
            <v>-313.3</v>
          </cell>
          <cell r="AY35">
            <v>0</v>
          </cell>
          <cell r="AZ35" t="str">
            <v xml:space="preserve"> profit-(equity method)</v>
          </cell>
          <cell r="BC35">
            <v>0</v>
          </cell>
          <cell r="BG35">
            <v>0</v>
          </cell>
          <cell r="BI35">
            <v>0</v>
          </cell>
          <cell r="BQ35">
            <v>-3610.6</v>
          </cell>
          <cell r="BU35">
            <v>-3610.6</v>
          </cell>
          <cell r="BX35">
            <v>0</v>
          </cell>
          <cell r="CD35">
            <v>-3610.6</v>
          </cell>
          <cell r="CF35">
            <v>0</v>
          </cell>
          <cell r="CH35">
            <v>0</v>
          </cell>
          <cell r="CJ35">
            <v>0</v>
          </cell>
          <cell r="CP35">
            <v>0</v>
          </cell>
          <cell r="CR35">
            <v>0</v>
          </cell>
          <cell r="CT35">
            <v>-3610.6</v>
          </cell>
          <cell r="CV35">
            <v>0</v>
          </cell>
          <cell r="CX35">
            <v>-3610.6</v>
          </cell>
          <cell r="FC35">
            <v>0</v>
          </cell>
          <cell r="FF35">
            <v>0</v>
          </cell>
          <cell r="FI35">
            <v>-2689.9</v>
          </cell>
          <cell r="FN35">
            <v>-2689.9</v>
          </cell>
          <cell r="FO35">
            <v>0</v>
          </cell>
          <cell r="FR35">
            <v>0</v>
          </cell>
          <cell r="FS35">
            <v>0</v>
          </cell>
          <cell r="FT35">
            <v>-2689.9</v>
          </cell>
          <cell r="FU35">
            <v>0</v>
          </cell>
          <cell r="FV35">
            <v>-2689.9</v>
          </cell>
          <cell r="FW35" t="str">
            <v xml:space="preserve"> profit-(equity method)</v>
          </cell>
          <cell r="FX35">
            <v>-2689.9</v>
          </cell>
          <cell r="FY35">
            <v>0</v>
          </cell>
          <cell r="GA35">
            <v>-2689.9</v>
          </cell>
          <cell r="GB35">
            <v>-2725.9702164762475</v>
          </cell>
          <cell r="GC35">
            <v>-2689.9</v>
          </cell>
          <cell r="GD35">
            <v>-2725.9702164762475</v>
          </cell>
          <cell r="GE35">
            <v>0</v>
          </cell>
          <cell r="GF35">
            <v>8.5857006064474941</v>
          </cell>
          <cell r="GG35">
            <v>188.19140696648486</v>
          </cell>
          <cell r="GH35">
            <v>0</v>
          </cell>
        </row>
        <row r="36">
          <cell r="B36" t="str">
            <v xml:space="preserve">total </v>
          </cell>
          <cell r="C36">
            <v>0</v>
          </cell>
          <cell r="E36">
            <v>0</v>
          </cell>
          <cell r="G36">
            <v>0</v>
          </cell>
          <cell r="I36">
            <v>0</v>
          </cell>
          <cell r="M36">
            <v>0</v>
          </cell>
          <cell r="O36">
            <v>0</v>
          </cell>
          <cell r="Q36">
            <v>1349.009</v>
          </cell>
          <cell r="S36">
            <v>0</v>
          </cell>
          <cell r="U36">
            <v>1349.009</v>
          </cell>
          <cell r="W36">
            <v>326</v>
          </cell>
          <cell r="X36">
            <v>326</v>
          </cell>
          <cell r="Z36">
            <v>0</v>
          </cell>
          <cell r="AB36">
            <v>0</v>
          </cell>
          <cell r="AD36">
            <v>2001.0090000000002</v>
          </cell>
          <cell r="AF36">
            <v>0</v>
          </cell>
          <cell r="AH36">
            <v>0</v>
          </cell>
          <cell r="AJ36">
            <v>0</v>
          </cell>
          <cell r="AL36">
            <v>0</v>
          </cell>
          <cell r="AN36">
            <v>0</v>
          </cell>
          <cell r="AP36">
            <v>0</v>
          </cell>
          <cell r="AR36">
            <v>0</v>
          </cell>
          <cell r="AT36">
            <v>2001.0090000000002</v>
          </cell>
          <cell r="AV36">
            <v>0</v>
          </cell>
          <cell r="AX36">
            <v>2001.0090000000002</v>
          </cell>
          <cell r="AY36">
            <v>0</v>
          </cell>
          <cell r="BA36" t="str">
            <v xml:space="preserve">total </v>
          </cell>
          <cell r="BC36">
            <v>0</v>
          </cell>
          <cell r="BE36">
            <v>0</v>
          </cell>
          <cell r="BG36">
            <v>0</v>
          </cell>
          <cell r="BI36">
            <v>0</v>
          </cell>
          <cell r="BO36">
            <v>0</v>
          </cell>
          <cell r="BQ36">
            <v>1646</v>
          </cell>
          <cell r="BS36">
            <v>0</v>
          </cell>
          <cell r="BU36">
            <v>1646</v>
          </cell>
          <cell r="BW36">
            <v>621</v>
          </cell>
          <cell r="BX36">
            <v>621</v>
          </cell>
          <cell r="BZ36">
            <v>0</v>
          </cell>
          <cell r="CB36">
            <v>0</v>
          </cell>
          <cell r="CD36">
            <v>2888</v>
          </cell>
          <cell r="CF36">
            <v>0</v>
          </cell>
          <cell r="CH36">
            <v>0</v>
          </cell>
          <cell r="CJ36">
            <v>0</v>
          </cell>
          <cell r="CL36">
            <v>0</v>
          </cell>
          <cell r="CP36">
            <v>0</v>
          </cell>
          <cell r="CR36">
            <v>0</v>
          </cell>
          <cell r="CT36">
            <v>2888</v>
          </cell>
          <cell r="CV36">
            <v>0</v>
          </cell>
          <cell r="CX36">
            <v>2888</v>
          </cell>
          <cell r="FC36">
            <v>0</v>
          </cell>
          <cell r="FE36">
            <v>0</v>
          </cell>
          <cell r="FF36">
            <v>0</v>
          </cell>
          <cell r="FI36">
            <v>4055.2339999999999</v>
          </cell>
          <cell r="FJ36">
            <v>1092</v>
          </cell>
          <cell r="FK36">
            <v>1092</v>
          </cell>
          <cell r="FM36">
            <v>0</v>
          </cell>
          <cell r="FN36">
            <v>6239.2340000000004</v>
          </cell>
          <cell r="FO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6239.2340000000004</v>
          </cell>
          <cell r="FU36">
            <v>0</v>
          </cell>
          <cell r="FV36">
            <v>6239.2340000000004</v>
          </cell>
          <cell r="FX36">
            <v>6239.2340000000004</v>
          </cell>
          <cell r="FY36">
            <v>0</v>
          </cell>
          <cell r="FZ36">
            <v>0</v>
          </cell>
          <cell r="GA36">
            <v>6239.2340000000004</v>
          </cell>
          <cell r="GB36">
            <v>6322.8990139506914</v>
          </cell>
          <cell r="GC36">
            <v>6239.2340000000004</v>
          </cell>
          <cell r="GD36">
            <v>6322.8990139506914</v>
          </cell>
          <cell r="GE36">
            <v>0</v>
          </cell>
          <cell r="GF36">
            <v>3.1180439468288248</v>
          </cell>
          <cell r="GG36">
            <v>6677.4777166294571</v>
          </cell>
          <cell r="GH36">
            <v>0</v>
          </cell>
        </row>
        <row r="37">
          <cell r="A37" t="str">
            <v>G. LINES-shares</v>
          </cell>
          <cell r="B37">
            <v>0.25</v>
          </cell>
          <cell r="C37">
            <v>3000.395</v>
          </cell>
          <cell r="I37">
            <v>3000.395</v>
          </cell>
          <cell r="U37">
            <v>0</v>
          </cell>
          <cell r="AD37">
            <v>0</v>
          </cell>
          <cell r="AJ37">
            <v>0</v>
          </cell>
          <cell r="AP37">
            <v>0</v>
          </cell>
          <cell r="AT37">
            <v>3000.395</v>
          </cell>
          <cell r="AX37">
            <v>3000.395</v>
          </cell>
          <cell r="AY37">
            <v>0</v>
          </cell>
          <cell r="AZ37" t="str">
            <v>G. LINES-shares</v>
          </cell>
          <cell r="BA37">
            <v>0.25</v>
          </cell>
          <cell r="BC37">
            <v>10208.061</v>
          </cell>
          <cell r="BI37">
            <v>10208.061</v>
          </cell>
          <cell r="BU37">
            <v>0</v>
          </cell>
          <cell r="BX37">
            <v>0</v>
          </cell>
          <cell r="CD37">
            <v>0</v>
          </cell>
          <cell r="CJ37">
            <v>0</v>
          </cell>
          <cell r="CP37">
            <v>0</v>
          </cell>
          <cell r="CT37">
            <v>10208.061</v>
          </cell>
          <cell r="CX37">
            <v>10208.061</v>
          </cell>
          <cell r="FC37">
            <v>11481.325930764207</v>
          </cell>
          <cell r="FF37">
            <v>11481.325930764207</v>
          </cell>
          <cell r="FN37">
            <v>0</v>
          </cell>
          <cell r="FO37">
            <v>0</v>
          </cell>
          <cell r="FR37">
            <v>0</v>
          </cell>
          <cell r="FS37">
            <v>0</v>
          </cell>
          <cell r="FT37">
            <v>11481.325930764207</v>
          </cell>
          <cell r="FV37">
            <v>11481.325930764207</v>
          </cell>
          <cell r="FW37" t="str">
            <v>G. LINES-shares</v>
          </cell>
          <cell r="FX37">
            <v>0</v>
          </cell>
          <cell r="FY37">
            <v>0</v>
          </cell>
          <cell r="GA37">
            <v>0</v>
          </cell>
          <cell r="GB37">
            <v>0</v>
          </cell>
          <cell r="GC37">
            <v>11481.325930764207</v>
          </cell>
          <cell r="GD37">
            <v>11635.284781188766</v>
          </cell>
          <cell r="GE37">
            <v>11481.325930764207</v>
          </cell>
          <cell r="GF37">
            <v>3.8266048072884429</v>
          </cell>
          <cell r="GG37">
            <v>11481.48777726976</v>
          </cell>
          <cell r="GH37">
            <v>0</v>
          </cell>
        </row>
        <row r="38">
          <cell r="A38" t="str">
            <v xml:space="preserve"> long term loans (index)</v>
          </cell>
          <cell r="C38">
            <v>736.54499999999996</v>
          </cell>
          <cell r="G38">
            <v>-25.857559999999999</v>
          </cell>
          <cell r="I38">
            <v>710.68743999999992</v>
          </cell>
          <cell r="U38">
            <v>0</v>
          </cell>
          <cell r="AD38">
            <v>0</v>
          </cell>
          <cell r="AJ38">
            <v>0</v>
          </cell>
          <cell r="AP38">
            <v>0</v>
          </cell>
          <cell r="AT38">
            <v>710.68743999999992</v>
          </cell>
          <cell r="AX38">
            <v>710.68743999999992</v>
          </cell>
          <cell r="AY38">
            <v>0</v>
          </cell>
          <cell r="AZ38" t="str">
            <v xml:space="preserve"> long term loans</v>
          </cell>
          <cell r="BC38">
            <v>2832.0149999999999</v>
          </cell>
          <cell r="BG38">
            <v>124.44499999999999</v>
          </cell>
          <cell r="BI38">
            <v>2956.46</v>
          </cell>
          <cell r="BU38">
            <v>0</v>
          </cell>
          <cell r="BX38">
            <v>0</v>
          </cell>
          <cell r="CD38">
            <v>0</v>
          </cell>
          <cell r="CJ38">
            <v>0</v>
          </cell>
          <cell r="CP38">
            <v>0</v>
          </cell>
          <cell r="CT38">
            <v>2956.46</v>
          </cell>
          <cell r="CX38">
            <v>2956.46</v>
          </cell>
          <cell r="FC38">
            <v>2956.46</v>
          </cell>
          <cell r="FF38">
            <v>2956.46</v>
          </cell>
          <cell r="FN38">
            <v>0</v>
          </cell>
          <cell r="FO38">
            <v>0</v>
          </cell>
          <cell r="FR38">
            <v>0</v>
          </cell>
          <cell r="FS38">
            <v>0</v>
          </cell>
          <cell r="FT38">
            <v>2956.46</v>
          </cell>
          <cell r="FV38">
            <v>2956.46</v>
          </cell>
          <cell r="FW38" t="str">
            <v xml:space="preserve"> long term loans (index)</v>
          </cell>
          <cell r="FX38">
            <v>0</v>
          </cell>
          <cell r="FY38">
            <v>0</v>
          </cell>
          <cell r="GA38">
            <v>0</v>
          </cell>
          <cell r="GB38">
            <v>0</v>
          </cell>
          <cell r="GC38">
            <v>2956.46</v>
          </cell>
          <cell r="GD38">
            <v>2996.1046530366807</v>
          </cell>
          <cell r="GE38">
            <v>2956.46</v>
          </cell>
          <cell r="GF38">
            <v>4.1600003512092467</v>
          </cell>
          <cell r="GG38">
            <v>2956.7770005310836</v>
          </cell>
          <cell r="GH38">
            <v>0</v>
          </cell>
        </row>
        <row r="39">
          <cell r="A39" t="str">
            <v xml:space="preserve"> long term loans $</v>
          </cell>
          <cell r="C39">
            <v>10563.864</v>
          </cell>
          <cell r="G39">
            <v>113.33150000000001</v>
          </cell>
          <cell r="I39">
            <v>10677.1955</v>
          </cell>
          <cell r="U39">
            <v>0</v>
          </cell>
          <cell r="AD39">
            <v>0</v>
          </cell>
          <cell r="AJ39">
            <v>0</v>
          </cell>
          <cell r="AP39">
            <v>0</v>
          </cell>
          <cell r="AT39">
            <v>10677.1955</v>
          </cell>
          <cell r="AX39">
            <v>10677.1955</v>
          </cell>
          <cell r="AY39">
            <v>0</v>
          </cell>
          <cell r="AZ39" t="str">
            <v xml:space="preserve"> long term loans</v>
          </cell>
          <cell r="BC39">
            <v>40618.059000000001</v>
          </cell>
          <cell r="BG39">
            <v>3799.0748699999999</v>
          </cell>
          <cell r="BI39">
            <v>44417.133869999998</v>
          </cell>
          <cell r="BU39">
            <v>0</v>
          </cell>
          <cell r="BX39">
            <v>0</v>
          </cell>
          <cell r="CD39">
            <v>0</v>
          </cell>
          <cell r="CJ39">
            <v>0</v>
          </cell>
          <cell r="CP39">
            <v>0</v>
          </cell>
          <cell r="CT39">
            <v>44417.133869999998</v>
          </cell>
          <cell r="CX39">
            <v>44417.133869999998</v>
          </cell>
          <cell r="FC39">
            <v>44417.133999999998</v>
          </cell>
          <cell r="FF39">
            <v>44417.133999999998</v>
          </cell>
          <cell r="FN39">
            <v>0</v>
          </cell>
          <cell r="FO39">
            <v>0</v>
          </cell>
          <cell r="FR39">
            <v>0</v>
          </cell>
          <cell r="FS39">
            <v>0</v>
          </cell>
          <cell r="FT39">
            <v>44417.133999999998</v>
          </cell>
          <cell r="FV39">
            <v>44417.133999999998</v>
          </cell>
          <cell r="FW39" t="str">
            <v xml:space="preserve"> long term loans $</v>
          </cell>
          <cell r="FX39">
            <v>0</v>
          </cell>
          <cell r="FY39">
            <v>0</v>
          </cell>
          <cell r="GA39">
            <v>0</v>
          </cell>
          <cell r="GB39">
            <v>0</v>
          </cell>
          <cell r="GC39">
            <v>44417.133999999998</v>
          </cell>
          <cell r="GD39">
            <v>45012.745598436552</v>
          </cell>
          <cell r="GE39">
            <v>44417.133999999998</v>
          </cell>
          <cell r="GF39">
            <v>4.1600000674334376</v>
          </cell>
          <cell r="GG39">
            <v>11564.964728935338</v>
          </cell>
          <cell r="GH39">
            <v>0</v>
          </cell>
        </row>
        <row r="40">
          <cell r="A40" t="str">
            <v xml:space="preserve"> accumulated loss</v>
          </cell>
          <cell r="C40">
            <v>-8484.25</v>
          </cell>
          <cell r="I40">
            <v>-8484.25</v>
          </cell>
          <cell r="U40">
            <v>0</v>
          </cell>
          <cell r="AD40">
            <v>0</v>
          </cell>
          <cell r="AJ40">
            <v>0</v>
          </cell>
          <cell r="AP40">
            <v>0</v>
          </cell>
          <cell r="AT40">
            <v>-8484.25</v>
          </cell>
          <cell r="AX40">
            <v>-8484</v>
          </cell>
          <cell r="AY40">
            <v>-0.25</v>
          </cell>
          <cell r="AZ40" t="str">
            <v xml:space="preserve"> accumulated loss</v>
          </cell>
          <cell r="BC40">
            <v>-30299.5</v>
          </cell>
          <cell r="BI40">
            <v>-30299.5</v>
          </cell>
          <cell r="BU40">
            <v>0</v>
          </cell>
          <cell r="BX40">
            <v>0</v>
          </cell>
          <cell r="CD40">
            <v>0</v>
          </cell>
          <cell r="CJ40">
            <v>0</v>
          </cell>
          <cell r="CP40">
            <v>0</v>
          </cell>
          <cell r="CT40">
            <v>-30299.5</v>
          </cell>
          <cell r="CX40">
            <v>-30299.5</v>
          </cell>
          <cell r="FC40">
            <v>-32650.631613324629</v>
          </cell>
          <cell r="FF40">
            <v>-32650.631613324629</v>
          </cell>
          <cell r="FN40">
            <v>0</v>
          </cell>
          <cell r="FO40">
            <v>0</v>
          </cell>
          <cell r="FR40">
            <v>0</v>
          </cell>
          <cell r="FS40">
            <v>0</v>
          </cell>
          <cell r="FT40">
            <v>-32650.631613324629</v>
          </cell>
          <cell r="FV40">
            <v>-32651</v>
          </cell>
          <cell r="FW40" t="str">
            <v xml:space="preserve"> accumulated loss</v>
          </cell>
          <cell r="FX40">
            <v>0</v>
          </cell>
          <cell r="FY40">
            <v>0</v>
          </cell>
          <cell r="GA40">
            <v>0</v>
          </cell>
          <cell r="GB40">
            <v>0</v>
          </cell>
          <cell r="GC40">
            <v>-32651</v>
          </cell>
          <cell r="GD40">
            <v>-33088.833613950694</v>
          </cell>
          <cell r="GE40">
            <v>-32651</v>
          </cell>
          <cell r="GF40">
            <v>3.8485384252710984</v>
          </cell>
          <cell r="GG40">
            <v>-633.26518615284135</v>
          </cell>
          <cell r="GH40">
            <v>0.36838667537085712</v>
          </cell>
        </row>
        <row r="41">
          <cell r="A41" t="str">
            <v xml:space="preserve"> loss-(equity method)</v>
          </cell>
          <cell r="C41">
            <v>-3871.42</v>
          </cell>
          <cell r="G41">
            <v>-948.33</v>
          </cell>
          <cell r="I41">
            <v>-4819.75</v>
          </cell>
          <cell r="U41">
            <v>0</v>
          </cell>
          <cell r="AD41">
            <v>0</v>
          </cell>
          <cell r="AJ41">
            <v>0</v>
          </cell>
          <cell r="AP41">
            <v>0</v>
          </cell>
          <cell r="AT41">
            <v>-4819.75</v>
          </cell>
          <cell r="AX41">
            <v>-4820</v>
          </cell>
          <cell r="AY41">
            <v>0.25</v>
          </cell>
          <cell r="AZ41" t="str">
            <v xml:space="preserve"> loss-(equity method)</v>
          </cell>
          <cell r="BC41">
            <v>-19444.738000000001</v>
          </cell>
          <cell r="BG41">
            <v>-9880.0119999999988</v>
          </cell>
          <cell r="BI41">
            <v>-29324.75</v>
          </cell>
          <cell r="BU41">
            <v>0</v>
          </cell>
          <cell r="BX41">
            <v>0</v>
          </cell>
          <cell r="CD41">
            <v>0</v>
          </cell>
          <cell r="CJ41">
            <v>0</v>
          </cell>
          <cell r="CP41">
            <v>0</v>
          </cell>
          <cell r="CT41">
            <v>-29324.75</v>
          </cell>
          <cell r="CX41">
            <v>-29324.75</v>
          </cell>
          <cell r="FC41">
            <v>-24824.75</v>
          </cell>
          <cell r="FE41">
            <v>0</v>
          </cell>
          <cell r="FF41">
            <v>-24824.75</v>
          </cell>
          <cell r="FN41">
            <v>0</v>
          </cell>
          <cell r="FO41">
            <v>0</v>
          </cell>
          <cell r="FR41">
            <v>0</v>
          </cell>
          <cell r="FS41">
            <v>0</v>
          </cell>
          <cell r="FT41">
            <v>-24824.75</v>
          </cell>
          <cell r="FV41">
            <v>-24825</v>
          </cell>
          <cell r="FW41" t="str">
            <v xml:space="preserve"> loss-(equity method)</v>
          </cell>
          <cell r="FX41">
            <v>0</v>
          </cell>
          <cell r="FY41">
            <v>0</v>
          </cell>
          <cell r="GA41">
            <v>0</v>
          </cell>
          <cell r="GB41">
            <v>0</v>
          </cell>
          <cell r="GC41">
            <v>-24825</v>
          </cell>
          <cell r="GD41">
            <v>-25157.890859891759</v>
          </cell>
          <cell r="GE41">
            <v>-24825</v>
          </cell>
          <cell r="GF41">
            <v>5.1504149377593365</v>
          </cell>
          <cell r="GG41">
            <v>-32017.36642717179</v>
          </cell>
          <cell r="GH41">
            <v>0.25</v>
          </cell>
        </row>
        <row r="42">
          <cell r="A42" t="str">
            <v xml:space="preserve"> goodwill</v>
          </cell>
          <cell r="C42">
            <v>132.119</v>
          </cell>
          <cell r="I42">
            <v>132.119</v>
          </cell>
          <cell r="U42">
            <v>0</v>
          </cell>
          <cell r="AD42">
            <v>0</v>
          </cell>
          <cell r="AJ42">
            <v>0</v>
          </cell>
          <cell r="AP42">
            <v>0</v>
          </cell>
          <cell r="AT42">
            <v>132.119</v>
          </cell>
          <cell r="AX42">
            <v>132.119</v>
          </cell>
          <cell r="AY42">
            <v>0</v>
          </cell>
          <cell r="AZ42" t="str">
            <v xml:space="preserve"> goodwill</v>
          </cell>
          <cell r="BC42">
            <v>429.51774999999998</v>
          </cell>
          <cell r="BI42">
            <v>429.51774999999998</v>
          </cell>
          <cell r="BU42">
            <v>0</v>
          </cell>
          <cell r="BX42">
            <v>0</v>
          </cell>
          <cell r="CD42">
            <v>0</v>
          </cell>
          <cell r="CJ42">
            <v>0</v>
          </cell>
          <cell r="CP42">
            <v>0</v>
          </cell>
          <cell r="CT42">
            <v>429.51774999999998</v>
          </cell>
          <cell r="CX42">
            <v>429.51774999999998</v>
          </cell>
          <cell r="FC42">
            <v>499.15300000000002</v>
          </cell>
          <cell r="FF42">
            <v>499.15300000000002</v>
          </cell>
          <cell r="FN42">
            <v>0</v>
          </cell>
          <cell r="FO42">
            <v>0</v>
          </cell>
          <cell r="FR42">
            <v>0</v>
          </cell>
          <cell r="FS42">
            <v>0</v>
          </cell>
          <cell r="FT42">
            <v>499.15300000000002</v>
          </cell>
          <cell r="FV42">
            <v>499.15300000000002</v>
          </cell>
          <cell r="FW42" t="str">
            <v xml:space="preserve"> goodwill</v>
          </cell>
          <cell r="FX42">
            <v>0</v>
          </cell>
          <cell r="FY42">
            <v>0</v>
          </cell>
          <cell r="GA42">
            <v>0</v>
          </cell>
          <cell r="GB42">
            <v>0</v>
          </cell>
          <cell r="GC42">
            <v>499.15300000000002</v>
          </cell>
          <cell r="GD42">
            <v>505.84639260372819</v>
          </cell>
          <cell r="GE42">
            <v>499.15300000000002</v>
          </cell>
          <cell r="GF42">
            <v>3.7780561463529092</v>
          </cell>
          <cell r="GG42">
            <v>557.87694112508734</v>
          </cell>
          <cell r="GH42">
            <v>0</v>
          </cell>
        </row>
        <row r="43">
          <cell r="C43">
            <v>2077.2530000000002</v>
          </cell>
          <cell r="E43">
            <v>0</v>
          </cell>
          <cell r="G43">
            <v>-860.85605999999996</v>
          </cell>
          <cell r="I43">
            <v>1216.3969399999999</v>
          </cell>
          <cell r="M43">
            <v>0</v>
          </cell>
          <cell r="O43">
            <v>0</v>
          </cell>
          <cell r="Q43">
            <v>0</v>
          </cell>
          <cell r="S43">
            <v>0</v>
          </cell>
          <cell r="U43">
            <v>0</v>
          </cell>
          <cell r="Z43">
            <v>0</v>
          </cell>
          <cell r="AB43">
            <v>0</v>
          </cell>
          <cell r="AD43">
            <v>0</v>
          </cell>
          <cell r="AF43">
            <v>0</v>
          </cell>
          <cell r="AH43">
            <v>0</v>
          </cell>
          <cell r="AJ43">
            <v>0</v>
          </cell>
          <cell r="AL43">
            <v>0</v>
          </cell>
          <cell r="AN43">
            <v>0</v>
          </cell>
          <cell r="AP43">
            <v>0</v>
          </cell>
          <cell r="AR43">
            <v>0</v>
          </cell>
          <cell r="AT43">
            <v>1216.3969399999999</v>
          </cell>
          <cell r="AV43">
            <v>0</v>
          </cell>
          <cell r="AX43">
            <v>1216.3969399999999</v>
          </cell>
          <cell r="AY43">
            <v>0</v>
          </cell>
          <cell r="BC43">
            <v>4343.4147500000008</v>
          </cell>
          <cell r="BE43">
            <v>0</v>
          </cell>
          <cell r="BG43">
            <v>-5956.4921299999987</v>
          </cell>
          <cell r="BI43">
            <v>-1613.0773800000015</v>
          </cell>
          <cell r="BO43">
            <v>0</v>
          </cell>
          <cell r="BQ43">
            <v>0</v>
          </cell>
          <cell r="BS43">
            <v>0</v>
          </cell>
          <cell r="BU43">
            <v>0</v>
          </cell>
          <cell r="BX43">
            <v>0</v>
          </cell>
          <cell r="BZ43">
            <v>0</v>
          </cell>
          <cell r="CB43">
            <v>0</v>
          </cell>
          <cell r="CD43">
            <v>0</v>
          </cell>
          <cell r="CF43">
            <v>0</v>
          </cell>
          <cell r="CH43">
            <v>0</v>
          </cell>
          <cell r="CJ43">
            <v>0</v>
          </cell>
          <cell r="CL43">
            <v>0</v>
          </cell>
          <cell r="CN43">
            <v>0</v>
          </cell>
          <cell r="CP43">
            <v>0</v>
          </cell>
          <cell r="CR43">
            <v>0</v>
          </cell>
          <cell r="CT43">
            <v>-1613.0773800000015</v>
          </cell>
          <cell r="CV43">
            <v>0</v>
          </cell>
          <cell r="CX43">
            <v>-1613.0773800000015</v>
          </cell>
          <cell r="FC43">
            <v>1878.6913174395756</v>
          </cell>
          <cell r="FE43">
            <v>0</v>
          </cell>
          <cell r="FF43">
            <v>1878.6913174395756</v>
          </cell>
          <cell r="FI43">
            <v>0</v>
          </cell>
          <cell r="FM43">
            <v>0</v>
          </cell>
          <cell r="FN43">
            <v>0</v>
          </cell>
          <cell r="FO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1878.6913174395756</v>
          </cell>
          <cell r="FU43">
            <v>0</v>
          </cell>
          <cell r="FV43">
            <v>1878.0729307642048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1878.0729307642048</v>
          </cell>
          <cell r="GD43">
            <v>1903.2569514232771</v>
          </cell>
          <cell r="GE43">
            <v>1878.0729307642048</v>
          </cell>
          <cell r="GF43">
            <v>1.5439638731450649</v>
          </cell>
          <cell r="GG43">
            <v>-6089.5251654633603</v>
          </cell>
          <cell r="GH43">
            <v>0.61838667537085712</v>
          </cell>
        </row>
        <row r="44">
          <cell r="A44" t="str">
            <v>MERCAZ-shares</v>
          </cell>
          <cell r="B44">
            <v>0.7</v>
          </cell>
          <cell r="C44">
            <v>0.72399999999999998</v>
          </cell>
          <cell r="I44">
            <v>0.72399999999999998</v>
          </cell>
          <cell r="U44">
            <v>0</v>
          </cell>
          <cell r="AD44">
            <v>0</v>
          </cell>
          <cell r="AJ44">
            <v>0</v>
          </cell>
          <cell r="AP44">
            <v>0</v>
          </cell>
          <cell r="AR44">
            <v>0</v>
          </cell>
          <cell r="AT44">
            <v>0.72399999999999998</v>
          </cell>
          <cell r="AV44">
            <v>-0.72399999999999998</v>
          </cell>
          <cell r="AX44">
            <v>0</v>
          </cell>
          <cell r="AY44">
            <v>0</v>
          </cell>
          <cell r="AZ44" t="str">
            <v>MERCAZ-shares</v>
          </cell>
          <cell r="BA44">
            <v>0.7</v>
          </cell>
          <cell r="BC44">
            <v>1.4</v>
          </cell>
          <cell r="BE44">
            <v>0</v>
          </cell>
          <cell r="BG44">
            <v>0</v>
          </cell>
          <cell r="BI44">
            <v>1.4</v>
          </cell>
          <cell r="BU44">
            <v>0</v>
          </cell>
          <cell r="BX44">
            <v>0</v>
          </cell>
          <cell r="CD44">
            <v>0</v>
          </cell>
          <cell r="CF44">
            <v>0</v>
          </cell>
          <cell r="CH44">
            <v>0</v>
          </cell>
          <cell r="CJ44">
            <v>0</v>
          </cell>
          <cell r="CP44">
            <v>0</v>
          </cell>
          <cell r="CR44">
            <v>0</v>
          </cell>
          <cell r="CT44">
            <v>1.4</v>
          </cell>
          <cell r="CV44">
            <v>-1.4</v>
          </cell>
          <cell r="CX44">
            <v>0</v>
          </cell>
          <cell r="FC44">
            <v>653.90333115610724</v>
          </cell>
          <cell r="FF44">
            <v>653.90333115610724</v>
          </cell>
          <cell r="FN44">
            <v>0</v>
          </cell>
          <cell r="FO44">
            <v>0</v>
          </cell>
          <cell r="FR44">
            <v>0</v>
          </cell>
          <cell r="FS44">
            <v>0</v>
          </cell>
          <cell r="FT44">
            <v>653.90333115610724</v>
          </cell>
          <cell r="FU44">
            <v>-653.90333115610724</v>
          </cell>
          <cell r="FV44">
            <v>0</v>
          </cell>
          <cell r="FW44" t="str">
            <v>MERCAZ-shares</v>
          </cell>
          <cell r="FX44">
            <v>0</v>
          </cell>
          <cell r="FY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 t="e">
            <v>#DIV/0!</v>
          </cell>
          <cell r="GG44">
            <v>0</v>
          </cell>
          <cell r="GH44">
            <v>0</v>
          </cell>
        </row>
        <row r="45">
          <cell r="A45" t="str">
            <v xml:space="preserve"> long term loans</v>
          </cell>
          <cell r="C45">
            <v>5790.5619999999999</v>
          </cell>
          <cell r="I45">
            <v>5790.5619999999999</v>
          </cell>
          <cell r="U45">
            <v>0</v>
          </cell>
          <cell r="AD45">
            <v>0</v>
          </cell>
          <cell r="AJ45">
            <v>0</v>
          </cell>
          <cell r="AP45">
            <v>0</v>
          </cell>
          <cell r="AT45">
            <v>5790.5619999999999</v>
          </cell>
          <cell r="AV45">
            <v>-5790.5619999999999</v>
          </cell>
          <cell r="AX45">
            <v>0</v>
          </cell>
          <cell r="AY45">
            <v>0</v>
          </cell>
          <cell r="AZ45" t="str">
            <v xml:space="preserve"> long term loans</v>
          </cell>
          <cell r="BC45">
            <v>24088.737000000001</v>
          </cell>
          <cell r="BE45">
            <v>0</v>
          </cell>
          <cell r="BG45">
            <v>0</v>
          </cell>
          <cell r="BI45">
            <v>24088.737000000001</v>
          </cell>
          <cell r="BU45">
            <v>0</v>
          </cell>
          <cell r="BX45">
            <v>0</v>
          </cell>
          <cell r="CD45">
            <v>0</v>
          </cell>
          <cell r="CF45">
            <v>0</v>
          </cell>
          <cell r="CH45">
            <v>0</v>
          </cell>
          <cell r="CJ45">
            <v>0</v>
          </cell>
          <cell r="CP45">
            <v>0</v>
          </cell>
          <cell r="CT45">
            <v>24088.737000000001</v>
          </cell>
          <cell r="CV45">
            <v>-24088.737000000001</v>
          </cell>
          <cell r="CX45">
            <v>0</v>
          </cell>
          <cell r="FC45">
            <v>24088.737000000001</v>
          </cell>
          <cell r="FF45">
            <v>24088.737000000001</v>
          </cell>
          <cell r="FN45">
            <v>0</v>
          </cell>
          <cell r="FO45">
            <v>0</v>
          </cell>
          <cell r="FR45">
            <v>0</v>
          </cell>
          <cell r="FS45">
            <v>0</v>
          </cell>
          <cell r="FT45">
            <v>24088.737000000001</v>
          </cell>
          <cell r="FU45">
            <v>-24088.737000000001</v>
          </cell>
          <cell r="FV45">
            <v>0</v>
          </cell>
          <cell r="FW45" t="str">
            <v xml:space="preserve"> long term loans</v>
          </cell>
          <cell r="FX45">
            <v>0</v>
          </cell>
          <cell r="FY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 t="e">
            <v>#DIV/0!</v>
          </cell>
          <cell r="GG45">
            <v>0</v>
          </cell>
          <cell r="GH45">
            <v>0</v>
          </cell>
        </row>
        <row r="46">
          <cell r="A46" t="str">
            <v xml:space="preserve"> long term loans 4.6%</v>
          </cell>
          <cell r="C46">
            <v>9226.8590000000004</v>
          </cell>
          <cell r="I46">
            <v>9226.8590000000004</v>
          </cell>
          <cell r="U46">
            <v>0</v>
          </cell>
          <cell r="AD46">
            <v>0</v>
          </cell>
          <cell r="AJ46">
            <v>0</v>
          </cell>
          <cell r="AP46">
            <v>0</v>
          </cell>
          <cell r="AT46">
            <v>9226.8590000000004</v>
          </cell>
          <cell r="AV46">
            <v>-9226.8590000000004</v>
          </cell>
          <cell r="AX46">
            <v>0</v>
          </cell>
          <cell r="AY46">
            <v>0</v>
          </cell>
          <cell r="AZ46" t="str">
            <v xml:space="preserve"> long term loans4.6%</v>
          </cell>
          <cell r="BC46">
            <v>38383.732000000004</v>
          </cell>
          <cell r="BI46">
            <v>38383.732000000004</v>
          </cell>
          <cell r="BU46">
            <v>0</v>
          </cell>
          <cell r="BX46">
            <v>0</v>
          </cell>
          <cell r="CD46">
            <v>0</v>
          </cell>
          <cell r="CJ46">
            <v>0</v>
          </cell>
          <cell r="CP46">
            <v>0</v>
          </cell>
          <cell r="CT46">
            <v>38383.732000000004</v>
          </cell>
          <cell r="CV46">
            <v>-38383.732000000004</v>
          </cell>
          <cell r="CX46">
            <v>0</v>
          </cell>
          <cell r="FC46">
            <v>38383.732000000004</v>
          </cell>
          <cell r="FF46">
            <v>38383.732000000004</v>
          </cell>
          <cell r="FN46">
            <v>0</v>
          </cell>
          <cell r="FO46">
            <v>0</v>
          </cell>
          <cell r="FR46">
            <v>0</v>
          </cell>
          <cell r="FS46">
            <v>0</v>
          </cell>
          <cell r="FT46">
            <v>38383.732000000004</v>
          </cell>
          <cell r="FU46">
            <v>-38383.732000000004</v>
          </cell>
          <cell r="FV46">
            <v>0</v>
          </cell>
          <cell r="FW46" t="str">
            <v xml:space="preserve"> long term loans 4.6%</v>
          </cell>
          <cell r="FX46">
            <v>0</v>
          </cell>
          <cell r="FY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 t="e">
            <v>#DIV/0!</v>
          </cell>
          <cell r="GG46">
            <v>0</v>
          </cell>
          <cell r="GH46">
            <v>0</v>
          </cell>
        </row>
        <row r="47">
          <cell r="A47" t="str">
            <v xml:space="preserve"> accumulated loss</v>
          </cell>
          <cell r="C47">
            <v>-248.86799999999999</v>
          </cell>
          <cell r="I47">
            <v>-248.86799999999999</v>
          </cell>
          <cell r="U47">
            <v>0</v>
          </cell>
          <cell r="AD47">
            <v>0</v>
          </cell>
          <cell r="AJ47">
            <v>0</v>
          </cell>
          <cell r="AP47">
            <v>0</v>
          </cell>
          <cell r="AT47">
            <v>-248.86799999999999</v>
          </cell>
          <cell r="AV47">
            <v>248.86799999999999</v>
          </cell>
          <cell r="AX47">
            <v>0</v>
          </cell>
          <cell r="AY47">
            <v>0</v>
          </cell>
          <cell r="AZ47" t="str">
            <v xml:space="preserve"> accumulated loss</v>
          </cell>
          <cell r="BC47">
            <v>-1991.3209999999999</v>
          </cell>
          <cell r="BI47">
            <v>-1991.3209999999999</v>
          </cell>
          <cell r="BX47">
            <v>0</v>
          </cell>
          <cell r="CD47">
            <v>0</v>
          </cell>
          <cell r="CJ47">
            <v>0</v>
          </cell>
          <cell r="CP47">
            <v>0</v>
          </cell>
          <cell r="CT47">
            <v>-1991.3209999999999</v>
          </cell>
          <cell r="CV47">
            <v>1991.3209999999999</v>
          </cell>
          <cell r="CX47">
            <v>0</v>
          </cell>
          <cell r="FC47">
            <v>-2102.9183540169824</v>
          </cell>
          <cell r="FF47">
            <v>-2102.9183540169824</v>
          </cell>
          <cell r="FN47">
            <v>0</v>
          </cell>
          <cell r="FO47">
            <v>0</v>
          </cell>
          <cell r="FR47">
            <v>0</v>
          </cell>
          <cell r="FS47">
            <v>0</v>
          </cell>
          <cell r="FT47">
            <v>-2102.9183540169824</v>
          </cell>
          <cell r="FU47">
            <v>2102.9183540169824</v>
          </cell>
          <cell r="FV47">
            <v>0</v>
          </cell>
          <cell r="FW47" t="str">
            <v xml:space="preserve"> accumulated loss</v>
          </cell>
          <cell r="FX47">
            <v>0</v>
          </cell>
          <cell r="FY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 t="e">
            <v>#DIV/0!</v>
          </cell>
          <cell r="GG47">
            <v>0</v>
          </cell>
          <cell r="GH47">
            <v>0</v>
          </cell>
        </row>
        <row r="48">
          <cell r="A48" t="str">
            <v xml:space="preserve"> loss-(equity method)</v>
          </cell>
          <cell r="C48">
            <v>619</v>
          </cell>
          <cell r="G48">
            <v>394</v>
          </cell>
          <cell r="I48">
            <v>1013</v>
          </cell>
          <cell r="U48">
            <v>0</v>
          </cell>
          <cell r="AD48">
            <v>0</v>
          </cell>
          <cell r="AJ48">
            <v>0</v>
          </cell>
          <cell r="AP48">
            <v>0</v>
          </cell>
          <cell r="AR48">
            <v>0</v>
          </cell>
          <cell r="AT48">
            <v>1013</v>
          </cell>
          <cell r="AV48">
            <v>-1013</v>
          </cell>
          <cell r="AX48">
            <v>0</v>
          </cell>
          <cell r="AY48">
            <v>0</v>
          </cell>
          <cell r="AZ48" t="str">
            <v xml:space="preserve"> loss-(equity method)</v>
          </cell>
          <cell r="BC48">
            <v>-1481</v>
          </cell>
          <cell r="BE48">
            <v>0</v>
          </cell>
          <cell r="BG48">
            <v>-3057</v>
          </cell>
          <cell r="BI48">
            <v>-4538</v>
          </cell>
          <cell r="BU48">
            <v>0</v>
          </cell>
          <cell r="BX48">
            <v>0</v>
          </cell>
          <cell r="CD48">
            <v>0</v>
          </cell>
          <cell r="CF48">
            <v>0</v>
          </cell>
          <cell r="CH48">
            <v>0</v>
          </cell>
          <cell r="CJ48">
            <v>0</v>
          </cell>
          <cell r="CP48">
            <v>0</v>
          </cell>
          <cell r="CR48">
            <v>0</v>
          </cell>
          <cell r="CT48">
            <v>-4538</v>
          </cell>
          <cell r="CV48">
            <v>4538</v>
          </cell>
          <cell r="CX48">
            <v>0</v>
          </cell>
          <cell r="FC48">
            <v>-98.7</v>
          </cell>
          <cell r="FE48">
            <v>-2.7999999999224201E-3</v>
          </cell>
          <cell r="FF48">
            <v>-98.702799999999925</v>
          </cell>
          <cell r="FN48">
            <v>0</v>
          </cell>
          <cell r="FO48">
            <v>0</v>
          </cell>
          <cell r="FR48">
            <v>0</v>
          </cell>
          <cell r="FS48">
            <v>0</v>
          </cell>
          <cell r="FT48">
            <v>-98.702799999999925</v>
          </cell>
          <cell r="FU48">
            <v>98.702799999999925</v>
          </cell>
          <cell r="FV48">
            <v>0</v>
          </cell>
          <cell r="FW48" t="str">
            <v xml:space="preserve"> loss-(equity method)</v>
          </cell>
          <cell r="FX48">
            <v>0</v>
          </cell>
          <cell r="FY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 t="e">
            <v>#DIV/0!</v>
          </cell>
          <cell r="GG48">
            <v>0</v>
          </cell>
          <cell r="GH48">
            <v>0</v>
          </cell>
        </row>
        <row r="49">
          <cell r="B49" t="str">
            <v xml:space="preserve">total </v>
          </cell>
          <cell r="C49">
            <v>15388.277</v>
          </cell>
          <cell r="E49">
            <v>0</v>
          </cell>
          <cell r="G49">
            <v>394</v>
          </cell>
          <cell r="I49">
            <v>15782.277</v>
          </cell>
          <cell r="M49">
            <v>0</v>
          </cell>
          <cell r="O49">
            <v>0</v>
          </cell>
          <cell r="Q49">
            <v>0</v>
          </cell>
          <cell r="S49">
            <v>0</v>
          </cell>
          <cell r="U49">
            <v>0</v>
          </cell>
          <cell r="Z49">
            <v>0</v>
          </cell>
          <cell r="AB49">
            <v>0</v>
          </cell>
          <cell r="AD49">
            <v>0</v>
          </cell>
          <cell r="AF49">
            <v>0</v>
          </cell>
          <cell r="AH49">
            <v>0</v>
          </cell>
          <cell r="AJ49">
            <v>0</v>
          </cell>
          <cell r="AL49">
            <v>0</v>
          </cell>
          <cell r="AN49">
            <v>0</v>
          </cell>
          <cell r="AP49">
            <v>0</v>
          </cell>
          <cell r="AR49">
            <v>0</v>
          </cell>
          <cell r="AT49">
            <v>15782.277</v>
          </cell>
          <cell r="AV49">
            <v>-15782.277</v>
          </cell>
          <cell r="AX49">
            <v>0</v>
          </cell>
          <cell r="AY49">
            <v>0</v>
          </cell>
          <cell r="BA49" t="str">
            <v xml:space="preserve">total </v>
          </cell>
          <cell r="BC49">
            <v>59001.54800000001</v>
          </cell>
          <cell r="BE49">
            <v>0</v>
          </cell>
          <cell r="BG49">
            <v>-3057</v>
          </cell>
          <cell r="BI49">
            <v>55944.54800000001</v>
          </cell>
          <cell r="BO49">
            <v>0</v>
          </cell>
          <cell r="BQ49">
            <v>0</v>
          </cell>
          <cell r="BS49">
            <v>0</v>
          </cell>
          <cell r="BU49">
            <v>0</v>
          </cell>
          <cell r="BX49">
            <v>0</v>
          </cell>
          <cell r="BZ49">
            <v>0</v>
          </cell>
          <cell r="CB49">
            <v>0</v>
          </cell>
          <cell r="CD49">
            <v>0</v>
          </cell>
          <cell r="CF49">
            <v>0</v>
          </cell>
          <cell r="CH49">
            <v>0</v>
          </cell>
          <cell r="CJ49">
            <v>0</v>
          </cell>
          <cell r="CL49">
            <v>0</v>
          </cell>
          <cell r="CN49">
            <v>0</v>
          </cell>
          <cell r="CP49">
            <v>0</v>
          </cell>
          <cell r="CR49">
            <v>0</v>
          </cell>
          <cell r="CT49">
            <v>55944.54800000001</v>
          </cell>
          <cell r="CV49">
            <v>-55944.54800000001</v>
          </cell>
          <cell r="CX49">
            <v>0</v>
          </cell>
          <cell r="FC49">
            <v>60924.753977139131</v>
          </cell>
          <cell r="FE49">
            <v>-2.7999999999224201E-3</v>
          </cell>
          <cell r="FF49">
            <v>60924.751177139129</v>
          </cell>
          <cell r="FI49">
            <v>0</v>
          </cell>
          <cell r="FM49">
            <v>0</v>
          </cell>
          <cell r="FN49">
            <v>0</v>
          </cell>
          <cell r="FO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60924.751177139129</v>
          </cell>
          <cell r="FU49">
            <v>-60924.751177139129</v>
          </cell>
          <cell r="FV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 t="e">
            <v>#DIV/0!</v>
          </cell>
          <cell r="GG49">
            <v>0</v>
          </cell>
          <cell r="GH49">
            <v>0</v>
          </cell>
        </row>
        <row r="50">
          <cell r="A50" t="str">
            <v>SSC-shares</v>
          </cell>
          <cell r="B50">
            <v>0.7</v>
          </cell>
          <cell r="C50">
            <v>-3449.24</v>
          </cell>
          <cell r="I50">
            <v>-3449.24</v>
          </cell>
          <cell r="U50">
            <v>0</v>
          </cell>
          <cell r="AD50">
            <v>0</v>
          </cell>
          <cell r="AJ50">
            <v>0</v>
          </cell>
          <cell r="AP50">
            <v>0</v>
          </cell>
          <cell r="AT50">
            <v>-3449.24</v>
          </cell>
          <cell r="AV50">
            <v>3449.24</v>
          </cell>
          <cell r="AX50">
            <v>0</v>
          </cell>
          <cell r="AY50">
            <v>0</v>
          </cell>
          <cell r="AZ50" t="str">
            <v>SSC-shares</v>
          </cell>
          <cell r="BA50">
            <v>0.7</v>
          </cell>
          <cell r="BC50">
            <v>-19594.575000000001</v>
          </cell>
          <cell r="BI50">
            <v>-19594.575000000001</v>
          </cell>
          <cell r="BX50">
            <v>0</v>
          </cell>
          <cell r="CD50">
            <v>0</v>
          </cell>
          <cell r="CJ50">
            <v>0</v>
          </cell>
          <cell r="CP50">
            <v>0</v>
          </cell>
          <cell r="CT50">
            <v>-19594.575000000001</v>
          </cell>
          <cell r="CV50">
            <v>19594.575000000001</v>
          </cell>
          <cell r="CX50">
            <v>0</v>
          </cell>
          <cell r="FC50">
            <v>-20042.392112998041</v>
          </cell>
          <cell r="FF50">
            <v>-20042.392112998041</v>
          </cell>
          <cell r="FN50">
            <v>0</v>
          </cell>
          <cell r="FO50">
            <v>0</v>
          </cell>
          <cell r="FR50">
            <v>0</v>
          </cell>
          <cell r="FS50">
            <v>0</v>
          </cell>
          <cell r="FT50">
            <v>-20042.392112998041</v>
          </cell>
          <cell r="FU50">
            <v>20042.392112998041</v>
          </cell>
          <cell r="FV50">
            <v>0</v>
          </cell>
          <cell r="FW50" t="str">
            <v>SSC-shares</v>
          </cell>
          <cell r="FX50">
            <v>0</v>
          </cell>
          <cell r="FY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 t="e">
            <v>#DIV/0!</v>
          </cell>
          <cell r="GG50">
            <v>0</v>
          </cell>
          <cell r="GH50">
            <v>0</v>
          </cell>
        </row>
        <row r="51">
          <cell r="A51" t="str">
            <v xml:space="preserve"> long term loans</v>
          </cell>
          <cell r="C51">
            <v>260.149</v>
          </cell>
          <cell r="I51">
            <v>260.149</v>
          </cell>
          <cell r="U51">
            <v>0</v>
          </cell>
          <cell r="AD51">
            <v>0</v>
          </cell>
          <cell r="AJ51">
            <v>0</v>
          </cell>
          <cell r="AN51">
            <v>0</v>
          </cell>
          <cell r="AP51">
            <v>0</v>
          </cell>
          <cell r="AT51">
            <v>260.149</v>
          </cell>
          <cell r="AV51">
            <v>-260.149</v>
          </cell>
          <cell r="AX51">
            <v>0</v>
          </cell>
          <cell r="AY51">
            <v>0</v>
          </cell>
          <cell r="AZ51" t="str">
            <v xml:space="preserve"> long term loans</v>
          </cell>
          <cell r="BC51">
            <v>1082.2190000000001</v>
          </cell>
          <cell r="BE51">
            <v>0</v>
          </cell>
          <cell r="BG51">
            <v>0</v>
          </cell>
          <cell r="BI51">
            <v>1082.2190000000001</v>
          </cell>
          <cell r="BX51">
            <v>0</v>
          </cell>
          <cell r="CD51">
            <v>0</v>
          </cell>
          <cell r="CJ51">
            <v>0</v>
          </cell>
          <cell r="CN51">
            <v>0</v>
          </cell>
          <cell r="CP51">
            <v>0</v>
          </cell>
          <cell r="CT51">
            <v>1082.2190000000001</v>
          </cell>
          <cell r="CV51">
            <v>-1082.2190000000001</v>
          </cell>
          <cell r="CX51">
            <v>0</v>
          </cell>
          <cell r="FC51">
            <v>1082.2190000000001</v>
          </cell>
          <cell r="FF51">
            <v>1082.2190000000001</v>
          </cell>
          <cell r="FN51">
            <v>0</v>
          </cell>
          <cell r="FO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1082.2190000000001</v>
          </cell>
          <cell r="FU51">
            <v>-1082.2190000000001</v>
          </cell>
          <cell r="FV51">
            <v>0</v>
          </cell>
          <cell r="FW51" t="str">
            <v xml:space="preserve"> long term loans</v>
          </cell>
          <cell r="FX51">
            <v>0</v>
          </cell>
          <cell r="FY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 t="e">
            <v>#DIV/0!</v>
          </cell>
          <cell r="GG51">
            <v>0</v>
          </cell>
          <cell r="GH51">
            <v>0</v>
          </cell>
        </row>
        <row r="52">
          <cell r="A52" t="str">
            <v xml:space="preserve"> accumulated profit</v>
          </cell>
          <cell r="C52">
            <v>5869</v>
          </cell>
          <cell r="G52">
            <v>0</v>
          </cell>
          <cell r="I52">
            <v>5869</v>
          </cell>
          <cell r="U52">
            <v>0</v>
          </cell>
          <cell r="AD52">
            <v>0</v>
          </cell>
          <cell r="AJ52">
            <v>0</v>
          </cell>
          <cell r="AP52">
            <v>0</v>
          </cell>
          <cell r="AT52">
            <v>5869</v>
          </cell>
          <cell r="AV52">
            <v>-5869</v>
          </cell>
          <cell r="AX52">
            <v>0</v>
          </cell>
          <cell r="AY52">
            <v>0</v>
          </cell>
          <cell r="AZ52" t="str">
            <v xml:space="preserve"> accumulated profit</v>
          </cell>
          <cell r="BC52">
            <v>8021</v>
          </cell>
          <cell r="BG52">
            <v>0</v>
          </cell>
          <cell r="BI52">
            <v>8021</v>
          </cell>
          <cell r="BX52">
            <v>0</v>
          </cell>
          <cell r="CD52">
            <v>0</v>
          </cell>
          <cell r="CJ52">
            <v>0</v>
          </cell>
          <cell r="CP52">
            <v>0</v>
          </cell>
          <cell r="CT52">
            <v>8021</v>
          </cell>
          <cell r="CV52">
            <v>-8021</v>
          </cell>
          <cell r="CX52">
            <v>0</v>
          </cell>
          <cell r="FC52">
            <v>34674.25604180275</v>
          </cell>
          <cell r="FF52">
            <v>34674.25604180275</v>
          </cell>
          <cell r="FN52">
            <v>0</v>
          </cell>
          <cell r="FO52">
            <v>0</v>
          </cell>
          <cell r="FR52">
            <v>0</v>
          </cell>
          <cell r="FS52">
            <v>0</v>
          </cell>
          <cell r="FT52">
            <v>34674.25604180275</v>
          </cell>
          <cell r="FU52">
            <v>-34674.25604180275</v>
          </cell>
          <cell r="FV52">
            <v>0</v>
          </cell>
          <cell r="FW52" t="str">
            <v xml:space="preserve"> accumulated profit</v>
          </cell>
          <cell r="FX52">
            <v>0</v>
          </cell>
          <cell r="FY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 t="e">
            <v>#DIV/0!</v>
          </cell>
          <cell r="GG52">
            <v>0</v>
          </cell>
          <cell r="GH52">
            <v>0</v>
          </cell>
        </row>
        <row r="53">
          <cell r="A53" t="str">
            <v xml:space="preserve"> profit-(equity method)</v>
          </cell>
          <cell r="C53">
            <v>4191</v>
          </cell>
          <cell r="G53">
            <v>874</v>
          </cell>
          <cell r="I53">
            <v>5065</v>
          </cell>
          <cell r="U53">
            <v>0</v>
          </cell>
          <cell r="AD53">
            <v>0</v>
          </cell>
          <cell r="AJ53">
            <v>0</v>
          </cell>
          <cell r="AP53">
            <v>0</v>
          </cell>
          <cell r="AT53">
            <v>5065</v>
          </cell>
          <cell r="AV53">
            <v>-5065</v>
          </cell>
          <cell r="AX53">
            <v>0</v>
          </cell>
          <cell r="AY53">
            <v>0</v>
          </cell>
          <cell r="AZ53" t="str">
            <v xml:space="preserve"> profit-(equity method)</v>
          </cell>
          <cell r="BC53">
            <v>8778</v>
          </cell>
          <cell r="BG53">
            <v>6822</v>
          </cell>
          <cell r="BI53">
            <v>15600</v>
          </cell>
          <cell r="BX53">
            <v>0</v>
          </cell>
          <cell r="CD53">
            <v>0</v>
          </cell>
          <cell r="CJ53">
            <v>0</v>
          </cell>
          <cell r="CP53">
            <v>0</v>
          </cell>
          <cell r="CT53">
            <v>15600</v>
          </cell>
          <cell r="CV53">
            <v>-15600</v>
          </cell>
          <cell r="CX53">
            <v>0</v>
          </cell>
          <cell r="FC53">
            <v>16984.099999999999</v>
          </cell>
          <cell r="FE53">
            <v>1.2474000000038359</v>
          </cell>
          <cell r="FF53">
            <v>16985.347400000002</v>
          </cell>
          <cell r="FN53">
            <v>0</v>
          </cell>
          <cell r="FO53">
            <v>0</v>
          </cell>
          <cell r="FR53">
            <v>0</v>
          </cell>
          <cell r="FS53">
            <v>0</v>
          </cell>
          <cell r="FT53">
            <v>16985.347400000002</v>
          </cell>
          <cell r="FU53">
            <v>-16985.347400000002</v>
          </cell>
          <cell r="FV53">
            <v>0</v>
          </cell>
          <cell r="FW53" t="str">
            <v xml:space="preserve"> profit-(equity method)</v>
          </cell>
          <cell r="FX53">
            <v>0</v>
          </cell>
          <cell r="FY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 t="e">
            <v>#DIV/0!</v>
          </cell>
          <cell r="GG53">
            <v>0</v>
          </cell>
          <cell r="GH53">
            <v>0</v>
          </cell>
        </row>
        <row r="54">
          <cell r="B54" t="str">
            <v xml:space="preserve">total </v>
          </cell>
          <cell r="C54">
            <v>6870.9089999999997</v>
          </cell>
          <cell r="E54">
            <v>0</v>
          </cell>
          <cell r="G54">
            <v>874</v>
          </cell>
          <cell r="I54">
            <v>7744.9089999999997</v>
          </cell>
          <cell r="M54">
            <v>0</v>
          </cell>
          <cell r="O54">
            <v>0</v>
          </cell>
          <cell r="Q54">
            <v>0</v>
          </cell>
          <cell r="S54">
            <v>0</v>
          </cell>
          <cell r="U54">
            <v>0</v>
          </cell>
          <cell r="Z54">
            <v>0</v>
          </cell>
          <cell r="AB54">
            <v>0</v>
          </cell>
          <cell r="AD54">
            <v>0</v>
          </cell>
          <cell r="AF54">
            <v>0</v>
          </cell>
          <cell r="AH54">
            <v>0</v>
          </cell>
          <cell r="AJ54">
            <v>0</v>
          </cell>
          <cell r="AL54">
            <v>0</v>
          </cell>
          <cell r="AN54">
            <v>0</v>
          </cell>
          <cell r="AP54">
            <v>0</v>
          </cell>
          <cell r="AR54">
            <v>0</v>
          </cell>
          <cell r="AT54">
            <v>7744.9089999999997</v>
          </cell>
          <cell r="AV54">
            <v>-7744.9089999999997</v>
          </cell>
          <cell r="AX54">
            <v>0</v>
          </cell>
          <cell r="AY54">
            <v>0</v>
          </cell>
          <cell r="BA54" t="str">
            <v xml:space="preserve">total </v>
          </cell>
          <cell r="BC54">
            <v>-1713.3559999999998</v>
          </cell>
          <cell r="BE54">
            <v>0</v>
          </cell>
          <cell r="BG54">
            <v>6822</v>
          </cell>
          <cell r="BI54">
            <v>5108.6440000000002</v>
          </cell>
          <cell r="BO54">
            <v>0</v>
          </cell>
          <cell r="BQ54">
            <v>0</v>
          </cell>
          <cell r="BS54">
            <v>0</v>
          </cell>
          <cell r="BU54">
            <v>0</v>
          </cell>
          <cell r="BX54">
            <v>0</v>
          </cell>
          <cell r="BZ54">
            <v>0</v>
          </cell>
          <cell r="CB54">
            <v>0</v>
          </cell>
          <cell r="CD54">
            <v>0</v>
          </cell>
          <cell r="CF54">
            <v>0</v>
          </cell>
          <cell r="CH54">
            <v>0</v>
          </cell>
          <cell r="CJ54">
            <v>0</v>
          </cell>
          <cell r="CL54">
            <v>0</v>
          </cell>
          <cell r="CN54">
            <v>0</v>
          </cell>
          <cell r="CP54">
            <v>0</v>
          </cell>
          <cell r="CR54">
            <v>0</v>
          </cell>
          <cell r="CT54">
            <v>5108.6440000000002</v>
          </cell>
          <cell r="CV54">
            <v>-5108.6440000000002</v>
          </cell>
          <cell r="CX54">
            <v>0</v>
          </cell>
          <cell r="FC54">
            <v>32698.182928804708</v>
          </cell>
          <cell r="FE54">
            <v>1.2474000000038359</v>
          </cell>
          <cell r="FF54">
            <v>32699.430328804712</v>
          </cell>
          <cell r="FI54">
            <v>0</v>
          </cell>
          <cell r="FM54">
            <v>0</v>
          </cell>
          <cell r="FN54">
            <v>0</v>
          </cell>
          <cell r="FO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32699.430328804712</v>
          </cell>
          <cell r="FU54">
            <v>-32699.430328804712</v>
          </cell>
          <cell r="FV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 t="e">
            <v>#DIV/0!</v>
          </cell>
          <cell r="GG54">
            <v>0</v>
          </cell>
          <cell r="GH54">
            <v>0</v>
          </cell>
        </row>
        <row r="55">
          <cell r="A55" t="str">
            <v>TELEM-shares</v>
          </cell>
          <cell r="B55">
            <v>0.67449999999999999</v>
          </cell>
          <cell r="AD55">
            <v>0</v>
          </cell>
          <cell r="AJ55">
            <v>0</v>
          </cell>
          <cell r="AP55">
            <v>0</v>
          </cell>
          <cell r="AT55">
            <v>0</v>
          </cell>
          <cell r="AV55">
            <v>0</v>
          </cell>
          <cell r="AX55">
            <v>0</v>
          </cell>
          <cell r="AY55">
            <v>0</v>
          </cell>
          <cell r="AZ55" t="str">
            <v>TELEM-shares</v>
          </cell>
          <cell r="BA55">
            <v>0.67449999999999999</v>
          </cell>
          <cell r="BG55">
            <v>0</v>
          </cell>
          <cell r="BI55">
            <v>0</v>
          </cell>
          <cell r="BX55">
            <v>0</v>
          </cell>
          <cell r="CD55">
            <v>0</v>
          </cell>
          <cell r="CH55">
            <v>0</v>
          </cell>
          <cell r="CJ55">
            <v>0</v>
          </cell>
          <cell r="CP55">
            <v>0</v>
          </cell>
          <cell r="CT55">
            <v>0</v>
          </cell>
          <cell r="CV55">
            <v>0</v>
          </cell>
          <cell r="CX55">
            <v>0</v>
          </cell>
          <cell r="FN55">
            <v>0</v>
          </cell>
          <cell r="FO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 t="str">
            <v>TELEM-shares</v>
          </cell>
          <cell r="FX55">
            <v>0</v>
          </cell>
          <cell r="FY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 t="e">
            <v>#DIV/0!</v>
          </cell>
          <cell r="GG55">
            <v>0</v>
          </cell>
          <cell r="GH55">
            <v>0</v>
          </cell>
        </row>
        <row r="56">
          <cell r="A56" t="str">
            <v xml:space="preserve"> long term loans</v>
          </cell>
          <cell r="C56">
            <v>909.452</v>
          </cell>
          <cell r="I56">
            <v>909.452</v>
          </cell>
          <cell r="U56">
            <v>0</v>
          </cell>
          <cell r="AD56">
            <v>0</v>
          </cell>
          <cell r="AH56">
            <v>0</v>
          </cell>
          <cell r="AJ56">
            <v>0</v>
          </cell>
          <cell r="AN56">
            <v>0</v>
          </cell>
          <cell r="AP56">
            <v>0</v>
          </cell>
          <cell r="AT56">
            <v>909.452</v>
          </cell>
          <cell r="AV56">
            <v>-909.452</v>
          </cell>
          <cell r="AX56">
            <v>0</v>
          </cell>
          <cell r="AY56">
            <v>0</v>
          </cell>
          <cell r="AZ56" t="str">
            <v xml:space="preserve"> long term loans</v>
          </cell>
          <cell r="BC56">
            <v>3783.3209999999999</v>
          </cell>
          <cell r="BI56">
            <v>3783.3209999999999</v>
          </cell>
          <cell r="BU56">
            <v>0</v>
          </cell>
          <cell r="BX56">
            <v>0</v>
          </cell>
          <cell r="CD56">
            <v>0</v>
          </cell>
          <cell r="CH56">
            <v>0</v>
          </cell>
          <cell r="CJ56">
            <v>0</v>
          </cell>
          <cell r="CN56">
            <v>0</v>
          </cell>
          <cell r="CP56">
            <v>0</v>
          </cell>
          <cell r="CT56">
            <v>3783.3209999999999</v>
          </cell>
          <cell r="CV56">
            <v>-3783.3209999999999</v>
          </cell>
          <cell r="CX56">
            <v>0</v>
          </cell>
          <cell r="FC56">
            <v>3783.3209999999999</v>
          </cell>
          <cell r="FF56">
            <v>3783.3209999999999</v>
          </cell>
          <cell r="FN56">
            <v>0</v>
          </cell>
          <cell r="FO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3783.3209999999999</v>
          </cell>
          <cell r="FU56">
            <v>-3783.3209999999999</v>
          </cell>
          <cell r="FV56">
            <v>0</v>
          </cell>
          <cell r="FW56" t="str">
            <v xml:space="preserve"> long term loans</v>
          </cell>
          <cell r="FX56">
            <v>0</v>
          </cell>
          <cell r="FY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 t="e">
            <v>#DIV/0!</v>
          </cell>
          <cell r="GG56">
            <v>0</v>
          </cell>
          <cell r="GH56">
            <v>0</v>
          </cell>
        </row>
        <row r="57">
          <cell r="A57" t="str">
            <v xml:space="preserve"> accumulated profit</v>
          </cell>
          <cell r="AD57">
            <v>0</v>
          </cell>
          <cell r="AF57">
            <v>8569.1759999999995</v>
          </cell>
          <cell r="AH57">
            <v>-4927.4849999999997</v>
          </cell>
          <cell r="AJ57">
            <v>3641.6909999999998</v>
          </cell>
          <cell r="AN57">
            <v>-3641.6909999999998</v>
          </cell>
          <cell r="AP57">
            <v>0</v>
          </cell>
          <cell r="AT57">
            <v>0</v>
          </cell>
          <cell r="AX57">
            <v>0</v>
          </cell>
          <cell r="AY57">
            <v>0</v>
          </cell>
          <cell r="AZ57" t="str">
            <v xml:space="preserve"> accumulated profit</v>
          </cell>
          <cell r="BI57">
            <v>0</v>
          </cell>
          <cell r="BU57">
            <v>0</v>
          </cell>
          <cell r="BX57">
            <v>0</v>
          </cell>
          <cell r="CD57">
            <v>0</v>
          </cell>
          <cell r="CF57">
            <v>4915.79</v>
          </cell>
          <cell r="CH57">
            <v>-20572</v>
          </cell>
          <cell r="CJ57">
            <v>-15656.21</v>
          </cell>
          <cell r="CN57">
            <v>15656.21</v>
          </cell>
          <cell r="CP57">
            <v>0</v>
          </cell>
          <cell r="CT57">
            <v>0</v>
          </cell>
          <cell r="CX57">
            <v>0</v>
          </cell>
          <cell r="FF57">
            <v>0</v>
          </cell>
          <cell r="FN57">
            <v>0</v>
          </cell>
          <cell r="FO57">
            <v>21517.448000000004</v>
          </cell>
          <cell r="FQ57">
            <v>-21517.448000000004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 t="str">
            <v xml:space="preserve"> accumulated profit</v>
          </cell>
          <cell r="FX57">
            <v>0</v>
          </cell>
          <cell r="FY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 t="e">
            <v>#DIV/0!</v>
          </cell>
          <cell r="GG57">
            <v>0</v>
          </cell>
          <cell r="GH57">
            <v>0</v>
          </cell>
          <cell r="HI57">
            <v>159.30000000000001</v>
          </cell>
          <cell r="HJ57">
            <v>153.1</v>
          </cell>
          <cell r="HK57">
            <v>129.4</v>
          </cell>
        </row>
        <row r="58">
          <cell r="A58" t="str">
            <v xml:space="preserve"> profit-(equity method)</v>
          </cell>
          <cell r="AD58">
            <v>0</v>
          </cell>
          <cell r="AH58">
            <v>7257</v>
          </cell>
          <cell r="AJ58">
            <v>7257</v>
          </cell>
          <cell r="AN58">
            <v>-7257</v>
          </cell>
          <cell r="AP58">
            <v>0</v>
          </cell>
          <cell r="AT58">
            <v>0</v>
          </cell>
          <cell r="AX58">
            <v>0</v>
          </cell>
          <cell r="AY58">
            <v>0</v>
          </cell>
          <cell r="AZ58" t="str">
            <v xml:space="preserve"> profit-(equity method)</v>
          </cell>
          <cell r="BI58">
            <v>0</v>
          </cell>
          <cell r="BU58">
            <v>0</v>
          </cell>
          <cell r="BX58">
            <v>0</v>
          </cell>
          <cell r="CD58">
            <v>0</v>
          </cell>
          <cell r="CH58">
            <v>22520.205999999998</v>
          </cell>
          <cell r="CJ58">
            <v>22520.205999999998</v>
          </cell>
          <cell r="CN58">
            <v>-22520.205999999998</v>
          </cell>
          <cell r="CP58">
            <v>0</v>
          </cell>
          <cell r="CT58">
            <v>0</v>
          </cell>
          <cell r="CX58">
            <v>0</v>
          </cell>
          <cell r="FF58">
            <v>0</v>
          </cell>
          <cell r="FN58">
            <v>0</v>
          </cell>
          <cell r="FO58">
            <v>24478.456219</v>
          </cell>
          <cell r="FQ58">
            <v>-24478.456219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 t="str">
            <v xml:space="preserve"> profit-(equity method)</v>
          </cell>
          <cell r="FX58">
            <v>0</v>
          </cell>
          <cell r="FY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 t="e">
            <v>#DIV/0!</v>
          </cell>
          <cell r="GG58">
            <v>0</v>
          </cell>
          <cell r="GH58">
            <v>0</v>
          </cell>
        </row>
        <row r="59">
          <cell r="A59" t="str">
            <v xml:space="preserve"> goodwill</v>
          </cell>
          <cell r="AD59">
            <v>0</v>
          </cell>
          <cell r="AF59">
            <v>87.563000000000002</v>
          </cell>
          <cell r="AJ59">
            <v>87.563000000000002</v>
          </cell>
          <cell r="AP59">
            <v>87.563000000000002</v>
          </cell>
          <cell r="AT59">
            <v>87.563000000000002</v>
          </cell>
          <cell r="AV59">
            <v>-87.563000000000002</v>
          </cell>
          <cell r="AX59">
            <v>0</v>
          </cell>
          <cell r="AY59">
            <v>0</v>
          </cell>
          <cell r="AZ59" t="str">
            <v xml:space="preserve"> goodwill</v>
          </cell>
          <cell r="BU59">
            <v>0</v>
          </cell>
          <cell r="BX59">
            <v>0</v>
          </cell>
          <cell r="CD59">
            <v>0</v>
          </cell>
          <cell r="CF59">
            <v>203.32400000000001</v>
          </cell>
          <cell r="CJ59">
            <v>203.32400000000001</v>
          </cell>
          <cell r="CP59">
            <v>203.32400000000001</v>
          </cell>
          <cell r="CT59">
            <v>203.32400000000001</v>
          </cell>
          <cell r="CV59">
            <v>-203.32400000000001</v>
          </cell>
          <cell r="CX59">
            <v>0</v>
          </cell>
          <cell r="FF59">
            <v>0</v>
          </cell>
          <cell r="FN59">
            <v>0</v>
          </cell>
          <cell r="FO59">
            <v>383.92899999999997</v>
          </cell>
          <cell r="FR59">
            <v>383.92899999999997</v>
          </cell>
          <cell r="FS59">
            <v>0</v>
          </cell>
          <cell r="FT59">
            <v>383.92899999999997</v>
          </cell>
          <cell r="FU59">
            <v>-383.92899999999997</v>
          </cell>
          <cell r="FV59">
            <v>0</v>
          </cell>
          <cell r="FW59" t="str">
            <v xml:space="preserve"> goodwill</v>
          </cell>
          <cell r="FX59">
            <v>0</v>
          </cell>
          <cell r="FY59">
            <v>383.92899999999997</v>
          </cell>
          <cell r="FZ59">
            <v>-383.92899999999997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 t="e">
            <v>#DIV/0!</v>
          </cell>
          <cell r="GG59">
            <v>508.35009797517972</v>
          </cell>
          <cell r="GH59">
            <v>0</v>
          </cell>
        </row>
        <row r="60">
          <cell r="B60" t="str">
            <v xml:space="preserve">total </v>
          </cell>
          <cell r="C60">
            <v>909.452</v>
          </cell>
          <cell r="E60">
            <v>0</v>
          </cell>
          <cell r="G60">
            <v>0</v>
          </cell>
          <cell r="I60">
            <v>909.452</v>
          </cell>
          <cell r="M60">
            <v>0</v>
          </cell>
          <cell r="O60">
            <v>0</v>
          </cell>
          <cell r="Q60">
            <v>0</v>
          </cell>
          <cell r="S60">
            <v>0</v>
          </cell>
          <cell r="U60">
            <v>0</v>
          </cell>
          <cell r="Z60">
            <v>0</v>
          </cell>
          <cell r="AB60">
            <v>0</v>
          </cell>
          <cell r="AD60">
            <v>0</v>
          </cell>
          <cell r="AF60">
            <v>8656.7389999999996</v>
          </cell>
          <cell r="AH60">
            <v>2329.5149999999999</v>
          </cell>
          <cell r="AJ60">
            <v>10986.253999999999</v>
          </cell>
          <cell r="AN60">
            <v>-10898.690999999999</v>
          </cell>
          <cell r="AP60">
            <v>87.563000000000002</v>
          </cell>
          <cell r="AR60">
            <v>0</v>
          </cell>
          <cell r="AT60">
            <v>997.01499999999999</v>
          </cell>
          <cell r="AV60">
            <v>-997.01499999999999</v>
          </cell>
          <cell r="AX60">
            <v>0</v>
          </cell>
          <cell r="AY60">
            <v>0</v>
          </cell>
          <cell r="BA60" t="str">
            <v xml:space="preserve">total </v>
          </cell>
          <cell r="BC60">
            <v>3783.3209999999999</v>
          </cell>
          <cell r="BE60">
            <v>0</v>
          </cell>
          <cell r="BG60">
            <v>0</v>
          </cell>
          <cell r="BI60">
            <v>3783.3209999999999</v>
          </cell>
          <cell r="BO60">
            <v>0</v>
          </cell>
          <cell r="BQ60">
            <v>0</v>
          </cell>
          <cell r="BS60">
            <v>0</v>
          </cell>
          <cell r="BU60">
            <v>0</v>
          </cell>
          <cell r="BX60">
            <v>0</v>
          </cell>
          <cell r="BZ60">
            <v>0</v>
          </cell>
          <cell r="CB60">
            <v>0</v>
          </cell>
          <cell r="CD60">
            <v>0</v>
          </cell>
          <cell r="CF60">
            <v>5119.1140000000005</v>
          </cell>
          <cell r="CH60">
            <v>1948.2059999999983</v>
          </cell>
          <cell r="CJ60">
            <v>7067.32</v>
          </cell>
          <cell r="CL60">
            <v>0</v>
          </cell>
          <cell r="CN60">
            <v>-6863.9959999999992</v>
          </cell>
          <cell r="CP60">
            <v>203.32400000000001</v>
          </cell>
          <cell r="CR60">
            <v>0</v>
          </cell>
          <cell r="CT60">
            <v>3986.645</v>
          </cell>
          <cell r="CV60">
            <v>-3986.645</v>
          </cell>
          <cell r="CX60">
            <v>0</v>
          </cell>
          <cell r="FC60">
            <v>3783.3209999999999</v>
          </cell>
          <cell r="FE60">
            <v>0</v>
          </cell>
          <cell r="FF60">
            <v>3783.3209999999999</v>
          </cell>
          <cell r="FI60">
            <v>0</v>
          </cell>
          <cell r="FM60">
            <v>0</v>
          </cell>
          <cell r="FN60">
            <v>0</v>
          </cell>
          <cell r="FO60">
            <v>46379.833219</v>
          </cell>
          <cell r="FQ60">
            <v>-45995.904219000004</v>
          </cell>
          <cell r="FR60">
            <v>383.92899999999645</v>
          </cell>
          <cell r="FS60">
            <v>0</v>
          </cell>
          <cell r="FT60">
            <v>4167.25</v>
          </cell>
          <cell r="FU60">
            <v>-4167.25</v>
          </cell>
          <cell r="FV60">
            <v>0</v>
          </cell>
          <cell r="FX60">
            <v>0</v>
          </cell>
          <cell r="FY60">
            <v>383.92899999999997</v>
          </cell>
          <cell r="FZ60">
            <v>-383.92899999999997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 t="e">
            <v>#DIV/0!</v>
          </cell>
          <cell r="GG60">
            <v>508.35009797517972</v>
          </cell>
          <cell r="GH60">
            <v>0</v>
          </cell>
        </row>
        <row r="61">
          <cell r="A61" t="str">
            <v>EDOM-shares</v>
          </cell>
          <cell r="B61">
            <v>0.7</v>
          </cell>
          <cell r="Q61">
            <v>0.22800000000000001</v>
          </cell>
          <cell r="U61">
            <v>0.22800000000000001</v>
          </cell>
          <cell r="AD61">
            <v>0.22800000000000001</v>
          </cell>
          <cell r="AJ61">
            <v>0</v>
          </cell>
          <cell r="AP61">
            <v>0</v>
          </cell>
          <cell r="AT61">
            <v>0.22800000000000001</v>
          </cell>
          <cell r="AX61">
            <v>0.22800000000000001</v>
          </cell>
          <cell r="AY61">
            <v>0</v>
          </cell>
          <cell r="AZ61" t="str">
            <v>EDOM-shares</v>
          </cell>
          <cell r="BA61">
            <v>0.7</v>
          </cell>
          <cell r="BQ61">
            <v>0.7</v>
          </cell>
          <cell r="BU61">
            <v>0.7</v>
          </cell>
          <cell r="BX61">
            <v>0</v>
          </cell>
          <cell r="CB61">
            <v>-0.7</v>
          </cell>
          <cell r="CD61">
            <v>0</v>
          </cell>
          <cell r="CT61">
            <v>0</v>
          </cell>
          <cell r="CX61">
            <v>0</v>
          </cell>
          <cell r="FI61">
            <v>0.86099999999999999</v>
          </cell>
          <cell r="FM61">
            <v>-0.86099999999999999</v>
          </cell>
          <cell r="FN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 t="str">
            <v>EDOM-shares</v>
          </cell>
          <cell r="FX61">
            <v>0</v>
          </cell>
          <cell r="FY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</row>
        <row r="62">
          <cell r="A62" t="str">
            <v xml:space="preserve"> long term loans</v>
          </cell>
          <cell r="Q62">
            <v>1233.5160000000001</v>
          </cell>
          <cell r="S62">
            <v>-186.898</v>
          </cell>
          <cell r="U62">
            <v>1046.6180000000002</v>
          </cell>
          <cell r="AB62">
            <v>-1046.6180000000002</v>
          </cell>
          <cell r="AD62">
            <v>0</v>
          </cell>
          <cell r="AJ62">
            <v>0</v>
          </cell>
          <cell r="AP62">
            <v>0</v>
          </cell>
          <cell r="AT62">
            <v>0</v>
          </cell>
          <cell r="AX62">
            <v>0</v>
          </cell>
          <cell r="AY62">
            <v>0</v>
          </cell>
          <cell r="AZ62" t="str">
            <v xml:space="preserve"> long term loans</v>
          </cell>
          <cell r="BQ62">
            <v>4353.9319999999998</v>
          </cell>
          <cell r="BU62">
            <v>4353.9319999999998</v>
          </cell>
          <cell r="BX62">
            <v>0</v>
          </cell>
          <cell r="CB62">
            <v>-4353.9319999999998</v>
          </cell>
          <cell r="CD62">
            <v>0</v>
          </cell>
          <cell r="CT62">
            <v>0</v>
          </cell>
          <cell r="CX62">
            <v>0</v>
          </cell>
          <cell r="FF62">
            <v>0</v>
          </cell>
          <cell r="FI62">
            <v>4352.9319999999998</v>
          </cell>
          <cell r="FM62">
            <v>-4352.9319999999998</v>
          </cell>
          <cell r="FN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 t="str">
            <v xml:space="preserve"> long term loans</v>
          </cell>
          <cell r="FX62">
            <v>0</v>
          </cell>
          <cell r="FY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 t="e">
            <v>#DIV/0!</v>
          </cell>
          <cell r="GG62">
            <v>0</v>
          </cell>
          <cell r="GH62">
            <v>0</v>
          </cell>
          <cell r="GT62" t="str">
            <v xml:space="preserve">דוח דולר  </v>
          </cell>
        </row>
        <row r="63">
          <cell r="A63" t="str">
            <v xml:space="preserve"> accumulated profit</v>
          </cell>
          <cell r="Q63">
            <v>120</v>
          </cell>
          <cell r="U63">
            <v>120</v>
          </cell>
          <cell r="AB63">
            <v>-120</v>
          </cell>
          <cell r="AD63">
            <v>0</v>
          </cell>
          <cell r="AJ63">
            <v>0</v>
          </cell>
          <cell r="AP63">
            <v>0</v>
          </cell>
          <cell r="AT63">
            <v>0</v>
          </cell>
          <cell r="AX63">
            <v>0</v>
          </cell>
          <cell r="AY63">
            <v>0</v>
          </cell>
          <cell r="AZ63" t="str">
            <v xml:space="preserve"> accumulated profit</v>
          </cell>
          <cell r="BQ63">
            <v>103.145</v>
          </cell>
          <cell r="BU63">
            <v>103.145</v>
          </cell>
          <cell r="BX63">
            <v>0</v>
          </cell>
          <cell r="CB63">
            <v>-103.145</v>
          </cell>
          <cell r="CD63">
            <v>0</v>
          </cell>
          <cell r="CT63">
            <v>0</v>
          </cell>
          <cell r="CX63">
            <v>0</v>
          </cell>
          <cell r="FF63">
            <v>0</v>
          </cell>
          <cell r="FI63">
            <v>438.38400000000001</v>
          </cell>
          <cell r="FM63">
            <v>-438.38400000000001</v>
          </cell>
          <cell r="FN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 t="str">
            <v xml:space="preserve"> accumulated profit</v>
          </cell>
          <cell r="FX63">
            <v>0</v>
          </cell>
          <cell r="FY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 t="e">
            <v>#DIV/0!</v>
          </cell>
          <cell r="GG63">
            <v>0</v>
          </cell>
          <cell r="GH63">
            <v>0</v>
          </cell>
        </row>
        <row r="64">
          <cell r="A64" t="str">
            <v xml:space="preserve"> profit-(equity method)</v>
          </cell>
          <cell r="Q64">
            <v>165.3738153846154</v>
          </cell>
          <cell r="U64">
            <v>165.3738153846154</v>
          </cell>
          <cell r="AB64">
            <v>-165.3738153846154</v>
          </cell>
          <cell r="AD64">
            <v>0</v>
          </cell>
          <cell r="AJ64">
            <v>0</v>
          </cell>
          <cell r="AP64">
            <v>0</v>
          </cell>
          <cell r="AT64">
            <v>0</v>
          </cell>
          <cell r="AX64">
            <v>0</v>
          </cell>
          <cell r="AY64">
            <v>0</v>
          </cell>
          <cell r="AZ64" t="str">
            <v xml:space="preserve"> profit-(equity method)</v>
          </cell>
          <cell r="BQ64">
            <v>436</v>
          </cell>
          <cell r="BU64">
            <v>436</v>
          </cell>
          <cell r="BX64">
            <v>0</v>
          </cell>
          <cell r="CB64">
            <v>-436</v>
          </cell>
          <cell r="CD64">
            <v>0</v>
          </cell>
          <cell r="CT64">
            <v>0</v>
          </cell>
          <cell r="CX64">
            <v>0</v>
          </cell>
          <cell r="FF64">
            <v>0</v>
          </cell>
          <cell r="FI64">
            <v>546</v>
          </cell>
          <cell r="FM64">
            <v>-546</v>
          </cell>
          <cell r="FN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 t="str">
            <v xml:space="preserve"> profit-(equity method)</v>
          </cell>
          <cell r="FX64">
            <v>0</v>
          </cell>
          <cell r="FY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 t="e">
            <v>#DIV/0!</v>
          </cell>
          <cell r="GG64">
            <v>0</v>
          </cell>
          <cell r="GH64">
            <v>0</v>
          </cell>
          <cell r="HD64" t="str">
            <v xml:space="preserve"> דוח  מותאם למדד</v>
          </cell>
        </row>
        <row r="65">
          <cell r="C65">
            <v>0</v>
          </cell>
          <cell r="E65">
            <v>0</v>
          </cell>
          <cell r="G65">
            <v>0</v>
          </cell>
          <cell r="I65">
            <v>0</v>
          </cell>
          <cell r="M65">
            <v>0</v>
          </cell>
          <cell r="O65">
            <v>0</v>
          </cell>
          <cell r="Q65">
            <v>1519.1178153846156</v>
          </cell>
          <cell r="S65">
            <v>-186.898</v>
          </cell>
          <cell r="U65">
            <v>1332.2198153846157</v>
          </cell>
          <cell r="Z65">
            <v>0</v>
          </cell>
          <cell r="AB65">
            <v>-1331.9918153846156</v>
          </cell>
          <cell r="AD65">
            <v>0.22800000000000001</v>
          </cell>
          <cell r="AF65">
            <v>0</v>
          </cell>
          <cell r="AH65">
            <v>0</v>
          </cell>
          <cell r="AJ65">
            <v>0</v>
          </cell>
          <cell r="AL65">
            <v>0</v>
          </cell>
          <cell r="AN65">
            <v>0</v>
          </cell>
          <cell r="AP65">
            <v>0</v>
          </cell>
          <cell r="AR65">
            <v>0</v>
          </cell>
          <cell r="AT65">
            <v>0.22800000000000001</v>
          </cell>
          <cell r="AV65">
            <v>0</v>
          </cell>
          <cell r="AX65">
            <v>0.22800000000000001</v>
          </cell>
          <cell r="AY65">
            <v>0</v>
          </cell>
          <cell r="BC65">
            <v>0</v>
          </cell>
          <cell r="BE65">
            <v>0</v>
          </cell>
          <cell r="BG65">
            <v>0</v>
          </cell>
          <cell r="BI65">
            <v>0</v>
          </cell>
          <cell r="BO65">
            <v>0</v>
          </cell>
          <cell r="BQ65">
            <v>4893.777</v>
          </cell>
          <cell r="BS65">
            <v>0</v>
          </cell>
          <cell r="BU65">
            <v>4893.777</v>
          </cell>
          <cell r="BX65">
            <v>0</v>
          </cell>
          <cell r="BZ65">
            <v>0</v>
          </cell>
          <cell r="CB65">
            <v>-4893.777</v>
          </cell>
          <cell r="CD65">
            <v>0</v>
          </cell>
          <cell r="CF65">
            <v>0</v>
          </cell>
          <cell r="CH65">
            <v>0</v>
          </cell>
          <cell r="CJ65">
            <v>0</v>
          </cell>
          <cell r="CL65">
            <v>0</v>
          </cell>
          <cell r="CN65">
            <v>0</v>
          </cell>
          <cell r="CP65">
            <v>0</v>
          </cell>
          <cell r="CR65">
            <v>0</v>
          </cell>
          <cell r="CT65">
            <v>0</v>
          </cell>
          <cell r="CV65">
            <v>0</v>
          </cell>
          <cell r="CX65">
            <v>0</v>
          </cell>
          <cell r="FC65">
            <v>0</v>
          </cell>
          <cell r="FE65">
            <v>0</v>
          </cell>
          <cell r="FF65">
            <v>0</v>
          </cell>
          <cell r="FI65">
            <v>5338.1769999999997</v>
          </cell>
          <cell r="FM65">
            <v>-5338.1769999999997</v>
          </cell>
          <cell r="FN65">
            <v>0</v>
          </cell>
          <cell r="FO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</row>
        <row r="66">
          <cell r="FX66">
            <v>0</v>
          </cell>
          <cell r="FY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</row>
        <row r="67">
          <cell r="A67" t="str">
            <v>NETCOM</v>
          </cell>
          <cell r="B67">
            <v>0.5</v>
          </cell>
          <cell r="C67">
            <v>3585</v>
          </cell>
          <cell r="G67">
            <v>-1084.5</v>
          </cell>
          <cell r="I67">
            <v>2500.5</v>
          </cell>
          <cell r="U67">
            <v>0</v>
          </cell>
          <cell r="AD67">
            <v>0</v>
          </cell>
          <cell r="AJ67">
            <v>0</v>
          </cell>
          <cell r="AP67">
            <v>0</v>
          </cell>
          <cell r="AT67">
            <v>2500.5</v>
          </cell>
          <cell r="AV67">
            <v>-2500.5</v>
          </cell>
          <cell r="AX67">
            <v>0</v>
          </cell>
          <cell r="AY67">
            <v>0</v>
          </cell>
          <cell r="AZ67" t="str">
            <v>NETCOM</v>
          </cell>
          <cell r="BA67">
            <v>0.5</v>
          </cell>
          <cell r="BC67">
            <v>11703.468000000001</v>
          </cell>
          <cell r="BI67">
            <v>11703.468000000001</v>
          </cell>
          <cell r="BX67">
            <v>0</v>
          </cell>
          <cell r="CD67">
            <v>0</v>
          </cell>
          <cell r="CJ67">
            <v>0</v>
          </cell>
          <cell r="CP67">
            <v>0</v>
          </cell>
          <cell r="CT67">
            <v>11703.468000000001</v>
          </cell>
          <cell r="CV67">
            <v>-11703.468000000001</v>
          </cell>
          <cell r="CX67">
            <v>0</v>
          </cell>
          <cell r="FC67">
            <v>13899.247550620512</v>
          </cell>
          <cell r="FF67">
            <v>13899.247550620512</v>
          </cell>
          <cell r="FN67">
            <v>0</v>
          </cell>
          <cell r="FO67">
            <v>0</v>
          </cell>
          <cell r="FR67">
            <v>0</v>
          </cell>
          <cell r="FS67">
            <v>0</v>
          </cell>
          <cell r="FT67">
            <v>13899.247550620512</v>
          </cell>
          <cell r="FU67">
            <v>-13899.247550620512</v>
          </cell>
          <cell r="FV67">
            <v>0</v>
          </cell>
          <cell r="FW67" t="str">
            <v>NETCOM</v>
          </cell>
          <cell r="FX67">
            <v>0</v>
          </cell>
          <cell r="FY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 t="e">
            <v>#DIV/0!</v>
          </cell>
          <cell r="GG67">
            <v>0</v>
          </cell>
          <cell r="GH67">
            <v>0</v>
          </cell>
        </row>
        <row r="68">
          <cell r="A68" t="str">
            <v xml:space="preserve"> long term loans</v>
          </cell>
          <cell r="I68">
            <v>0</v>
          </cell>
          <cell r="U68">
            <v>0</v>
          </cell>
          <cell r="AD68">
            <v>0</v>
          </cell>
          <cell r="AJ68">
            <v>0</v>
          </cell>
          <cell r="AP68">
            <v>0</v>
          </cell>
          <cell r="AT68">
            <v>0</v>
          </cell>
          <cell r="AX68">
            <v>0</v>
          </cell>
          <cell r="AY68">
            <v>0</v>
          </cell>
          <cell r="AZ68" t="str">
            <v xml:space="preserve"> long term loans</v>
          </cell>
          <cell r="BI68">
            <v>0</v>
          </cell>
          <cell r="BX68">
            <v>0</v>
          </cell>
          <cell r="CD68">
            <v>0</v>
          </cell>
          <cell r="CJ68">
            <v>0</v>
          </cell>
          <cell r="CP68">
            <v>0</v>
          </cell>
          <cell r="CT68">
            <v>0</v>
          </cell>
          <cell r="CV68">
            <v>0</v>
          </cell>
          <cell r="CX68">
            <v>0</v>
          </cell>
          <cell r="FF68">
            <v>0</v>
          </cell>
          <cell r="FN68">
            <v>0</v>
          </cell>
          <cell r="FO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 t="str">
            <v xml:space="preserve"> long term loans</v>
          </cell>
          <cell r="FX68">
            <v>0</v>
          </cell>
          <cell r="FY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F68" t="e">
            <v>#DIV/0!</v>
          </cell>
          <cell r="GG68">
            <v>0</v>
          </cell>
          <cell r="GH68">
            <v>0</v>
          </cell>
        </row>
        <row r="69">
          <cell r="A69" t="str">
            <v xml:space="preserve"> accumulated loss</v>
          </cell>
          <cell r="C69">
            <v>-36</v>
          </cell>
          <cell r="G69">
            <v>1084.5</v>
          </cell>
          <cell r="I69">
            <v>1048.5</v>
          </cell>
          <cell r="U69">
            <v>0</v>
          </cell>
          <cell r="AD69">
            <v>0</v>
          </cell>
          <cell r="AJ69">
            <v>0</v>
          </cell>
          <cell r="AP69">
            <v>0</v>
          </cell>
          <cell r="AT69">
            <v>1048.5</v>
          </cell>
          <cell r="AV69">
            <v>-1048.5</v>
          </cell>
          <cell r="AX69">
            <v>0</v>
          </cell>
          <cell r="AY69">
            <v>0</v>
          </cell>
          <cell r="AZ69" t="str">
            <v xml:space="preserve"> accumulated loss</v>
          </cell>
          <cell r="BC69">
            <v>-328</v>
          </cell>
          <cell r="BI69">
            <v>-328</v>
          </cell>
          <cell r="BX69">
            <v>0</v>
          </cell>
          <cell r="CD69">
            <v>0</v>
          </cell>
          <cell r="CJ69">
            <v>0</v>
          </cell>
          <cell r="CP69">
            <v>0</v>
          </cell>
          <cell r="CT69">
            <v>-328</v>
          </cell>
          <cell r="CV69">
            <v>328</v>
          </cell>
          <cell r="CX69">
            <v>0</v>
          </cell>
          <cell r="FC69">
            <v>-268.29588504245595</v>
          </cell>
          <cell r="FF69">
            <v>-268.29588504245595</v>
          </cell>
          <cell r="FN69">
            <v>0</v>
          </cell>
          <cell r="FO69">
            <v>0</v>
          </cell>
          <cell r="FR69">
            <v>0</v>
          </cell>
          <cell r="FS69">
            <v>0</v>
          </cell>
          <cell r="FT69">
            <v>-268.29588504245595</v>
          </cell>
          <cell r="FU69">
            <v>268.29588504245595</v>
          </cell>
          <cell r="FV69">
            <v>0</v>
          </cell>
          <cell r="FW69" t="str">
            <v xml:space="preserve"> accumulated loss</v>
          </cell>
          <cell r="FX69">
            <v>0</v>
          </cell>
          <cell r="FY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 t="e">
            <v>#DIV/0!</v>
          </cell>
          <cell r="GG69">
            <v>0</v>
          </cell>
          <cell r="GH69">
            <v>0</v>
          </cell>
          <cell r="GW69" t="str">
            <v xml:space="preserve">    הכל</v>
          </cell>
        </row>
        <row r="70">
          <cell r="A70" t="str">
            <v xml:space="preserve"> loss-(equity method)</v>
          </cell>
          <cell r="C70">
            <v>-69.5</v>
          </cell>
          <cell r="G70">
            <v>2</v>
          </cell>
          <cell r="I70">
            <v>-67.5</v>
          </cell>
          <cell r="U70">
            <v>0</v>
          </cell>
          <cell r="AD70">
            <v>0</v>
          </cell>
          <cell r="AJ70">
            <v>0</v>
          </cell>
          <cell r="AP70">
            <v>0</v>
          </cell>
          <cell r="AT70">
            <v>-67.5</v>
          </cell>
          <cell r="AV70">
            <v>67.5</v>
          </cell>
          <cell r="AX70">
            <v>0</v>
          </cell>
          <cell r="AY70">
            <v>0</v>
          </cell>
          <cell r="AZ70" t="str">
            <v xml:space="preserve"> loss-(equity method)</v>
          </cell>
          <cell r="BC70">
            <v>1551</v>
          </cell>
          <cell r="BG70">
            <v>792.77499999999998</v>
          </cell>
          <cell r="BI70">
            <v>2343.7750000000001</v>
          </cell>
          <cell r="BX70">
            <v>0</v>
          </cell>
          <cell r="CD70">
            <v>0</v>
          </cell>
          <cell r="CJ70">
            <v>0</v>
          </cell>
          <cell r="CP70">
            <v>0</v>
          </cell>
          <cell r="CT70">
            <v>2343.7750000000001</v>
          </cell>
          <cell r="CV70">
            <v>-2343.7750000000001</v>
          </cell>
          <cell r="CX70">
            <v>0</v>
          </cell>
          <cell r="FC70">
            <v>603</v>
          </cell>
          <cell r="FE70">
            <v>0</v>
          </cell>
          <cell r="FF70">
            <v>603</v>
          </cell>
          <cell r="FN70">
            <v>0</v>
          </cell>
          <cell r="FO70">
            <v>0</v>
          </cell>
          <cell r="FR70">
            <v>0</v>
          </cell>
          <cell r="FS70">
            <v>0</v>
          </cell>
          <cell r="FT70">
            <v>603</v>
          </cell>
          <cell r="FU70">
            <v>-603</v>
          </cell>
          <cell r="FV70">
            <v>0</v>
          </cell>
          <cell r="FW70" t="str">
            <v xml:space="preserve"> loss-(equity method)</v>
          </cell>
          <cell r="FX70">
            <v>0</v>
          </cell>
          <cell r="FY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 t="e">
            <v>#DIV/0!</v>
          </cell>
          <cell r="GG70">
            <v>0</v>
          </cell>
          <cell r="GH70">
            <v>0</v>
          </cell>
        </row>
        <row r="71">
          <cell r="A71" t="str">
            <v xml:space="preserve"> goodwill</v>
          </cell>
          <cell r="C71">
            <v>1162</v>
          </cell>
          <cell r="I71">
            <v>1162</v>
          </cell>
          <cell r="U71">
            <v>0</v>
          </cell>
          <cell r="AD71">
            <v>0</v>
          </cell>
          <cell r="AJ71">
            <v>0</v>
          </cell>
          <cell r="AP71">
            <v>0</v>
          </cell>
          <cell r="AT71">
            <v>1162</v>
          </cell>
          <cell r="AV71">
            <v>-1162</v>
          </cell>
          <cell r="AX71">
            <v>0</v>
          </cell>
          <cell r="AY71">
            <v>0</v>
          </cell>
          <cell r="AZ71" t="str">
            <v xml:space="preserve"> goodwill</v>
          </cell>
          <cell r="BC71">
            <v>4413</v>
          </cell>
          <cell r="BI71">
            <v>4413</v>
          </cell>
          <cell r="BX71">
            <v>0</v>
          </cell>
          <cell r="CD71">
            <v>0</v>
          </cell>
          <cell r="CJ71">
            <v>0</v>
          </cell>
          <cell r="CP71">
            <v>0</v>
          </cell>
          <cell r="CT71">
            <v>4413</v>
          </cell>
          <cell r="CV71">
            <v>-4413</v>
          </cell>
          <cell r="CX71">
            <v>0</v>
          </cell>
          <cell r="FC71">
            <v>4228</v>
          </cell>
          <cell r="FF71">
            <v>4228</v>
          </cell>
          <cell r="FN71">
            <v>0</v>
          </cell>
          <cell r="FO71">
            <v>0</v>
          </cell>
          <cell r="FR71">
            <v>0</v>
          </cell>
          <cell r="FS71">
            <v>0</v>
          </cell>
          <cell r="FT71">
            <v>4228</v>
          </cell>
          <cell r="FU71">
            <v>-4228</v>
          </cell>
          <cell r="FV71">
            <v>0</v>
          </cell>
          <cell r="FW71" t="str">
            <v xml:space="preserve"> goodwill</v>
          </cell>
          <cell r="FX71">
            <v>0</v>
          </cell>
          <cell r="FY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0</v>
          </cell>
          <cell r="GF71" t="e">
            <v>#DIV/0!</v>
          </cell>
          <cell r="GG71">
            <v>4726.135205747878</v>
          </cell>
          <cell r="GH71">
            <v>0</v>
          </cell>
        </row>
        <row r="72">
          <cell r="A72" t="str">
            <v xml:space="preserve">total </v>
          </cell>
          <cell r="C72">
            <v>4641.5</v>
          </cell>
          <cell r="E72">
            <v>0</v>
          </cell>
          <cell r="G72">
            <v>2</v>
          </cell>
          <cell r="I72">
            <v>4643.5</v>
          </cell>
          <cell r="M72">
            <v>0</v>
          </cell>
          <cell r="O72">
            <v>0</v>
          </cell>
          <cell r="Q72">
            <v>0</v>
          </cell>
          <cell r="S72">
            <v>0</v>
          </cell>
          <cell r="U72">
            <v>0</v>
          </cell>
          <cell r="Z72">
            <v>0</v>
          </cell>
          <cell r="AB72">
            <v>0</v>
          </cell>
          <cell r="AD72">
            <v>0</v>
          </cell>
          <cell r="AF72">
            <v>0</v>
          </cell>
          <cell r="AH72">
            <v>0</v>
          </cell>
          <cell r="AJ72">
            <v>0</v>
          </cell>
          <cell r="AL72">
            <v>0</v>
          </cell>
          <cell r="AN72">
            <v>0</v>
          </cell>
          <cell r="AP72">
            <v>0</v>
          </cell>
          <cell r="AR72">
            <v>0</v>
          </cell>
          <cell r="AT72">
            <v>4643.5</v>
          </cell>
          <cell r="AV72">
            <v>-4643.5</v>
          </cell>
          <cell r="AX72">
            <v>0</v>
          </cell>
          <cell r="AY72">
            <v>0</v>
          </cell>
          <cell r="AZ72" t="str">
            <v xml:space="preserve">total </v>
          </cell>
          <cell r="BA72" t="str">
            <v xml:space="preserve">total </v>
          </cell>
          <cell r="BC72">
            <v>17339.468000000001</v>
          </cell>
          <cell r="BE72">
            <v>0</v>
          </cell>
          <cell r="BG72">
            <v>792.77499999999998</v>
          </cell>
          <cell r="BI72">
            <v>18132.243000000002</v>
          </cell>
          <cell r="BO72">
            <v>0</v>
          </cell>
          <cell r="BQ72">
            <v>0</v>
          </cell>
          <cell r="BS72">
            <v>0</v>
          </cell>
          <cell r="BU72">
            <v>0</v>
          </cell>
          <cell r="BX72">
            <v>0</v>
          </cell>
          <cell r="BZ72">
            <v>0</v>
          </cell>
          <cell r="CB72">
            <v>0</v>
          </cell>
          <cell r="CD72">
            <v>0</v>
          </cell>
          <cell r="CF72">
            <v>0</v>
          </cell>
          <cell r="CH72">
            <v>0</v>
          </cell>
          <cell r="CJ72">
            <v>0</v>
          </cell>
          <cell r="CL72">
            <v>0</v>
          </cell>
          <cell r="CN72">
            <v>0</v>
          </cell>
          <cell r="CP72">
            <v>0</v>
          </cell>
          <cell r="CR72">
            <v>0</v>
          </cell>
          <cell r="CT72">
            <v>18132.243000000002</v>
          </cell>
          <cell r="CV72">
            <v>-18132.243000000002</v>
          </cell>
          <cell r="CX72">
            <v>0</v>
          </cell>
          <cell r="FC72">
            <v>18461.951665578054</v>
          </cell>
          <cell r="FE72">
            <v>0</v>
          </cell>
          <cell r="FF72">
            <v>18461.951665578054</v>
          </cell>
          <cell r="FI72">
            <v>0</v>
          </cell>
          <cell r="FM72">
            <v>0</v>
          </cell>
          <cell r="FN72">
            <v>0</v>
          </cell>
          <cell r="FO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18461.951665578054</v>
          </cell>
          <cell r="FU72">
            <v>-18461.951665578054</v>
          </cell>
          <cell r="FV72">
            <v>0</v>
          </cell>
          <cell r="FW72" t="str">
            <v xml:space="preserve">total 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0</v>
          </cell>
          <cell r="GF72" t="e">
            <v>#DIV/0!</v>
          </cell>
          <cell r="GG72">
            <v>4726.135205747878</v>
          </cell>
          <cell r="GH72">
            <v>0</v>
          </cell>
        </row>
        <row r="73">
          <cell r="A73" t="str">
            <v>MADRICHE PNAI</v>
          </cell>
          <cell r="B73">
            <v>0.5</v>
          </cell>
          <cell r="C73">
            <v>-383.23</v>
          </cell>
          <cell r="I73">
            <v>-383.23</v>
          </cell>
          <cell r="U73">
            <v>0</v>
          </cell>
          <cell r="AD73">
            <v>0</v>
          </cell>
          <cell r="AJ73">
            <v>0</v>
          </cell>
          <cell r="AP73">
            <v>0</v>
          </cell>
          <cell r="AT73">
            <v>-383.23</v>
          </cell>
          <cell r="AV73">
            <v>383.23</v>
          </cell>
          <cell r="AX73">
            <v>0</v>
          </cell>
          <cell r="AY73">
            <v>0</v>
          </cell>
          <cell r="AZ73" t="str">
            <v>MADRICHE PNAI</v>
          </cell>
          <cell r="BA73">
            <v>0.5</v>
          </cell>
          <cell r="BC73">
            <v>-1458</v>
          </cell>
          <cell r="BI73">
            <v>-1458</v>
          </cell>
          <cell r="BX73">
            <v>0</v>
          </cell>
          <cell r="CD73">
            <v>0</v>
          </cell>
          <cell r="CJ73">
            <v>0</v>
          </cell>
          <cell r="CP73">
            <v>0</v>
          </cell>
          <cell r="CT73">
            <v>-1458</v>
          </cell>
          <cell r="CV73">
            <v>1458</v>
          </cell>
          <cell r="CX73">
            <v>0</v>
          </cell>
          <cell r="FC73">
            <v>-1515.7280000000001</v>
          </cell>
          <cell r="FF73">
            <v>-1515.7280000000001</v>
          </cell>
          <cell r="FN73">
            <v>0</v>
          </cell>
          <cell r="FO73">
            <v>0</v>
          </cell>
          <cell r="FR73">
            <v>0</v>
          </cell>
          <cell r="FS73">
            <v>0</v>
          </cell>
          <cell r="FT73">
            <v>-1515.7280000000001</v>
          </cell>
          <cell r="FU73">
            <v>1515.7280000000001</v>
          </cell>
          <cell r="FV73">
            <v>0</v>
          </cell>
          <cell r="FW73" t="str">
            <v>MADRICHE PNAI</v>
          </cell>
          <cell r="FX73">
            <v>0</v>
          </cell>
          <cell r="FY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 t="e">
            <v>#DIV/0!</v>
          </cell>
          <cell r="GG73">
            <v>0</v>
          </cell>
          <cell r="GH73">
            <v>0</v>
          </cell>
        </row>
        <row r="74">
          <cell r="A74" t="str">
            <v xml:space="preserve"> long term loans</v>
          </cell>
          <cell r="C74">
            <v>-5.5979999999999999</v>
          </cell>
          <cell r="I74">
            <v>-5.5979999999999999</v>
          </cell>
          <cell r="U74">
            <v>0</v>
          </cell>
          <cell r="AD74">
            <v>0</v>
          </cell>
          <cell r="AJ74">
            <v>0</v>
          </cell>
          <cell r="AP74">
            <v>0</v>
          </cell>
          <cell r="AT74">
            <v>-5.5979999999999999</v>
          </cell>
          <cell r="AV74">
            <v>5.5979999999999999</v>
          </cell>
          <cell r="AX74">
            <v>0</v>
          </cell>
          <cell r="AY74">
            <v>0</v>
          </cell>
          <cell r="AZ74" t="str">
            <v xml:space="preserve"> long term loans</v>
          </cell>
          <cell r="BC74">
            <v>-23.289000000000001</v>
          </cell>
          <cell r="BI74">
            <v>-23.289000000000001</v>
          </cell>
          <cell r="BX74">
            <v>0</v>
          </cell>
          <cell r="CD74">
            <v>0</v>
          </cell>
          <cell r="CJ74">
            <v>0</v>
          </cell>
          <cell r="CP74">
            <v>0</v>
          </cell>
          <cell r="CT74">
            <v>-23.289000000000001</v>
          </cell>
          <cell r="CV74">
            <v>23.289000000000001</v>
          </cell>
          <cell r="CX74">
            <v>0</v>
          </cell>
          <cell r="FC74">
            <v>-23.289000000000001</v>
          </cell>
          <cell r="FF74">
            <v>-23.289000000000001</v>
          </cell>
          <cell r="FN74">
            <v>0</v>
          </cell>
          <cell r="FO74">
            <v>0</v>
          </cell>
          <cell r="FR74">
            <v>0</v>
          </cell>
          <cell r="FS74">
            <v>0</v>
          </cell>
          <cell r="FT74">
            <v>-23.289000000000001</v>
          </cell>
          <cell r="FU74">
            <v>23.289000000000001</v>
          </cell>
          <cell r="FV74">
            <v>0</v>
          </cell>
          <cell r="FW74" t="str">
            <v xml:space="preserve"> long term loans</v>
          </cell>
          <cell r="FX74">
            <v>0</v>
          </cell>
          <cell r="FY74">
            <v>0</v>
          </cell>
          <cell r="GA74">
            <v>0</v>
          </cell>
          <cell r="GB74">
            <v>0</v>
          </cell>
          <cell r="GC74">
            <v>0</v>
          </cell>
          <cell r="GD74">
            <v>0</v>
          </cell>
          <cell r="GE74">
            <v>0</v>
          </cell>
          <cell r="GF74" t="e">
            <v>#DIV/0!</v>
          </cell>
          <cell r="GG74">
            <v>0</v>
          </cell>
          <cell r="GH74">
            <v>0</v>
          </cell>
        </row>
        <row r="75">
          <cell r="A75" t="str">
            <v xml:space="preserve"> accumulated profit</v>
          </cell>
          <cell r="C75">
            <v>243</v>
          </cell>
          <cell r="I75">
            <v>243</v>
          </cell>
          <cell r="U75">
            <v>0</v>
          </cell>
          <cell r="AD75">
            <v>0</v>
          </cell>
          <cell r="AJ75">
            <v>0</v>
          </cell>
          <cell r="AP75">
            <v>0</v>
          </cell>
          <cell r="AT75">
            <v>243</v>
          </cell>
          <cell r="AV75">
            <v>-243</v>
          </cell>
          <cell r="AX75">
            <v>0</v>
          </cell>
          <cell r="AY75">
            <v>0</v>
          </cell>
          <cell r="AZ75" t="str">
            <v xml:space="preserve"> accumulated profit</v>
          </cell>
          <cell r="BC75">
            <v>858</v>
          </cell>
          <cell r="BI75">
            <v>858</v>
          </cell>
          <cell r="BX75">
            <v>0</v>
          </cell>
          <cell r="CD75">
            <v>0</v>
          </cell>
          <cell r="CJ75">
            <v>0</v>
          </cell>
          <cell r="CP75">
            <v>0</v>
          </cell>
          <cell r="CT75">
            <v>858</v>
          </cell>
          <cell r="CV75">
            <v>-858</v>
          </cell>
          <cell r="CX75">
            <v>0</v>
          </cell>
          <cell r="FC75">
            <v>931.97517962116274</v>
          </cell>
          <cell r="FF75">
            <v>931.97517962116274</v>
          </cell>
          <cell r="FN75">
            <v>0</v>
          </cell>
          <cell r="FO75">
            <v>0</v>
          </cell>
          <cell r="FR75">
            <v>0</v>
          </cell>
          <cell r="FS75">
            <v>0</v>
          </cell>
          <cell r="FT75">
            <v>931.97517962116274</v>
          </cell>
          <cell r="FU75">
            <v>-931.97517962116274</v>
          </cell>
          <cell r="FV75">
            <v>0</v>
          </cell>
          <cell r="FW75" t="str">
            <v xml:space="preserve"> accumulated profit</v>
          </cell>
          <cell r="FX75">
            <v>0</v>
          </cell>
          <cell r="FY75">
            <v>0</v>
          </cell>
          <cell r="GA75">
            <v>0</v>
          </cell>
          <cell r="GB75">
            <v>0</v>
          </cell>
          <cell r="GC75">
            <v>0</v>
          </cell>
          <cell r="GD75">
            <v>0</v>
          </cell>
          <cell r="GE75">
            <v>0</v>
          </cell>
          <cell r="GF75" t="e">
            <v>#DIV/0!</v>
          </cell>
          <cell r="GG75">
            <v>0</v>
          </cell>
          <cell r="GH75">
            <v>0</v>
          </cell>
        </row>
        <row r="76">
          <cell r="A76" t="str">
            <v xml:space="preserve"> profit-(equity method)</v>
          </cell>
          <cell r="C76">
            <v>242.76400000000001</v>
          </cell>
          <cell r="G76">
            <v>0.26850961538445972</v>
          </cell>
          <cell r="I76">
            <v>243.03250961538447</v>
          </cell>
          <cell r="U76">
            <v>0</v>
          </cell>
          <cell r="AD76">
            <v>0</v>
          </cell>
          <cell r="AJ76">
            <v>0</v>
          </cell>
          <cell r="AP76">
            <v>0</v>
          </cell>
          <cell r="AT76">
            <v>243.03250961538447</v>
          </cell>
          <cell r="AV76">
            <v>-243.03250961538447</v>
          </cell>
          <cell r="AX76">
            <v>0</v>
          </cell>
          <cell r="AY76">
            <v>0</v>
          </cell>
          <cell r="AZ76" t="str">
            <v xml:space="preserve"> profit-(equity method)</v>
          </cell>
          <cell r="BC76">
            <v>1033.9590000000001</v>
          </cell>
          <cell r="BG76">
            <v>7.9999999995834514E-3</v>
          </cell>
          <cell r="BI76">
            <v>1033.9669999999996</v>
          </cell>
          <cell r="BX76">
            <v>0</v>
          </cell>
          <cell r="CD76">
            <v>0</v>
          </cell>
          <cell r="CJ76">
            <v>0</v>
          </cell>
          <cell r="CP76">
            <v>0</v>
          </cell>
          <cell r="CT76">
            <v>1033.9669999999996</v>
          </cell>
          <cell r="CV76">
            <v>-1033.9669999999996</v>
          </cell>
          <cell r="CX76">
            <v>0</v>
          </cell>
          <cell r="FC76">
            <v>1009.897</v>
          </cell>
          <cell r="FE76">
            <v>1.0000000005447873E-3</v>
          </cell>
          <cell r="FF76">
            <v>1009.8980000000006</v>
          </cell>
          <cell r="FN76">
            <v>0</v>
          </cell>
          <cell r="FO76">
            <v>0</v>
          </cell>
          <cell r="FR76">
            <v>0</v>
          </cell>
          <cell r="FS76">
            <v>0</v>
          </cell>
          <cell r="FT76">
            <v>1009.8980000000006</v>
          </cell>
          <cell r="FU76">
            <v>-1009.8980000000006</v>
          </cell>
          <cell r="FV76">
            <v>0</v>
          </cell>
          <cell r="FW76" t="str">
            <v xml:space="preserve"> profit-(equity method)</v>
          </cell>
          <cell r="FX76">
            <v>0</v>
          </cell>
          <cell r="FY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 t="e">
            <v>#DIV/0!</v>
          </cell>
          <cell r="GG76">
            <v>0</v>
          </cell>
          <cell r="GH76">
            <v>0</v>
          </cell>
        </row>
        <row r="77">
          <cell r="A77" t="str">
            <v xml:space="preserve"> goodwill</v>
          </cell>
          <cell r="I77">
            <v>0</v>
          </cell>
          <cell r="U77">
            <v>0</v>
          </cell>
          <cell r="AD77">
            <v>0</v>
          </cell>
          <cell r="AJ77">
            <v>0</v>
          </cell>
          <cell r="AP77">
            <v>0</v>
          </cell>
          <cell r="AT77">
            <v>0</v>
          </cell>
          <cell r="AX77">
            <v>0</v>
          </cell>
          <cell r="AY77">
            <v>0</v>
          </cell>
          <cell r="AZ77" t="str">
            <v xml:space="preserve"> goodwill</v>
          </cell>
          <cell r="BI77">
            <v>0</v>
          </cell>
          <cell r="BX77">
            <v>0</v>
          </cell>
          <cell r="CD77">
            <v>0</v>
          </cell>
          <cell r="CJ77">
            <v>0</v>
          </cell>
          <cell r="CP77">
            <v>0</v>
          </cell>
          <cell r="CT77">
            <v>0</v>
          </cell>
          <cell r="CX77">
            <v>0</v>
          </cell>
          <cell r="FN77">
            <v>0</v>
          </cell>
          <cell r="FO77">
            <v>0</v>
          </cell>
          <cell r="FR77">
            <v>0</v>
          </cell>
          <cell r="FS77">
            <v>0</v>
          </cell>
          <cell r="FT77">
            <v>0</v>
          </cell>
          <cell r="FV77">
            <v>0</v>
          </cell>
          <cell r="FW77" t="str">
            <v xml:space="preserve"> goodwill</v>
          </cell>
          <cell r="FX77">
            <v>0</v>
          </cell>
          <cell r="FY77">
            <v>0</v>
          </cell>
          <cell r="GA77">
            <v>0</v>
          </cell>
          <cell r="GB77">
            <v>0</v>
          </cell>
          <cell r="GC77">
            <v>0</v>
          </cell>
          <cell r="GD77">
            <v>0</v>
          </cell>
          <cell r="GE77">
            <v>0</v>
          </cell>
          <cell r="GF77" t="e">
            <v>#DIV/0!</v>
          </cell>
          <cell r="GG77">
            <v>0</v>
          </cell>
          <cell r="GH77">
            <v>0</v>
          </cell>
        </row>
        <row r="78">
          <cell r="B78" t="str">
            <v xml:space="preserve">total </v>
          </cell>
          <cell r="C78">
            <v>96.935999999999979</v>
          </cell>
          <cell r="E78">
            <v>0</v>
          </cell>
          <cell r="G78">
            <v>0.26850961538445972</v>
          </cell>
          <cell r="I78">
            <v>97.204509615384438</v>
          </cell>
          <cell r="M78">
            <v>0</v>
          </cell>
          <cell r="O78">
            <v>0</v>
          </cell>
          <cell r="Q78">
            <v>0</v>
          </cell>
          <cell r="S78">
            <v>0</v>
          </cell>
          <cell r="U78">
            <v>0</v>
          </cell>
          <cell r="Z78">
            <v>0</v>
          </cell>
          <cell r="AB78">
            <v>0</v>
          </cell>
          <cell r="AD78">
            <v>0</v>
          </cell>
          <cell r="AF78">
            <v>0</v>
          </cell>
          <cell r="AH78">
            <v>0</v>
          </cell>
          <cell r="AJ78">
            <v>0</v>
          </cell>
          <cell r="AL78">
            <v>0</v>
          </cell>
          <cell r="AN78">
            <v>0</v>
          </cell>
          <cell r="AP78">
            <v>0</v>
          </cell>
          <cell r="AR78">
            <v>0</v>
          </cell>
          <cell r="AT78">
            <v>97.204509615384438</v>
          </cell>
          <cell r="AV78">
            <v>-97.204509615384438</v>
          </cell>
          <cell r="AX78">
            <v>0</v>
          </cell>
          <cell r="AY78">
            <v>0</v>
          </cell>
          <cell r="BA78" t="str">
            <v xml:space="preserve">total </v>
          </cell>
          <cell r="BC78">
            <v>410.67</v>
          </cell>
          <cell r="BE78">
            <v>0</v>
          </cell>
          <cell r="BG78">
            <v>7.9999999995834514E-3</v>
          </cell>
          <cell r="BI78">
            <v>410.67799999999966</v>
          </cell>
          <cell r="BM78">
            <v>0</v>
          </cell>
          <cell r="BO78">
            <v>0</v>
          </cell>
          <cell r="BQ78">
            <v>0</v>
          </cell>
          <cell r="BS78">
            <v>0</v>
          </cell>
          <cell r="BU78">
            <v>0</v>
          </cell>
          <cell r="BX78">
            <v>0</v>
          </cell>
          <cell r="BZ78">
            <v>0</v>
          </cell>
          <cell r="CB78">
            <v>0</v>
          </cell>
          <cell r="CD78">
            <v>0</v>
          </cell>
          <cell r="CF78">
            <v>0</v>
          </cell>
          <cell r="CH78">
            <v>0</v>
          </cell>
          <cell r="CJ78">
            <v>0</v>
          </cell>
          <cell r="CL78">
            <v>0</v>
          </cell>
          <cell r="CN78">
            <v>0</v>
          </cell>
          <cell r="CP78">
            <v>0</v>
          </cell>
          <cell r="CR78">
            <v>0</v>
          </cell>
          <cell r="CT78">
            <v>410.67799999999966</v>
          </cell>
          <cell r="CV78">
            <v>-410.67799999999966</v>
          </cell>
          <cell r="CX78">
            <v>0</v>
          </cell>
          <cell r="FC78">
            <v>402.85517962116273</v>
          </cell>
          <cell r="FE78">
            <v>1.0000000005447873E-3</v>
          </cell>
          <cell r="FF78">
            <v>402.85617962116328</v>
          </cell>
          <cell r="FG78">
            <v>0</v>
          </cell>
          <cell r="FI78">
            <v>0</v>
          </cell>
          <cell r="FM78">
            <v>0</v>
          </cell>
          <cell r="FN78">
            <v>0</v>
          </cell>
          <cell r="FO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402.85617962116328</v>
          </cell>
          <cell r="FU78">
            <v>-402.85617962116328</v>
          </cell>
          <cell r="FV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  <cell r="GD78">
            <v>0</v>
          </cell>
          <cell r="GE78">
            <v>0</v>
          </cell>
          <cell r="GF78" t="e">
            <v>#DIV/0!</v>
          </cell>
          <cell r="GG78">
            <v>0</v>
          </cell>
          <cell r="GH78">
            <v>0</v>
          </cell>
        </row>
        <row r="79">
          <cell r="A79" t="str">
            <v>T.POWER</v>
          </cell>
          <cell r="B79">
            <v>0.33329999999999999</v>
          </cell>
          <cell r="C79">
            <v>2</v>
          </cell>
          <cell r="I79">
            <v>2</v>
          </cell>
          <cell r="AT79">
            <v>2</v>
          </cell>
          <cell r="AX79">
            <v>2</v>
          </cell>
          <cell r="AY79">
            <v>0</v>
          </cell>
          <cell r="AZ79" t="str">
            <v>T.POWER</v>
          </cell>
          <cell r="BA79">
            <v>0.33</v>
          </cell>
          <cell r="BC79">
            <v>1578.2</v>
          </cell>
          <cell r="BI79">
            <v>1578.2</v>
          </cell>
          <cell r="BX79">
            <v>0</v>
          </cell>
          <cell r="CD79">
            <v>0</v>
          </cell>
          <cell r="CT79">
            <v>1578.2</v>
          </cell>
          <cell r="CX79">
            <v>1578.2</v>
          </cell>
          <cell r="FC79">
            <v>1621.86</v>
          </cell>
          <cell r="FF79">
            <v>1621.86</v>
          </cell>
          <cell r="FN79">
            <v>0</v>
          </cell>
          <cell r="FR79">
            <v>0</v>
          </cell>
          <cell r="FS79">
            <v>0</v>
          </cell>
          <cell r="FT79">
            <v>1621.86</v>
          </cell>
          <cell r="FV79">
            <v>1621.86</v>
          </cell>
          <cell r="FW79" t="str">
            <v>T.POWER</v>
          </cell>
          <cell r="FX79">
            <v>0</v>
          </cell>
          <cell r="FY79">
            <v>0</v>
          </cell>
          <cell r="GA79">
            <v>0</v>
          </cell>
          <cell r="GB79">
            <v>0</v>
          </cell>
          <cell r="GC79">
            <v>1621.86</v>
          </cell>
          <cell r="GD79">
            <v>1643.6083331328921</v>
          </cell>
          <cell r="GE79">
            <v>1621.86</v>
          </cell>
          <cell r="GF79">
            <v>810.93</v>
          </cell>
          <cell r="GG79">
            <v>0</v>
          </cell>
          <cell r="GH79">
            <v>0</v>
          </cell>
        </row>
        <row r="80">
          <cell r="A80" t="str">
            <v xml:space="preserve"> long term loans</v>
          </cell>
          <cell r="C80">
            <v>95.183999999999997</v>
          </cell>
          <cell r="I80">
            <v>95.183999999999997</v>
          </cell>
          <cell r="AT80">
            <v>95.183999999999997</v>
          </cell>
          <cell r="AX80">
            <v>95.183999999999997</v>
          </cell>
          <cell r="AY80">
            <v>0</v>
          </cell>
          <cell r="AZ80" t="str">
            <v xml:space="preserve"> long term loans</v>
          </cell>
          <cell r="BC80">
            <v>395.96600000000001</v>
          </cell>
          <cell r="BI80">
            <v>395.96600000000001</v>
          </cell>
          <cell r="BX80">
            <v>0</v>
          </cell>
          <cell r="CD80">
            <v>0</v>
          </cell>
          <cell r="CT80">
            <v>395.96600000000001</v>
          </cell>
          <cell r="CX80">
            <v>395.96600000000001</v>
          </cell>
          <cell r="FC80">
            <v>395.96600000000001</v>
          </cell>
          <cell r="FF80">
            <v>395.96600000000001</v>
          </cell>
          <cell r="FN80">
            <v>0</v>
          </cell>
          <cell r="FR80">
            <v>0</v>
          </cell>
          <cell r="FS80">
            <v>0</v>
          </cell>
          <cell r="FT80">
            <v>395.96600000000001</v>
          </cell>
          <cell r="FV80">
            <v>395.96600000000001</v>
          </cell>
          <cell r="FW80" t="str">
            <v xml:space="preserve"> long term loans</v>
          </cell>
          <cell r="FX80">
            <v>0</v>
          </cell>
          <cell r="FY80">
            <v>0</v>
          </cell>
          <cell r="GA80">
            <v>0</v>
          </cell>
          <cell r="GB80">
            <v>0</v>
          </cell>
          <cell r="GC80">
            <v>395.96600000000001</v>
          </cell>
          <cell r="GD80">
            <v>401.27570643415515</v>
          </cell>
          <cell r="GE80">
            <v>395.96600000000001</v>
          </cell>
          <cell r="GF80">
            <v>4.1600058833417384</v>
          </cell>
          <cell r="GG80">
            <v>0</v>
          </cell>
          <cell r="GH80">
            <v>0</v>
          </cell>
        </row>
        <row r="81">
          <cell r="A81" t="str">
            <v xml:space="preserve"> accumulated profit</v>
          </cell>
          <cell r="I81">
            <v>0</v>
          </cell>
          <cell r="AT81">
            <v>0</v>
          </cell>
          <cell r="AX81">
            <v>0</v>
          </cell>
          <cell r="AY81">
            <v>0</v>
          </cell>
          <cell r="AZ81" t="str">
            <v xml:space="preserve"> accumulated profit</v>
          </cell>
          <cell r="BI81">
            <v>0</v>
          </cell>
          <cell r="BX81">
            <v>0</v>
          </cell>
          <cell r="CD81">
            <v>0</v>
          </cell>
          <cell r="CT81">
            <v>0</v>
          </cell>
          <cell r="CX81">
            <v>0</v>
          </cell>
          <cell r="FF81">
            <v>0</v>
          </cell>
          <cell r="FN81">
            <v>0</v>
          </cell>
          <cell r="FR81">
            <v>0</v>
          </cell>
          <cell r="FS81">
            <v>0</v>
          </cell>
          <cell r="FT81">
            <v>0</v>
          </cell>
          <cell r="FV81">
            <v>0</v>
          </cell>
          <cell r="FW81" t="str">
            <v xml:space="preserve"> accumulated profit</v>
          </cell>
          <cell r="FX81">
            <v>0</v>
          </cell>
          <cell r="FY81">
            <v>0</v>
          </cell>
          <cell r="GA81">
            <v>0</v>
          </cell>
          <cell r="GB81">
            <v>0</v>
          </cell>
          <cell r="GC81">
            <v>0</v>
          </cell>
          <cell r="GD81">
            <v>0</v>
          </cell>
          <cell r="GE81">
            <v>0</v>
          </cell>
          <cell r="GF81" t="e">
            <v>#DIV/0!</v>
          </cell>
          <cell r="GG81">
            <v>0</v>
          </cell>
          <cell r="GH81">
            <v>0</v>
          </cell>
        </row>
        <row r="82">
          <cell r="A82" t="str">
            <v xml:space="preserve"> profit-(equity method)</v>
          </cell>
          <cell r="C82">
            <v>-65</v>
          </cell>
          <cell r="G82">
            <v>-34.552999999999997</v>
          </cell>
          <cell r="I82">
            <v>-99.552999999999997</v>
          </cell>
          <cell r="AT82">
            <v>-99.552999999999997</v>
          </cell>
          <cell r="AX82">
            <v>-99.552999999999997</v>
          </cell>
          <cell r="AY82">
            <v>0</v>
          </cell>
          <cell r="AZ82" t="str">
            <v xml:space="preserve"> profit-(equity method)</v>
          </cell>
          <cell r="BG82">
            <v>-394.327</v>
          </cell>
          <cell r="BI82">
            <v>-394.327</v>
          </cell>
          <cell r="BX82">
            <v>0</v>
          </cell>
          <cell r="CD82">
            <v>0</v>
          </cell>
          <cell r="CT82">
            <v>-394.327</v>
          </cell>
          <cell r="CX82">
            <v>-394.327</v>
          </cell>
          <cell r="FC82">
            <v>-394.327</v>
          </cell>
          <cell r="FF82">
            <v>-394.327</v>
          </cell>
          <cell r="FN82">
            <v>0</v>
          </cell>
          <cell r="FR82">
            <v>0</v>
          </cell>
          <cell r="FS82">
            <v>0</v>
          </cell>
          <cell r="FT82">
            <v>-394.327</v>
          </cell>
          <cell r="FV82">
            <v>-394.327</v>
          </cell>
          <cell r="FW82" t="str">
            <v xml:space="preserve"> profit-(equity method)</v>
          </cell>
          <cell r="FX82">
            <v>0</v>
          </cell>
          <cell r="FY82">
            <v>0</v>
          </cell>
          <cell r="GA82">
            <v>0</v>
          </cell>
          <cell r="GB82">
            <v>0</v>
          </cell>
          <cell r="GC82">
            <v>-394.327</v>
          </cell>
          <cell r="GD82">
            <v>-399.61472826217681</v>
          </cell>
          <cell r="GE82">
            <v>-394.327</v>
          </cell>
          <cell r="GF82">
            <v>3.960975560756582</v>
          </cell>
          <cell r="GG82">
            <v>0</v>
          </cell>
          <cell r="GH82">
            <v>0</v>
          </cell>
        </row>
        <row r="83">
          <cell r="A83" t="str">
            <v xml:space="preserve"> goodwill</v>
          </cell>
          <cell r="C83">
            <v>398</v>
          </cell>
          <cell r="I83">
            <v>398</v>
          </cell>
          <cell r="AT83">
            <v>398</v>
          </cell>
          <cell r="AX83">
            <v>398</v>
          </cell>
          <cell r="AY83">
            <v>0</v>
          </cell>
          <cell r="AZ83" t="str">
            <v xml:space="preserve"> goodwill</v>
          </cell>
          <cell r="BX83">
            <v>0</v>
          </cell>
          <cell r="CD83">
            <v>0</v>
          </cell>
          <cell r="CT83">
            <v>0</v>
          </cell>
          <cell r="CX83">
            <v>0</v>
          </cell>
          <cell r="FN83">
            <v>0</v>
          </cell>
          <cell r="FR83">
            <v>0</v>
          </cell>
          <cell r="FS83">
            <v>0</v>
          </cell>
          <cell r="FT83">
            <v>0</v>
          </cell>
          <cell r="FV83">
            <v>0</v>
          </cell>
          <cell r="FW83" t="str">
            <v xml:space="preserve"> goodwill</v>
          </cell>
          <cell r="FX83">
            <v>0</v>
          </cell>
          <cell r="FY83">
            <v>0</v>
          </cell>
          <cell r="GA83">
            <v>0</v>
          </cell>
          <cell r="GB83">
            <v>0</v>
          </cell>
          <cell r="GC83">
            <v>0</v>
          </cell>
          <cell r="GD83">
            <v>0</v>
          </cell>
          <cell r="GE83">
            <v>0</v>
          </cell>
          <cell r="GF83">
            <v>0</v>
          </cell>
          <cell r="GG83">
            <v>0</v>
          </cell>
          <cell r="GH83">
            <v>0</v>
          </cell>
        </row>
        <row r="84">
          <cell r="B84" t="str">
            <v xml:space="preserve">total </v>
          </cell>
          <cell r="C84">
            <v>430.18399999999997</v>
          </cell>
          <cell r="E84">
            <v>0</v>
          </cell>
          <cell r="G84">
            <v>-34.552999999999997</v>
          </cell>
          <cell r="I84">
            <v>395.63099999999997</v>
          </cell>
          <cell r="K84">
            <v>0</v>
          </cell>
          <cell r="M84">
            <v>0</v>
          </cell>
          <cell r="O84">
            <v>0</v>
          </cell>
          <cell r="Q84">
            <v>0</v>
          </cell>
          <cell r="S84">
            <v>0</v>
          </cell>
          <cell r="U84">
            <v>0</v>
          </cell>
          <cell r="W84">
            <v>0</v>
          </cell>
          <cell r="Z84">
            <v>0</v>
          </cell>
          <cell r="AB84">
            <v>0</v>
          </cell>
          <cell r="AD84">
            <v>0</v>
          </cell>
          <cell r="AF84">
            <v>0</v>
          </cell>
          <cell r="AH84">
            <v>0</v>
          </cell>
          <cell r="AJ84">
            <v>0</v>
          </cell>
          <cell r="AL84">
            <v>0</v>
          </cell>
          <cell r="AN84">
            <v>0</v>
          </cell>
          <cell r="AP84">
            <v>0</v>
          </cell>
          <cell r="AR84">
            <v>0</v>
          </cell>
          <cell r="AT84">
            <v>395.63099999999997</v>
          </cell>
          <cell r="AV84">
            <v>0</v>
          </cell>
          <cell r="AX84">
            <v>395.63099999999997</v>
          </cell>
          <cell r="AY84">
            <v>0</v>
          </cell>
          <cell r="BC84">
            <v>1974.1660000000002</v>
          </cell>
          <cell r="BE84">
            <v>0</v>
          </cell>
          <cell r="BG84">
            <v>-394.327</v>
          </cell>
          <cell r="BI84">
            <v>1579.8390000000002</v>
          </cell>
          <cell r="BX84">
            <v>0</v>
          </cell>
          <cell r="CD84">
            <v>0</v>
          </cell>
          <cell r="CT84">
            <v>1579.8390000000002</v>
          </cell>
          <cell r="CX84">
            <v>1579.8390000000002</v>
          </cell>
          <cell r="FC84">
            <v>1623.499</v>
          </cell>
          <cell r="FE84">
            <v>0</v>
          </cell>
          <cell r="FF84">
            <v>1623.499</v>
          </cell>
          <cell r="FI84">
            <v>0</v>
          </cell>
          <cell r="FN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1623.499</v>
          </cell>
          <cell r="FV84">
            <v>1623.499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GC84">
            <v>1623.499</v>
          </cell>
          <cell r="GD84">
            <v>1645.2693113048706</v>
          </cell>
          <cell r="GE84">
            <v>1623.499</v>
          </cell>
          <cell r="GF84">
            <v>4.1035687294473897</v>
          </cell>
          <cell r="GG84">
            <v>0</v>
          </cell>
          <cell r="GH84">
            <v>0</v>
          </cell>
        </row>
        <row r="85">
          <cell r="A85" t="str">
            <v>ISRACABLE-shares</v>
          </cell>
          <cell r="B85">
            <v>0.41499999999999998</v>
          </cell>
          <cell r="AD85">
            <v>0</v>
          </cell>
          <cell r="AJ85">
            <v>0</v>
          </cell>
          <cell r="AP85">
            <v>0</v>
          </cell>
          <cell r="AT85">
            <v>0</v>
          </cell>
          <cell r="AX85">
            <v>0</v>
          </cell>
          <cell r="AY85">
            <v>0</v>
          </cell>
          <cell r="AZ85" t="str">
            <v>ISRACABLE-shares</v>
          </cell>
          <cell r="BA85">
            <v>0.41499999999999998</v>
          </cell>
          <cell r="BI85">
            <v>0</v>
          </cell>
          <cell r="BX85">
            <v>0</v>
          </cell>
          <cell r="CD85">
            <v>0</v>
          </cell>
          <cell r="CJ85">
            <v>0</v>
          </cell>
          <cell r="CP85">
            <v>0</v>
          </cell>
          <cell r="CT85">
            <v>0</v>
          </cell>
          <cell r="CX85">
            <v>0</v>
          </cell>
          <cell r="FN85">
            <v>0</v>
          </cell>
          <cell r="FO85">
            <v>0</v>
          </cell>
          <cell r="FR85">
            <v>0</v>
          </cell>
          <cell r="FS85">
            <v>0</v>
          </cell>
          <cell r="FV85">
            <v>0</v>
          </cell>
          <cell r="FW85" t="str">
            <v>ISRACABLE-shares</v>
          </cell>
          <cell r="FX85">
            <v>0</v>
          </cell>
          <cell r="FY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 t="e">
            <v>#DIV/0!</v>
          </cell>
          <cell r="GG85">
            <v>0</v>
          </cell>
          <cell r="GH85">
            <v>0</v>
          </cell>
        </row>
        <row r="86">
          <cell r="A86" t="str">
            <v xml:space="preserve"> long term loans</v>
          </cell>
          <cell r="AD86">
            <v>0</v>
          </cell>
          <cell r="AF86">
            <v>1.002</v>
          </cell>
          <cell r="AJ86">
            <v>1.002</v>
          </cell>
          <cell r="AN86">
            <v>-1.002</v>
          </cell>
          <cell r="AP86">
            <v>0</v>
          </cell>
          <cell r="AT86">
            <v>0</v>
          </cell>
          <cell r="AX86">
            <v>0</v>
          </cell>
          <cell r="AY86">
            <v>0</v>
          </cell>
          <cell r="AZ86" t="str">
            <v xml:space="preserve"> long term loans</v>
          </cell>
          <cell r="BI86">
            <v>0</v>
          </cell>
          <cell r="BX86">
            <v>0</v>
          </cell>
          <cell r="CD86">
            <v>0</v>
          </cell>
          <cell r="CF86">
            <v>4.1680000000000001</v>
          </cell>
          <cell r="CH86">
            <v>0</v>
          </cell>
          <cell r="CJ86">
            <v>4.1680000000000001</v>
          </cell>
          <cell r="CN86">
            <v>-1.002</v>
          </cell>
          <cell r="CP86">
            <v>3.1660000000000004</v>
          </cell>
          <cell r="CT86">
            <v>3.1660000000000004</v>
          </cell>
          <cell r="CX86">
            <v>3.1660000000000004</v>
          </cell>
          <cell r="FN86">
            <v>0</v>
          </cell>
          <cell r="FO86">
            <v>4.1680000000000001</v>
          </cell>
          <cell r="FQ86">
            <v>0</v>
          </cell>
          <cell r="FR86">
            <v>4.1680000000000001</v>
          </cell>
          <cell r="FS86">
            <v>0</v>
          </cell>
          <cell r="FT86">
            <v>4.1680000000000001</v>
          </cell>
          <cell r="FU86">
            <v>-4.1680000000000001</v>
          </cell>
          <cell r="FV86">
            <v>0</v>
          </cell>
          <cell r="FW86" t="str">
            <v xml:space="preserve"> long term loans</v>
          </cell>
          <cell r="FX86">
            <v>0</v>
          </cell>
          <cell r="FY86">
            <v>4.1680000000000001</v>
          </cell>
          <cell r="FZ86">
            <v>-4.1680000000000001</v>
          </cell>
          <cell r="GA86">
            <v>0</v>
          </cell>
          <cell r="GB86">
            <v>0</v>
          </cell>
          <cell r="GC86">
            <v>0</v>
          </cell>
          <cell r="GD86">
            <v>0</v>
          </cell>
          <cell r="GE86">
            <v>0</v>
          </cell>
          <cell r="GF86" t="e">
            <v>#DIV/0!</v>
          </cell>
          <cell r="GG86">
            <v>0</v>
          </cell>
          <cell r="GH86">
            <v>0</v>
          </cell>
        </row>
        <row r="87">
          <cell r="A87" t="str">
            <v xml:space="preserve"> accumulated profit</v>
          </cell>
          <cell r="AD87">
            <v>0</v>
          </cell>
          <cell r="AJ87">
            <v>0</v>
          </cell>
          <cell r="AN87">
            <v>0</v>
          </cell>
          <cell r="AP87">
            <v>0</v>
          </cell>
          <cell r="AT87">
            <v>0</v>
          </cell>
          <cell r="AX87">
            <v>0</v>
          </cell>
          <cell r="AY87">
            <v>0</v>
          </cell>
          <cell r="AZ87" t="str">
            <v xml:space="preserve"> accumulated profit</v>
          </cell>
          <cell r="BI87">
            <v>0</v>
          </cell>
          <cell r="BX87">
            <v>0</v>
          </cell>
          <cell r="CD87">
            <v>0</v>
          </cell>
          <cell r="CJ87">
            <v>0</v>
          </cell>
          <cell r="CN87">
            <v>0</v>
          </cell>
          <cell r="CP87">
            <v>0</v>
          </cell>
          <cell r="CT87">
            <v>0</v>
          </cell>
          <cell r="CX87">
            <v>0</v>
          </cell>
          <cell r="FN87">
            <v>0</v>
          </cell>
          <cell r="FO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V87">
            <v>0</v>
          </cell>
          <cell r="FW87" t="str">
            <v xml:space="preserve"> accumulated profit</v>
          </cell>
          <cell r="FX87">
            <v>0</v>
          </cell>
          <cell r="FY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 t="e">
            <v>#DIV/0!</v>
          </cell>
          <cell r="GG87">
            <v>0</v>
          </cell>
          <cell r="GH87">
            <v>0</v>
          </cell>
        </row>
        <row r="88">
          <cell r="A88" t="str">
            <v xml:space="preserve"> profit-(equity method)</v>
          </cell>
          <cell r="AD88">
            <v>0</v>
          </cell>
          <cell r="AJ88">
            <v>0</v>
          </cell>
          <cell r="AN88">
            <v>0</v>
          </cell>
          <cell r="AP88">
            <v>0</v>
          </cell>
          <cell r="AT88">
            <v>0</v>
          </cell>
          <cell r="AX88">
            <v>0</v>
          </cell>
          <cell r="AY88">
            <v>0</v>
          </cell>
          <cell r="AZ88" t="str">
            <v xml:space="preserve"> profit-(equity method)</v>
          </cell>
          <cell r="BI88">
            <v>0</v>
          </cell>
          <cell r="BU88">
            <v>0</v>
          </cell>
          <cell r="BX88">
            <v>0</v>
          </cell>
          <cell r="CD88">
            <v>0</v>
          </cell>
          <cell r="CJ88">
            <v>0</v>
          </cell>
          <cell r="CN88">
            <v>0</v>
          </cell>
          <cell r="CP88">
            <v>0</v>
          </cell>
          <cell r="CT88">
            <v>0</v>
          </cell>
          <cell r="CX88">
            <v>0</v>
          </cell>
          <cell r="FN88">
            <v>0</v>
          </cell>
          <cell r="FO88">
            <v>0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V88">
            <v>0</v>
          </cell>
          <cell r="FW88" t="str">
            <v xml:space="preserve"> profit-(equity method)</v>
          </cell>
          <cell r="FX88">
            <v>0</v>
          </cell>
          <cell r="FY88">
            <v>0</v>
          </cell>
          <cell r="GA88">
            <v>0</v>
          </cell>
          <cell r="GB88">
            <v>0</v>
          </cell>
          <cell r="GC88">
            <v>0</v>
          </cell>
          <cell r="GD88">
            <v>0</v>
          </cell>
          <cell r="GE88">
            <v>0</v>
          </cell>
          <cell r="GF88" t="e">
            <v>#DIV/0!</v>
          </cell>
          <cell r="GG88">
            <v>0</v>
          </cell>
          <cell r="GH88">
            <v>0</v>
          </cell>
        </row>
        <row r="89">
          <cell r="A89" t="str">
            <v xml:space="preserve"> goodwill</v>
          </cell>
          <cell r="AD89">
            <v>0</v>
          </cell>
          <cell r="AF89">
            <v>49.908999999999999</v>
          </cell>
          <cell r="AJ89">
            <v>49.908999999999999</v>
          </cell>
          <cell r="AP89">
            <v>49.908999999999999</v>
          </cell>
          <cell r="AT89">
            <v>49.908999999999999</v>
          </cell>
          <cell r="AV89">
            <v>-49.908999999999999</v>
          </cell>
          <cell r="AX89">
            <v>0</v>
          </cell>
          <cell r="AY89">
            <v>0</v>
          </cell>
          <cell r="AZ89" t="str">
            <v xml:space="preserve"> goodwill</v>
          </cell>
          <cell r="BX89">
            <v>0</v>
          </cell>
          <cell r="CD89">
            <v>0</v>
          </cell>
          <cell r="CF89">
            <v>114.83</v>
          </cell>
          <cell r="CJ89">
            <v>114.83</v>
          </cell>
          <cell r="CP89">
            <v>114.83</v>
          </cell>
          <cell r="CT89">
            <v>114.83</v>
          </cell>
          <cell r="CV89">
            <v>-114.83</v>
          </cell>
          <cell r="CX89">
            <v>0</v>
          </cell>
          <cell r="FN89">
            <v>0</v>
          </cell>
          <cell r="FO89">
            <v>216.82900000000001</v>
          </cell>
          <cell r="FR89">
            <v>216.82900000000001</v>
          </cell>
          <cell r="FS89">
            <v>0</v>
          </cell>
          <cell r="FT89">
            <v>216.82900000000001</v>
          </cell>
          <cell r="FU89">
            <v>-216.82900000000001</v>
          </cell>
          <cell r="FV89">
            <v>0</v>
          </cell>
          <cell r="FW89" t="str">
            <v xml:space="preserve"> goodwill</v>
          </cell>
          <cell r="FX89">
            <v>0</v>
          </cell>
          <cell r="FY89">
            <v>216.82900000000001</v>
          </cell>
          <cell r="FZ89">
            <v>-216.82900000000001</v>
          </cell>
          <cell r="GA89">
            <v>0</v>
          </cell>
          <cell r="GB89">
            <v>0</v>
          </cell>
          <cell r="GC89">
            <v>0</v>
          </cell>
          <cell r="GD89">
            <v>0</v>
          </cell>
          <cell r="GE89">
            <v>0</v>
          </cell>
          <cell r="GF89" t="e">
            <v>#DIV/0!</v>
          </cell>
          <cell r="GG89">
            <v>286.76159372958853</v>
          </cell>
          <cell r="GH89">
            <v>0</v>
          </cell>
          <cell r="GT89" t="str">
            <v xml:space="preserve">דוח דולר  </v>
          </cell>
        </row>
        <row r="90">
          <cell r="B90" t="str">
            <v xml:space="preserve">total </v>
          </cell>
          <cell r="C90">
            <v>0</v>
          </cell>
          <cell r="E90">
            <v>0</v>
          </cell>
          <cell r="G90">
            <v>0</v>
          </cell>
          <cell r="I90">
            <v>0</v>
          </cell>
          <cell r="M90">
            <v>0</v>
          </cell>
          <cell r="O90">
            <v>0</v>
          </cell>
          <cell r="Q90">
            <v>0</v>
          </cell>
          <cell r="S90">
            <v>0</v>
          </cell>
          <cell r="U90">
            <v>0</v>
          </cell>
          <cell r="Z90">
            <v>0</v>
          </cell>
          <cell r="AB90">
            <v>0</v>
          </cell>
          <cell r="AD90">
            <v>0</v>
          </cell>
          <cell r="AF90">
            <v>50.911000000000001</v>
          </cell>
          <cell r="AH90">
            <v>0</v>
          </cell>
          <cell r="AJ90">
            <v>50.911000000000001</v>
          </cell>
          <cell r="AN90">
            <v>-1.002</v>
          </cell>
          <cell r="AP90">
            <v>49.908999999999999</v>
          </cell>
          <cell r="AR90">
            <v>0</v>
          </cell>
          <cell r="AT90">
            <v>49.908999999999999</v>
          </cell>
          <cell r="AV90">
            <v>-49.908999999999999</v>
          </cell>
          <cell r="AX90">
            <v>0</v>
          </cell>
          <cell r="AY90">
            <v>0</v>
          </cell>
          <cell r="BA90" t="str">
            <v xml:space="preserve">total </v>
          </cell>
          <cell r="BC90">
            <v>0</v>
          </cell>
          <cell r="BE90">
            <v>0</v>
          </cell>
          <cell r="BG90">
            <v>0</v>
          </cell>
          <cell r="BI90">
            <v>0</v>
          </cell>
          <cell r="BO90">
            <v>0</v>
          </cell>
          <cell r="BQ90">
            <v>0</v>
          </cell>
          <cell r="BS90">
            <v>0</v>
          </cell>
          <cell r="BU90">
            <v>0</v>
          </cell>
          <cell r="BX90">
            <v>0</v>
          </cell>
          <cell r="BZ90">
            <v>0</v>
          </cell>
          <cell r="CB90">
            <v>0</v>
          </cell>
          <cell r="CD90">
            <v>0</v>
          </cell>
          <cell r="CF90">
            <v>118.998</v>
          </cell>
          <cell r="CH90">
            <v>0</v>
          </cell>
          <cell r="CJ90">
            <v>118.998</v>
          </cell>
          <cell r="CL90">
            <v>0</v>
          </cell>
          <cell r="CN90">
            <v>-1.002</v>
          </cell>
          <cell r="CP90">
            <v>117.996</v>
          </cell>
          <cell r="CR90">
            <v>0</v>
          </cell>
          <cell r="CT90">
            <v>117.996</v>
          </cell>
          <cell r="CV90">
            <v>-114.83</v>
          </cell>
          <cell r="CX90">
            <v>3.1660000000000004</v>
          </cell>
          <cell r="FC90">
            <v>0</v>
          </cell>
          <cell r="FE90">
            <v>0</v>
          </cell>
          <cell r="FI90">
            <v>0</v>
          </cell>
          <cell r="FM90">
            <v>0</v>
          </cell>
          <cell r="FN90">
            <v>0</v>
          </cell>
          <cell r="FO90">
            <v>220.99700000000001</v>
          </cell>
          <cell r="FQ90">
            <v>0</v>
          </cell>
          <cell r="FR90">
            <v>220.99700000000001</v>
          </cell>
          <cell r="FS90">
            <v>0</v>
          </cell>
          <cell r="FT90">
            <v>220.99700000000001</v>
          </cell>
          <cell r="FU90">
            <v>-220.99700000000001</v>
          </cell>
          <cell r="FV90">
            <v>0</v>
          </cell>
          <cell r="FX90">
            <v>0</v>
          </cell>
          <cell r="FY90">
            <v>220.99700000000001</v>
          </cell>
          <cell r="FZ90">
            <v>-220.99700000000001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 t="e">
            <v>#DIV/0!</v>
          </cell>
          <cell r="GG90">
            <v>286.76159372958853</v>
          </cell>
          <cell r="GH90">
            <v>0</v>
          </cell>
        </row>
        <row r="91">
          <cell r="A91" t="str">
            <v>TOTAL INVESTMENTS</v>
          </cell>
          <cell r="C91">
            <v>73599.842999999993</v>
          </cell>
          <cell r="E91">
            <v>0</v>
          </cell>
          <cell r="G91">
            <v>5511.5614496153848</v>
          </cell>
          <cell r="I91">
            <v>79111.40444961538</v>
          </cell>
          <cell r="K91">
            <v>0</v>
          </cell>
          <cell r="M91">
            <v>0</v>
          </cell>
          <cell r="O91">
            <v>0</v>
          </cell>
          <cell r="Q91">
            <v>90867.509815384619</v>
          </cell>
          <cell r="S91">
            <v>-186.898</v>
          </cell>
          <cell r="U91">
            <v>90680.611815384618</v>
          </cell>
          <cell r="W91">
            <v>-5165.25</v>
          </cell>
          <cell r="X91">
            <v>326</v>
          </cell>
          <cell r="Z91">
            <v>0</v>
          </cell>
          <cell r="AB91">
            <v>-2629.3998153846155</v>
          </cell>
          <cell r="AD91">
            <v>83211.962</v>
          </cell>
          <cell r="AF91">
            <v>8707.65</v>
          </cell>
          <cell r="AH91">
            <v>2329.5149999999999</v>
          </cell>
          <cell r="AJ91">
            <v>11037.164999999999</v>
          </cell>
          <cell r="AL91">
            <v>0</v>
          </cell>
          <cell r="AN91">
            <v>-10899.692999999999</v>
          </cell>
          <cell r="AP91">
            <v>137.47200000000001</v>
          </cell>
          <cell r="AR91">
            <v>0</v>
          </cell>
          <cell r="AT91">
            <v>162460.8384496154</v>
          </cell>
          <cell r="AV91">
            <v>-158847.57350961538</v>
          </cell>
          <cell r="AX91">
            <v>3613.26494</v>
          </cell>
          <cell r="AY91">
            <v>2.2737367544323206E-11</v>
          </cell>
          <cell r="AZ91" t="str">
            <v>TOTAL INVESTMENTS</v>
          </cell>
          <cell r="BC91">
            <v>198946.75874999998</v>
          </cell>
          <cell r="BE91">
            <v>0</v>
          </cell>
          <cell r="BG91">
            <v>23302.147870000001</v>
          </cell>
          <cell r="BI91">
            <v>222248.90662000002</v>
          </cell>
          <cell r="BM91">
            <v>0</v>
          </cell>
          <cell r="BO91">
            <v>0</v>
          </cell>
          <cell r="BQ91">
            <v>343957.83600000001</v>
          </cell>
          <cell r="BS91">
            <v>0</v>
          </cell>
          <cell r="BU91">
            <v>343957.83600000001</v>
          </cell>
          <cell r="BW91">
            <v>14883.217000000001</v>
          </cell>
          <cell r="BX91">
            <v>621</v>
          </cell>
          <cell r="BZ91">
            <v>0</v>
          </cell>
          <cell r="CB91">
            <v>-4893.777</v>
          </cell>
          <cell r="CD91">
            <v>354568.27600000001</v>
          </cell>
          <cell r="CF91">
            <v>5238.1120000000001</v>
          </cell>
          <cell r="CH91">
            <v>1948.2059999999983</v>
          </cell>
          <cell r="CJ91">
            <v>7186.3179999999984</v>
          </cell>
          <cell r="CL91">
            <v>0</v>
          </cell>
          <cell r="CN91">
            <v>-6864.9979999999996</v>
          </cell>
          <cell r="CP91">
            <v>321.32</v>
          </cell>
          <cell r="CR91">
            <v>0</v>
          </cell>
          <cell r="CT91">
            <v>577138.50262000004</v>
          </cell>
          <cell r="CV91">
            <v>-574280.57499999995</v>
          </cell>
          <cell r="CX91">
            <v>2857.9276199999986</v>
          </cell>
          <cell r="FC91">
            <v>309875.64030437625</v>
          </cell>
          <cell r="FE91">
            <v>1.0456000000045265</v>
          </cell>
          <cell r="FF91">
            <v>309876.68590437621</v>
          </cell>
          <cell r="FI91">
            <v>362241.14500000002</v>
          </cell>
          <cell r="FJ91">
            <v>-23378.782999999999</v>
          </cell>
          <cell r="FK91">
            <v>1092</v>
          </cell>
          <cell r="FM91">
            <v>-5338.1769999999997</v>
          </cell>
          <cell r="FN91">
            <v>334616.185</v>
          </cell>
          <cell r="FO91">
            <v>46600.830219000003</v>
          </cell>
          <cell r="FQ91">
            <v>-45995.904219000004</v>
          </cell>
          <cell r="FR91">
            <v>604.92599999999948</v>
          </cell>
          <cell r="FS91">
            <v>0</v>
          </cell>
          <cell r="FT91">
            <v>645097.79690437624</v>
          </cell>
          <cell r="FU91">
            <v>-635356.37258693669</v>
          </cell>
          <cell r="FV91">
            <v>9740.8059307642052</v>
          </cell>
          <cell r="FW91" t="str">
            <v>TOTAL INVESTMENTS</v>
          </cell>
          <cell r="FX91">
            <v>334616.185</v>
          </cell>
          <cell r="FY91">
            <v>604.92599999999993</v>
          </cell>
          <cell r="FZ91">
            <v>-328981.87699999998</v>
          </cell>
          <cell r="GA91">
            <v>6239.2340000000004</v>
          </cell>
          <cell r="GB91">
            <v>6322.8990139506914</v>
          </cell>
          <cell r="GC91">
            <v>9740.8059307642052</v>
          </cell>
          <cell r="GD91">
            <v>9871.4252766788377</v>
          </cell>
          <cell r="GE91">
            <v>3501.5719307642048</v>
          </cell>
          <cell r="GF91">
            <v>2.6958460263819473</v>
          </cell>
          <cell r="GG91">
            <v>6109.1994486187441</v>
          </cell>
          <cell r="GH91">
            <v>0.61838667534721026</v>
          </cell>
        </row>
        <row r="92">
          <cell r="FX92">
            <v>0</v>
          </cell>
          <cell r="FY92">
            <v>0</v>
          </cell>
          <cell r="GA92">
            <v>0</v>
          </cell>
          <cell r="GB92">
            <v>0</v>
          </cell>
          <cell r="GC92">
            <v>0</v>
          </cell>
          <cell r="GD92">
            <v>0</v>
          </cell>
          <cell r="GE92">
            <v>0</v>
          </cell>
        </row>
        <row r="93">
          <cell r="A93" t="str">
            <v>OTHER INVESTMENTS</v>
          </cell>
          <cell r="AT93">
            <v>0</v>
          </cell>
          <cell r="AY93">
            <v>0</v>
          </cell>
          <cell r="AZ93" t="str">
            <v>OTHER INVESTMENTS</v>
          </cell>
          <cell r="BX93">
            <v>0</v>
          </cell>
          <cell r="CD93">
            <v>0</v>
          </cell>
          <cell r="CT93">
            <v>0</v>
          </cell>
          <cell r="FS93">
            <v>0</v>
          </cell>
          <cell r="FW93" t="str">
            <v>OTHER INVESTMENTS</v>
          </cell>
          <cell r="FX93">
            <v>0</v>
          </cell>
          <cell r="FY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 t="e">
            <v>#DIV/0!</v>
          </cell>
          <cell r="GH93">
            <v>0</v>
          </cell>
        </row>
        <row r="94">
          <cell r="A94" t="str">
            <v>Preferred shares 3% AGI.Ltd</v>
          </cell>
          <cell r="C94">
            <v>12785.105</v>
          </cell>
          <cell r="I94">
            <v>12785.105</v>
          </cell>
          <cell r="U94">
            <v>0</v>
          </cell>
          <cell r="AD94">
            <v>0</v>
          </cell>
          <cell r="AJ94">
            <v>0</v>
          </cell>
          <cell r="AP94">
            <v>0</v>
          </cell>
          <cell r="AT94">
            <v>12785.105</v>
          </cell>
          <cell r="AX94">
            <v>12785.105</v>
          </cell>
          <cell r="AY94">
            <v>0</v>
          </cell>
          <cell r="AZ94" t="str">
            <v>Preferred shares 3% AGI.Ltd</v>
          </cell>
          <cell r="BC94">
            <v>45631.175999999999</v>
          </cell>
          <cell r="BI94">
            <v>45631.175999999999</v>
          </cell>
          <cell r="BX94">
            <v>0</v>
          </cell>
          <cell r="CD94">
            <v>0</v>
          </cell>
          <cell r="CJ94">
            <v>0</v>
          </cell>
          <cell r="CP94">
            <v>0</v>
          </cell>
          <cell r="CT94">
            <v>45631.175999999999</v>
          </cell>
          <cell r="CX94">
            <v>45631.175999999999</v>
          </cell>
          <cell r="FC94">
            <v>49766.67</v>
          </cell>
          <cell r="FF94">
            <v>49766.67</v>
          </cell>
          <cell r="FN94">
            <v>0</v>
          </cell>
          <cell r="FO94">
            <v>0</v>
          </cell>
          <cell r="FR94">
            <v>0</v>
          </cell>
          <cell r="FS94">
            <v>0</v>
          </cell>
          <cell r="FT94">
            <v>49766.67</v>
          </cell>
          <cell r="FV94">
            <v>49766.67</v>
          </cell>
          <cell r="FW94" t="str">
            <v>Preferred shares 3% AGI.Ltd</v>
          </cell>
          <cell r="FX94">
            <v>0</v>
          </cell>
          <cell r="FY94">
            <v>0</v>
          </cell>
          <cell r="GA94">
            <v>0</v>
          </cell>
          <cell r="GB94">
            <v>0</v>
          </cell>
          <cell r="GC94">
            <v>49766.67</v>
          </cell>
          <cell r="GD94">
            <v>50434.016206253749</v>
          </cell>
          <cell r="GE94">
            <v>49766.67</v>
          </cell>
          <cell r="GF94">
            <v>3.8925507455746353</v>
          </cell>
          <cell r="GG94">
            <v>35131.978597648595</v>
          </cell>
          <cell r="GH94">
            <v>0</v>
          </cell>
        </row>
        <row r="95">
          <cell r="A95" t="str">
            <v>Capital Notes AIG Golden I.Ltd</v>
          </cell>
          <cell r="C95">
            <v>1737.877</v>
          </cell>
          <cell r="I95">
            <v>1737.877</v>
          </cell>
          <cell r="U95">
            <v>0</v>
          </cell>
          <cell r="AD95">
            <v>0</v>
          </cell>
          <cell r="AJ95">
            <v>0</v>
          </cell>
          <cell r="AP95">
            <v>0</v>
          </cell>
          <cell r="AT95">
            <v>1737.877</v>
          </cell>
          <cell r="AX95">
            <v>1737.877</v>
          </cell>
          <cell r="AY95">
            <v>0</v>
          </cell>
          <cell r="AZ95" t="str">
            <v>Capital Notes AIG Golden I.Ltd</v>
          </cell>
          <cell r="BC95">
            <v>7229.5690000000004</v>
          </cell>
          <cell r="BG95">
            <v>0</v>
          </cell>
          <cell r="BI95">
            <v>7229.5690000000004</v>
          </cell>
          <cell r="BX95">
            <v>0</v>
          </cell>
          <cell r="CD95">
            <v>0</v>
          </cell>
          <cell r="CJ95">
            <v>0</v>
          </cell>
          <cell r="CP95">
            <v>0</v>
          </cell>
          <cell r="CT95">
            <v>7229.5690000000004</v>
          </cell>
          <cell r="CX95">
            <v>7229.5690000000004</v>
          </cell>
          <cell r="FC95">
            <v>7229.5690000000004</v>
          </cell>
          <cell r="FF95">
            <v>7229.5690000000004</v>
          </cell>
          <cell r="FN95">
            <v>0</v>
          </cell>
          <cell r="FO95">
            <v>0</v>
          </cell>
          <cell r="FR95">
            <v>0</v>
          </cell>
          <cell r="FS95">
            <v>0</v>
          </cell>
          <cell r="FT95">
            <v>7229.5690000000004</v>
          </cell>
          <cell r="FV95">
            <v>7229.5690000000004</v>
          </cell>
          <cell r="FW95" t="str">
            <v>Capital Notes AIG Golden I.Ltd</v>
          </cell>
          <cell r="FX95">
            <v>0</v>
          </cell>
          <cell r="FY95">
            <v>0</v>
          </cell>
          <cell r="GA95">
            <v>0</v>
          </cell>
          <cell r="GB95">
            <v>0</v>
          </cell>
          <cell r="GC95">
            <v>7229.5690000000004</v>
          </cell>
          <cell r="GD95">
            <v>7326.5139120264585</v>
          </cell>
          <cell r="GE95">
            <v>7229.5690000000004</v>
          </cell>
          <cell r="GF95">
            <v>4.1600003912820069</v>
          </cell>
          <cell r="GG95">
            <v>7257.5438125408245</v>
          </cell>
          <cell r="GH95">
            <v>0</v>
          </cell>
        </row>
        <row r="96">
          <cell r="A96" t="str">
            <v>Provision for the year-AGI</v>
          </cell>
          <cell r="I96">
            <v>0</v>
          </cell>
          <cell r="U96">
            <v>0</v>
          </cell>
          <cell r="AD96">
            <v>0</v>
          </cell>
          <cell r="AJ96">
            <v>0</v>
          </cell>
          <cell r="AP96">
            <v>0</v>
          </cell>
          <cell r="AT96">
            <v>0</v>
          </cell>
          <cell r="AX96">
            <v>0</v>
          </cell>
          <cell r="AY96">
            <v>0</v>
          </cell>
          <cell r="AZ96" t="str">
            <v>Provision for the year</v>
          </cell>
          <cell r="BG96">
            <v>0</v>
          </cell>
          <cell r="BI96">
            <v>0</v>
          </cell>
          <cell r="BX96">
            <v>0</v>
          </cell>
          <cell r="CD96">
            <v>0</v>
          </cell>
          <cell r="CJ96">
            <v>0</v>
          </cell>
          <cell r="CP96">
            <v>0</v>
          </cell>
          <cell r="CT96">
            <v>0</v>
          </cell>
          <cell r="CX96">
            <v>0</v>
          </cell>
          <cell r="FN96">
            <v>0</v>
          </cell>
          <cell r="FO96">
            <v>0</v>
          </cell>
          <cell r="FR96">
            <v>0</v>
          </cell>
          <cell r="FS96">
            <v>0</v>
          </cell>
          <cell r="FT96">
            <v>0</v>
          </cell>
          <cell r="FV96">
            <v>0</v>
          </cell>
          <cell r="FW96" t="str">
            <v>Provision for the year-AGI</v>
          </cell>
          <cell r="FX96">
            <v>0</v>
          </cell>
          <cell r="FY96">
            <v>0</v>
          </cell>
          <cell r="GA96">
            <v>0</v>
          </cell>
          <cell r="GB96">
            <v>0</v>
          </cell>
          <cell r="GC96">
            <v>0</v>
          </cell>
          <cell r="GD96">
            <v>0</v>
          </cell>
          <cell r="GE96">
            <v>0</v>
          </cell>
          <cell r="GF96" t="e">
            <v>#DIV/0!</v>
          </cell>
          <cell r="GG96">
            <v>0</v>
          </cell>
          <cell r="GH96">
            <v>0</v>
          </cell>
        </row>
        <row r="97">
          <cell r="A97" t="str">
            <v>Accumulated Provision</v>
          </cell>
          <cell r="I97">
            <v>0</v>
          </cell>
          <cell r="U97">
            <v>0</v>
          </cell>
          <cell r="AD97">
            <v>0</v>
          </cell>
          <cell r="AJ97">
            <v>0</v>
          </cell>
          <cell r="AP97">
            <v>0</v>
          </cell>
          <cell r="AT97">
            <v>0</v>
          </cell>
          <cell r="AX97">
            <v>0</v>
          </cell>
          <cell r="AY97">
            <v>0</v>
          </cell>
          <cell r="AZ97" t="str">
            <v>Accumulated Provision</v>
          </cell>
          <cell r="BI97">
            <v>0</v>
          </cell>
          <cell r="BX97">
            <v>0</v>
          </cell>
          <cell r="CD97">
            <v>0</v>
          </cell>
          <cell r="CJ97">
            <v>0</v>
          </cell>
          <cell r="CP97">
            <v>0</v>
          </cell>
          <cell r="CT97">
            <v>0</v>
          </cell>
          <cell r="CX97">
            <v>0</v>
          </cell>
          <cell r="FN97">
            <v>0</v>
          </cell>
          <cell r="FO97">
            <v>0</v>
          </cell>
          <cell r="FR97">
            <v>0</v>
          </cell>
          <cell r="FS97">
            <v>0</v>
          </cell>
          <cell r="FT97">
            <v>0</v>
          </cell>
          <cell r="FV97">
            <v>0</v>
          </cell>
          <cell r="FW97" t="str">
            <v>Accumulated Provision</v>
          </cell>
          <cell r="FX97">
            <v>0</v>
          </cell>
          <cell r="FY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 t="e">
            <v>#DIV/0!</v>
          </cell>
          <cell r="GG97">
            <v>0</v>
          </cell>
          <cell r="GH97">
            <v>0</v>
          </cell>
        </row>
        <row r="98">
          <cell r="C98">
            <v>14522.982</v>
          </cell>
          <cell r="E98">
            <v>0</v>
          </cell>
          <cell r="G98">
            <v>0</v>
          </cell>
          <cell r="I98">
            <v>14522.982</v>
          </cell>
          <cell r="M98">
            <v>0</v>
          </cell>
          <cell r="O98">
            <v>0</v>
          </cell>
          <cell r="Q98">
            <v>0</v>
          </cell>
          <cell r="S98">
            <v>0</v>
          </cell>
          <cell r="U98">
            <v>0</v>
          </cell>
          <cell r="Z98">
            <v>0</v>
          </cell>
          <cell r="AB98">
            <v>0</v>
          </cell>
          <cell r="AD98">
            <v>0</v>
          </cell>
          <cell r="AF98">
            <v>0</v>
          </cell>
          <cell r="AH98">
            <v>0</v>
          </cell>
          <cell r="AJ98">
            <v>0</v>
          </cell>
          <cell r="AL98">
            <v>0</v>
          </cell>
          <cell r="AN98">
            <v>0</v>
          </cell>
          <cell r="AP98">
            <v>0</v>
          </cell>
          <cell r="AR98">
            <v>0</v>
          </cell>
          <cell r="AT98">
            <v>14522.982</v>
          </cell>
          <cell r="AV98">
            <v>0</v>
          </cell>
          <cell r="AX98">
            <v>14522.982</v>
          </cell>
          <cell r="AY98">
            <v>0</v>
          </cell>
          <cell r="BA98" t="str">
            <v xml:space="preserve">total </v>
          </cell>
          <cell r="BC98">
            <v>52860.745000000003</v>
          </cell>
          <cell r="BE98">
            <v>0</v>
          </cell>
          <cell r="BG98">
            <v>0</v>
          </cell>
          <cell r="BI98">
            <v>52860.745000000003</v>
          </cell>
          <cell r="BM98">
            <v>0</v>
          </cell>
          <cell r="BO98">
            <v>0</v>
          </cell>
          <cell r="BQ98">
            <v>0</v>
          </cell>
          <cell r="BS98">
            <v>0</v>
          </cell>
          <cell r="BU98">
            <v>0</v>
          </cell>
          <cell r="BW98">
            <v>0</v>
          </cell>
          <cell r="BX98">
            <v>0</v>
          </cell>
          <cell r="BZ98">
            <v>0</v>
          </cell>
          <cell r="CB98">
            <v>0</v>
          </cell>
          <cell r="CD98">
            <v>0</v>
          </cell>
          <cell r="CF98">
            <v>0</v>
          </cell>
          <cell r="CH98">
            <v>0</v>
          </cell>
          <cell r="CJ98">
            <v>0</v>
          </cell>
          <cell r="CL98">
            <v>0</v>
          </cell>
          <cell r="CN98">
            <v>0</v>
          </cell>
          <cell r="CP98">
            <v>0</v>
          </cell>
          <cell r="CR98">
            <v>0</v>
          </cell>
          <cell r="CT98">
            <v>52860.745000000003</v>
          </cell>
          <cell r="CV98">
            <v>0</v>
          </cell>
          <cell r="CX98">
            <v>52860.745000000003</v>
          </cell>
          <cell r="FC98">
            <v>56996.239000000001</v>
          </cell>
          <cell r="FE98">
            <v>0</v>
          </cell>
          <cell r="FF98">
            <v>56996.239000000001</v>
          </cell>
          <cell r="FI98">
            <v>0</v>
          </cell>
          <cell r="FJ98">
            <v>0</v>
          </cell>
          <cell r="FK98">
            <v>0</v>
          </cell>
          <cell r="FM98">
            <v>0</v>
          </cell>
          <cell r="FN98">
            <v>0</v>
          </cell>
          <cell r="FO98">
            <v>0</v>
          </cell>
          <cell r="FQ98">
            <v>0</v>
          </cell>
          <cell r="FR98">
            <v>0</v>
          </cell>
          <cell r="FS98">
            <v>0</v>
          </cell>
          <cell r="FT98">
            <v>56996.239000000001</v>
          </cell>
          <cell r="FU98">
            <v>0</v>
          </cell>
          <cell r="FV98">
            <v>56996.239000000001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GC98">
            <v>56996.239000000001</v>
          </cell>
          <cell r="GD98">
            <v>57760.530118280207</v>
          </cell>
          <cell r="GE98">
            <v>56996.239000000001</v>
          </cell>
          <cell r="GF98">
            <v>3.9245548193890207</v>
          </cell>
          <cell r="GG98">
            <v>42389.522410189427</v>
          </cell>
          <cell r="GH98">
            <v>0</v>
          </cell>
        </row>
        <row r="99">
          <cell r="A99" t="str">
            <v>AU. GOL.MED 1</v>
          </cell>
          <cell r="B99">
            <v>0.1</v>
          </cell>
          <cell r="C99">
            <v>2.3079999999999998</v>
          </cell>
          <cell r="I99">
            <v>2.3079999999999998</v>
          </cell>
          <cell r="U99">
            <v>0</v>
          </cell>
          <cell r="AD99">
            <v>0</v>
          </cell>
          <cell r="AJ99">
            <v>0</v>
          </cell>
          <cell r="AP99">
            <v>0</v>
          </cell>
          <cell r="AT99">
            <v>2.3079999999999998</v>
          </cell>
          <cell r="AX99">
            <v>2.3079999999999998</v>
          </cell>
          <cell r="AY99">
            <v>0</v>
          </cell>
          <cell r="AZ99" t="str">
            <v>AUREC GOLDEN MED 1</v>
          </cell>
          <cell r="BC99">
            <v>8.25</v>
          </cell>
          <cell r="BI99">
            <v>8.25</v>
          </cell>
          <cell r="BX99">
            <v>0</v>
          </cell>
          <cell r="CD99">
            <v>0</v>
          </cell>
          <cell r="CJ99">
            <v>0</v>
          </cell>
          <cell r="CP99">
            <v>0</v>
          </cell>
          <cell r="CT99">
            <v>8.25</v>
          </cell>
          <cell r="CX99">
            <v>8.25</v>
          </cell>
          <cell r="FC99">
            <v>8.9239999999999995</v>
          </cell>
          <cell r="FF99">
            <v>8.9239999999999995</v>
          </cell>
          <cell r="FO99">
            <v>0</v>
          </cell>
          <cell r="FR99">
            <v>0</v>
          </cell>
          <cell r="FS99">
            <v>0</v>
          </cell>
          <cell r="FT99">
            <v>8.9239999999999995</v>
          </cell>
          <cell r="FV99">
            <v>8.9239999999999995</v>
          </cell>
          <cell r="FW99" t="str">
            <v>AU. GOL.MED 1</v>
          </cell>
          <cell r="FX99">
            <v>0</v>
          </cell>
          <cell r="FY99">
            <v>0</v>
          </cell>
          <cell r="GA99">
            <v>0</v>
          </cell>
          <cell r="GB99">
            <v>0</v>
          </cell>
          <cell r="GC99">
            <v>8.9239999999999995</v>
          </cell>
          <cell r="GD99">
            <v>9.0436663860493081</v>
          </cell>
          <cell r="GE99">
            <v>8.9239999999999995</v>
          </cell>
          <cell r="GF99">
            <v>3.8665511265164647</v>
          </cell>
          <cell r="GG99">
            <v>5.5527472240365778</v>
          </cell>
          <cell r="GH99">
            <v>0</v>
          </cell>
        </row>
        <row r="100">
          <cell r="A100" t="str">
            <v xml:space="preserve"> Long term loans-Med1</v>
          </cell>
          <cell r="C100">
            <v>892.274</v>
          </cell>
          <cell r="I100">
            <v>892.274</v>
          </cell>
          <cell r="U100">
            <v>0</v>
          </cell>
          <cell r="AD100">
            <v>0</v>
          </cell>
          <cell r="AJ100">
            <v>0</v>
          </cell>
          <cell r="AP100">
            <v>0</v>
          </cell>
          <cell r="AT100">
            <v>892.274</v>
          </cell>
          <cell r="AX100">
            <v>892.274</v>
          </cell>
          <cell r="AY100">
            <v>0</v>
          </cell>
          <cell r="AZ100" t="str">
            <v xml:space="preserve"> long term loans+ idan</v>
          </cell>
          <cell r="BC100">
            <v>3711.8609999999999</v>
          </cell>
          <cell r="BI100">
            <v>3711.8609999999999</v>
          </cell>
          <cell r="BX100">
            <v>0</v>
          </cell>
          <cell r="CD100">
            <v>0</v>
          </cell>
          <cell r="CJ100">
            <v>0</v>
          </cell>
          <cell r="CP100">
            <v>0</v>
          </cell>
          <cell r="CT100">
            <v>3711.8609999999999</v>
          </cell>
          <cell r="CX100">
            <v>3711.8609999999999</v>
          </cell>
          <cell r="FC100">
            <v>3711.8609999999999</v>
          </cell>
          <cell r="FF100">
            <v>3711.8609999999999</v>
          </cell>
          <cell r="FN100">
            <v>0</v>
          </cell>
          <cell r="FO100">
            <v>0</v>
          </cell>
          <cell r="FR100">
            <v>0</v>
          </cell>
          <cell r="FS100">
            <v>0</v>
          </cell>
          <cell r="FT100">
            <v>3711.8609999999999</v>
          </cell>
          <cell r="FV100">
            <v>3711.8609999999999</v>
          </cell>
          <cell r="FW100" t="str">
            <v xml:space="preserve"> Long term loans-Med1</v>
          </cell>
          <cell r="FX100">
            <v>0</v>
          </cell>
          <cell r="FY100">
            <v>0</v>
          </cell>
          <cell r="GA100">
            <v>0</v>
          </cell>
          <cell r="GB100">
            <v>0</v>
          </cell>
          <cell r="GC100">
            <v>3711.8609999999999</v>
          </cell>
          <cell r="GD100">
            <v>3761.6352034275401</v>
          </cell>
          <cell r="GE100">
            <v>3711.8609999999999</v>
          </cell>
          <cell r="GF100">
            <v>4.1600013000490881</v>
          </cell>
          <cell r="GG100">
            <v>1186.9985649902026</v>
          </cell>
          <cell r="GH100">
            <v>0</v>
          </cell>
        </row>
        <row r="101">
          <cell r="A101" t="str">
            <v>Provision for the year-Med1</v>
          </cell>
          <cell r="I101">
            <v>0</v>
          </cell>
          <cell r="U101">
            <v>0</v>
          </cell>
          <cell r="AD101">
            <v>0</v>
          </cell>
          <cell r="AJ101">
            <v>0</v>
          </cell>
          <cell r="AP101">
            <v>0</v>
          </cell>
          <cell r="AT101">
            <v>0</v>
          </cell>
          <cell r="AX101">
            <v>0</v>
          </cell>
          <cell r="AY101">
            <v>0</v>
          </cell>
          <cell r="BI101">
            <v>0</v>
          </cell>
          <cell r="BX101">
            <v>0</v>
          </cell>
          <cell r="CD101">
            <v>0</v>
          </cell>
          <cell r="CJ101">
            <v>0</v>
          </cell>
          <cell r="CP101">
            <v>0</v>
          </cell>
          <cell r="CT101">
            <v>0</v>
          </cell>
          <cell r="CX101">
            <v>0</v>
          </cell>
          <cell r="FN101">
            <v>0</v>
          </cell>
          <cell r="FO101">
            <v>0</v>
          </cell>
          <cell r="FR101">
            <v>0</v>
          </cell>
          <cell r="FS101">
            <v>0</v>
          </cell>
          <cell r="FT101">
            <v>0</v>
          </cell>
          <cell r="FV101">
            <v>0</v>
          </cell>
          <cell r="FW101" t="str">
            <v>Provision for the year-Med1</v>
          </cell>
          <cell r="FX101">
            <v>0</v>
          </cell>
          <cell r="FY101">
            <v>0</v>
          </cell>
          <cell r="GA101">
            <v>0</v>
          </cell>
          <cell r="GB101">
            <v>0</v>
          </cell>
          <cell r="GC101">
            <v>0</v>
          </cell>
          <cell r="GD101">
            <v>0</v>
          </cell>
          <cell r="GE101">
            <v>0</v>
          </cell>
          <cell r="GF101" t="e">
            <v>#DIV/0!</v>
          </cell>
          <cell r="GG101">
            <v>0</v>
          </cell>
          <cell r="GH101">
            <v>0</v>
          </cell>
        </row>
        <row r="102">
          <cell r="A102" t="str">
            <v>Accumulated Provision</v>
          </cell>
          <cell r="I102">
            <v>0</v>
          </cell>
          <cell r="U102">
            <v>0</v>
          </cell>
          <cell r="AD102">
            <v>0</v>
          </cell>
          <cell r="AJ102">
            <v>0</v>
          </cell>
          <cell r="AP102">
            <v>0</v>
          </cell>
          <cell r="AT102">
            <v>0</v>
          </cell>
          <cell r="AX102">
            <v>0</v>
          </cell>
          <cell r="AY102">
            <v>0</v>
          </cell>
          <cell r="AZ102" t="str">
            <v>Accumulated Provision</v>
          </cell>
          <cell r="BI102">
            <v>0</v>
          </cell>
          <cell r="BX102">
            <v>0</v>
          </cell>
          <cell r="CD102">
            <v>0</v>
          </cell>
          <cell r="CJ102">
            <v>0</v>
          </cell>
          <cell r="CP102">
            <v>0</v>
          </cell>
          <cell r="CT102">
            <v>0</v>
          </cell>
          <cell r="CX102">
            <v>0</v>
          </cell>
          <cell r="FH102">
            <v>0</v>
          </cell>
          <cell r="FN102">
            <v>0</v>
          </cell>
          <cell r="FO102">
            <v>0</v>
          </cell>
          <cell r="FR102">
            <v>0</v>
          </cell>
          <cell r="FS102">
            <v>0</v>
          </cell>
          <cell r="FT102">
            <v>0</v>
          </cell>
          <cell r="FU102" t="str">
            <v xml:space="preserve">    </v>
          </cell>
          <cell r="FV102">
            <v>0</v>
          </cell>
          <cell r="FW102" t="str">
            <v>Accumulated Provision</v>
          </cell>
          <cell r="FX102">
            <v>0</v>
          </cell>
          <cell r="FY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 t="e">
            <v>#DIV/0!</v>
          </cell>
          <cell r="GG102">
            <v>0</v>
          </cell>
          <cell r="GH102">
            <v>0</v>
          </cell>
        </row>
        <row r="103">
          <cell r="I103">
            <v>0</v>
          </cell>
          <cell r="M103">
            <v>0</v>
          </cell>
          <cell r="AT103">
            <v>0</v>
          </cell>
          <cell r="AX103">
            <v>0</v>
          </cell>
          <cell r="BI103">
            <v>0</v>
          </cell>
          <cell r="BX103">
            <v>0</v>
          </cell>
          <cell r="CT103">
            <v>0</v>
          </cell>
          <cell r="CX103">
            <v>0</v>
          </cell>
          <cell r="FN103">
            <v>0</v>
          </cell>
          <cell r="FO103">
            <v>0</v>
          </cell>
          <cell r="FQ103">
            <v>0</v>
          </cell>
          <cell r="FR103">
            <v>0</v>
          </cell>
          <cell r="FS103">
            <v>0</v>
          </cell>
          <cell r="FV103">
            <v>0</v>
          </cell>
          <cell r="FX103">
            <v>0</v>
          </cell>
          <cell r="FY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 t="e">
            <v>#DIV/0!</v>
          </cell>
        </row>
        <row r="104">
          <cell r="A104" t="str">
            <v>Investment in NETVISION-in trust</v>
          </cell>
          <cell r="C104">
            <v>10200</v>
          </cell>
          <cell r="I104">
            <v>10200</v>
          </cell>
          <cell r="M104">
            <v>0</v>
          </cell>
          <cell r="AT104">
            <v>10200</v>
          </cell>
          <cell r="AX104">
            <v>10200</v>
          </cell>
          <cell r="AZ104" t="str">
            <v>Investment in NETVISION-in trust</v>
          </cell>
          <cell r="BC104">
            <v>42432</v>
          </cell>
          <cell r="BI104">
            <v>42432</v>
          </cell>
          <cell r="BX104">
            <v>0</v>
          </cell>
          <cell r="CT104">
            <v>42432</v>
          </cell>
          <cell r="CX104">
            <v>42432</v>
          </cell>
          <cell r="FC104">
            <v>42432</v>
          </cell>
          <cell r="FF104">
            <v>42432</v>
          </cell>
          <cell r="FN104">
            <v>0</v>
          </cell>
          <cell r="FT104">
            <v>42432</v>
          </cell>
          <cell r="FV104">
            <v>42432</v>
          </cell>
          <cell r="FW104" t="str">
            <v>Investment in NETVISION-in trust</v>
          </cell>
          <cell r="FX104">
            <v>0</v>
          </cell>
          <cell r="FY104">
            <v>0</v>
          </cell>
          <cell r="GA104">
            <v>0</v>
          </cell>
          <cell r="GB104">
            <v>0</v>
          </cell>
          <cell r="GC104">
            <v>42432</v>
          </cell>
          <cell r="GD104">
            <v>43000.991942272994</v>
          </cell>
          <cell r="GE104">
            <v>42432</v>
          </cell>
          <cell r="GF104">
            <v>4.16</v>
          </cell>
        </row>
        <row r="105">
          <cell r="C105">
            <v>11094.582</v>
          </cell>
          <cell r="E105">
            <v>0</v>
          </cell>
          <cell r="G105">
            <v>0</v>
          </cell>
          <cell r="I105">
            <v>11094.582</v>
          </cell>
          <cell r="O105">
            <v>0</v>
          </cell>
          <cell r="Q105">
            <v>0</v>
          </cell>
          <cell r="S105">
            <v>0</v>
          </cell>
          <cell r="U105">
            <v>0</v>
          </cell>
          <cell r="Z105">
            <v>0</v>
          </cell>
          <cell r="AB105">
            <v>0</v>
          </cell>
          <cell r="AD105">
            <v>0</v>
          </cell>
          <cell r="AF105">
            <v>0</v>
          </cell>
          <cell r="AH105">
            <v>0</v>
          </cell>
          <cell r="AJ105">
            <v>0</v>
          </cell>
          <cell r="AL105">
            <v>0</v>
          </cell>
          <cell r="AN105">
            <v>0</v>
          </cell>
          <cell r="AP105">
            <v>0</v>
          </cell>
          <cell r="AR105">
            <v>0</v>
          </cell>
          <cell r="AT105">
            <v>11094.582</v>
          </cell>
          <cell r="AV105">
            <v>0</v>
          </cell>
          <cell r="AX105">
            <v>11094.582</v>
          </cell>
          <cell r="AY105">
            <v>0</v>
          </cell>
          <cell r="BA105" t="str">
            <v xml:space="preserve">total </v>
          </cell>
          <cell r="BC105">
            <v>46152.110999999997</v>
          </cell>
          <cell r="BE105">
            <v>0</v>
          </cell>
          <cell r="BG105">
            <v>0</v>
          </cell>
          <cell r="BI105">
            <v>46152.110999999997</v>
          </cell>
          <cell r="BM105">
            <v>0</v>
          </cell>
          <cell r="BO105">
            <v>0</v>
          </cell>
          <cell r="BQ105">
            <v>0</v>
          </cell>
          <cell r="BS105">
            <v>0</v>
          </cell>
          <cell r="BU105">
            <v>0</v>
          </cell>
          <cell r="BW105">
            <v>0</v>
          </cell>
          <cell r="BX105">
            <v>0</v>
          </cell>
          <cell r="BZ105">
            <v>0</v>
          </cell>
          <cell r="CB105">
            <v>0</v>
          </cell>
          <cell r="CD105">
            <v>0</v>
          </cell>
          <cell r="CF105">
            <v>0</v>
          </cell>
          <cell r="CH105">
            <v>0</v>
          </cell>
          <cell r="CJ105">
            <v>0</v>
          </cell>
          <cell r="CL105">
            <v>0</v>
          </cell>
          <cell r="CN105">
            <v>0</v>
          </cell>
          <cell r="CP105">
            <v>0</v>
          </cell>
          <cell r="CR105">
            <v>0</v>
          </cell>
          <cell r="CT105">
            <v>46152.110999999997</v>
          </cell>
          <cell r="CV105">
            <v>0</v>
          </cell>
          <cell r="CX105">
            <v>46152.110999999997</v>
          </cell>
          <cell r="FC105">
            <v>46152.785000000003</v>
          </cell>
          <cell r="FE105">
            <v>0</v>
          </cell>
          <cell r="FF105">
            <v>46152.785000000003</v>
          </cell>
          <cell r="FI105">
            <v>0</v>
          </cell>
          <cell r="FJ105">
            <v>0</v>
          </cell>
          <cell r="FM105">
            <v>0</v>
          </cell>
          <cell r="FT105">
            <v>46152.785000000003</v>
          </cell>
          <cell r="FU105">
            <v>0</v>
          </cell>
          <cell r="FV105">
            <v>46152.785000000003</v>
          </cell>
          <cell r="FX105">
            <v>0</v>
          </cell>
          <cell r="FY105">
            <v>0</v>
          </cell>
          <cell r="GA105">
            <v>0</v>
          </cell>
          <cell r="GB105">
            <v>0</v>
          </cell>
          <cell r="GC105">
            <v>46152.785000000003</v>
          </cell>
          <cell r="GD105">
            <v>46771.670812086588</v>
          </cell>
          <cell r="GE105">
            <v>46152.785000000003</v>
          </cell>
          <cell r="GF105">
            <v>4.1599390585422684</v>
          </cell>
          <cell r="GG105">
            <v>1192.5513122142393</v>
          </cell>
          <cell r="GH105">
            <v>0</v>
          </cell>
        </row>
        <row r="106">
          <cell r="A106" t="str">
            <v>TOTAL OTHER INVESTMENTS</v>
          </cell>
          <cell r="C106">
            <v>25617.563999999998</v>
          </cell>
          <cell r="E106">
            <v>0</v>
          </cell>
          <cell r="G106">
            <v>0</v>
          </cell>
          <cell r="I106">
            <v>25617.563999999998</v>
          </cell>
          <cell r="O106">
            <v>0</v>
          </cell>
          <cell r="Q106">
            <v>0</v>
          </cell>
          <cell r="S106">
            <v>0</v>
          </cell>
          <cell r="U106">
            <v>0</v>
          </cell>
          <cell r="Z106">
            <v>0</v>
          </cell>
          <cell r="AB106">
            <v>0</v>
          </cell>
          <cell r="AD106">
            <v>0</v>
          </cell>
          <cell r="AF106">
            <v>0</v>
          </cell>
          <cell r="AH106">
            <v>0</v>
          </cell>
          <cell r="AJ106">
            <v>0</v>
          </cell>
          <cell r="AL106">
            <v>0</v>
          </cell>
          <cell r="AN106">
            <v>0</v>
          </cell>
          <cell r="AP106">
            <v>0</v>
          </cell>
          <cell r="AR106">
            <v>0</v>
          </cell>
          <cell r="AT106">
            <v>25617.563999999998</v>
          </cell>
          <cell r="AV106">
            <v>0</v>
          </cell>
          <cell r="AX106">
            <v>25617.563999999998</v>
          </cell>
          <cell r="AY106">
            <v>0</v>
          </cell>
          <cell r="BC106">
            <v>99012.856</v>
          </cell>
          <cell r="BE106">
            <v>0</v>
          </cell>
          <cell r="BG106">
            <v>0</v>
          </cell>
          <cell r="BI106">
            <v>99012.856</v>
          </cell>
          <cell r="BM106">
            <v>0</v>
          </cell>
          <cell r="BO106">
            <v>0</v>
          </cell>
          <cell r="BQ106">
            <v>0</v>
          </cell>
          <cell r="BS106">
            <v>0</v>
          </cell>
          <cell r="BU106">
            <v>0</v>
          </cell>
          <cell r="BW106">
            <v>0</v>
          </cell>
          <cell r="BX106">
            <v>0</v>
          </cell>
          <cell r="BZ106">
            <v>0</v>
          </cell>
          <cell r="CB106">
            <v>0</v>
          </cell>
          <cell r="CD106">
            <v>0</v>
          </cell>
          <cell r="CF106">
            <v>0</v>
          </cell>
          <cell r="CH106">
            <v>0</v>
          </cell>
          <cell r="CJ106">
            <v>0</v>
          </cell>
          <cell r="CL106">
            <v>0</v>
          </cell>
          <cell r="CN106">
            <v>0</v>
          </cell>
          <cell r="CP106">
            <v>0</v>
          </cell>
          <cell r="CR106">
            <v>0</v>
          </cell>
          <cell r="CT106">
            <v>99012.856</v>
          </cell>
          <cell r="CV106">
            <v>0</v>
          </cell>
          <cell r="CX106">
            <v>99012.856</v>
          </cell>
          <cell r="FC106">
            <v>103149.024</v>
          </cell>
          <cell r="FE106">
            <v>0</v>
          </cell>
          <cell r="FF106">
            <v>103149.024</v>
          </cell>
          <cell r="FI106">
            <v>0</v>
          </cell>
          <cell r="FJ106">
            <v>0</v>
          </cell>
          <cell r="FK106">
            <v>0</v>
          </cell>
          <cell r="FM106">
            <v>0</v>
          </cell>
          <cell r="FN106">
            <v>0</v>
          </cell>
          <cell r="FO106">
            <v>0</v>
          </cell>
          <cell r="FQ106">
            <v>0</v>
          </cell>
          <cell r="FR106">
            <v>0</v>
          </cell>
          <cell r="FS106">
            <v>0</v>
          </cell>
          <cell r="FT106">
            <v>103149.024</v>
          </cell>
          <cell r="FU106">
            <v>0</v>
          </cell>
          <cell r="FV106">
            <v>103149.024</v>
          </cell>
          <cell r="FW106" t="str">
            <v>TOTAL OTHER INVESTMENTS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GC106">
            <v>103149.024</v>
          </cell>
          <cell r="GD106">
            <v>104532.2009303668</v>
          </cell>
          <cell r="GE106">
            <v>92296.646000000008</v>
          </cell>
          <cell r="GF106">
            <v>4.0264961961254402</v>
          </cell>
          <cell r="GG106">
            <v>43582.073722403657</v>
          </cell>
          <cell r="GH106">
            <v>0</v>
          </cell>
        </row>
        <row r="107">
          <cell r="FX107">
            <v>0</v>
          </cell>
          <cell r="FY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</row>
        <row r="108">
          <cell r="A108" t="str">
            <v>CURRENT ASSETS</v>
          </cell>
          <cell r="AT108">
            <v>0</v>
          </cell>
          <cell r="AY108">
            <v>0</v>
          </cell>
          <cell r="AZ108" t="str">
            <v>CURRENT ASSETS</v>
          </cell>
          <cell r="BX108">
            <v>0</v>
          </cell>
          <cell r="CD108">
            <v>0</v>
          </cell>
          <cell r="CT108">
            <v>0</v>
          </cell>
          <cell r="FW108" t="str">
            <v>CURRENT ASSETS</v>
          </cell>
          <cell r="FX108">
            <v>0</v>
          </cell>
          <cell r="FY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 t="e">
            <v>#DIV/0!</v>
          </cell>
          <cell r="GG108">
            <v>0</v>
          </cell>
          <cell r="GH108">
            <v>0</v>
          </cell>
        </row>
        <row r="109">
          <cell r="A109" t="str">
            <v>Acc.receivable</v>
          </cell>
          <cell r="M109" t="str">
            <v xml:space="preserve"> </v>
          </cell>
          <cell r="Q109">
            <v>47.584000000000003</v>
          </cell>
          <cell r="U109">
            <v>47.584000000000003</v>
          </cell>
          <cell r="Z109">
            <v>4.8289999999999997</v>
          </cell>
          <cell r="AD109">
            <v>52.413000000000004</v>
          </cell>
          <cell r="AR109">
            <v>9.1999999999999998E-2</v>
          </cell>
          <cell r="AT109">
            <v>52.505000000000003</v>
          </cell>
          <cell r="AX109">
            <v>52.505000000000003</v>
          </cell>
          <cell r="AY109">
            <v>0</v>
          </cell>
          <cell r="AZ109" t="str">
            <v>Acc.receivable</v>
          </cell>
          <cell r="BC109" t="str">
            <v xml:space="preserve">                                                                                                                      </v>
          </cell>
          <cell r="BE109" t="str">
            <v xml:space="preserve"> </v>
          </cell>
          <cell r="BQ109">
            <v>198.209</v>
          </cell>
          <cell r="BU109">
            <v>198.209</v>
          </cell>
          <cell r="BX109">
            <v>0</v>
          </cell>
          <cell r="BZ109">
            <v>20.088999999999999</v>
          </cell>
          <cell r="CD109">
            <v>218.298</v>
          </cell>
          <cell r="CR109">
            <v>0.38500000000000001</v>
          </cell>
          <cell r="CT109">
            <v>218.68299999999999</v>
          </cell>
          <cell r="CX109">
            <v>218.68299999999999</v>
          </cell>
          <cell r="FI109">
            <v>198.209</v>
          </cell>
          <cell r="FL109">
            <v>20.088999999999999</v>
          </cell>
          <cell r="FN109">
            <v>218.298</v>
          </cell>
          <cell r="FR109">
            <v>0</v>
          </cell>
          <cell r="FS109">
            <v>0.38500000000000001</v>
          </cell>
          <cell r="FT109">
            <v>218.68299999999999</v>
          </cell>
          <cell r="FV109">
            <v>218.68299999999999</v>
          </cell>
          <cell r="FW109" t="str">
            <v>Acc.receivable</v>
          </cell>
          <cell r="FX109">
            <v>218.298</v>
          </cell>
          <cell r="FY109">
            <v>0</v>
          </cell>
          <cell r="GA109">
            <v>218.298</v>
          </cell>
          <cell r="GB109">
            <v>221.22526722790138</v>
          </cell>
          <cell r="GC109">
            <v>218.68299999999999</v>
          </cell>
          <cell r="GD109">
            <v>221.61542988574863</v>
          </cell>
          <cell r="GE109">
            <v>0.38499999999999091</v>
          </cell>
          <cell r="GF109">
            <v>4.1649938101133221</v>
          </cell>
          <cell r="GG109">
            <v>436.65969954278256</v>
          </cell>
          <cell r="GH109">
            <v>0</v>
          </cell>
        </row>
        <row r="110">
          <cell r="A110" t="str">
            <v>customers</v>
          </cell>
          <cell r="I110">
            <v>0</v>
          </cell>
          <cell r="M110" t="str">
            <v xml:space="preserve"> </v>
          </cell>
          <cell r="O110">
            <v>3649.5</v>
          </cell>
          <cell r="Q110">
            <v>707.06600000000003</v>
          </cell>
          <cell r="U110">
            <v>707.06600000000003</v>
          </cell>
          <cell r="W110">
            <v>73</v>
          </cell>
          <cell r="X110">
            <v>73</v>
          </cell>
          <cell r="Z110">
            <v>18.760999999999999</v>
          </cell>
          <cell r="AD110">
            <v>871.827</v>
          </cell>
          <cell r="AJ110">
            <v>0</v>
          </cell>
          <cell r="AL110">
            <v>337</v>
          </cell>
          <cell r="AP110">
            <v>337</v>
          </cell>
          <cell r="AT110">
            <v>4858.3270000000002</v>
          </cell>
          <cell r="AX110">
            <v>4858.3270000000002</v>
          </cell>
          <cell r="AY110">
            <v>0</v>
          </cell>
          <cell r="AZ110" t="str">
            <v>customers</v>
          </cell>
          <cell r="BI110">
            <v>0</v>
          </cell>
          <cell r="BO110">
            <v>15182.5</v>
          </cell>
          <cell r="BQ110">
            <v>2941.3939999999998</v>
          </cell>
          <cell r="BU110">
            <v>2941.3939999999998</v>
          </cell>
          <cell r="BW110">
            <v>303.5</v>
          </cell>
          <cell r="BX110">
            <v>303.5</v>
          </cell>
          <cell r="BZ110">
            <v>78.046000000000006</v>
          </cell>
          <cell r="CD110">
            <v>3626.44</v>
          </cell>
          <cell r="CJ110">
            <v>0</v>
          </cell>
          <cell r="CL110">
            <v>1401</v>
          </cell>
          <cell r="CP110">
            <v>1401</v>
          </cell>
          <cell r="CT110">
            <v>20209.939999999999</v>
          </cell>
          <cell r="CX110">
            <v>20209.939999999999</v>
          </cell>
          <cell r="FH110">
            <v>15182.5</v>
          </cell>
          <cell r="FI110">
            <v>2941.3939999999998</v>
          </cell>
          <cell r="FJ110">
            <v>303.5</v>
          </cell>
          <cell r="FK110">
            <v>303.5</v>
          </cell>
          <cell r="FL110">
            <v>78.046000000000006</v>
          </cell>
          <cell r="FN110">
            <v>3626.44</v>
          </cell>
          <cell r="FO110">
            <v>0</v>
          </cell>
          <cell r="FP110">
            <v>1611.88</v>
          </cell>
          <cell r="FR110">
            <v>1611.88</v>
          </cell>
          <cell r="FS110">
            <v>0</v>
          </cell>
          <cell r="FT110">
            <v>20420.82</v>
          </cell>
          <cell r="FU110">
            <v>-212</v>
          </cell>
          <cell r="FV110">
            <v>20208.82</v>
          </cell>
          <cell r="FW110" t="str">
            <v>customers</v>
          </cell>
          <cell r="FX110">
            <v>3626.44</v>
          </cell>
          <cell r="FY110">
            <v>1611.88</v>
          </cell>
          <cell r="GA110">
            <v>5238.32</v>
          </cell>
          <cell r="GB110">
            <v>5308.5632567648818</v>
          </cell>
          <cell r="GC110">
            <v>20208.82</v>
          </cell>
          <cell r="GD110">
            <v>20479.810190018037</v>
          </cell>
          <cell r="GE110">
            <v>14970.5</v>
          </cell>
          <cell r="GF110">
            <v>4.1596253195801758</v>
          </cell>
          <cell r="GG110">
            <v>21139.00009322874</v>
          </cell>
          <cell r="GH110">
            <v>0</v>
          </cell>
        </row>
        <row r="111">
          <cell r="A111" t="str">
            <v>checks receivable</v>
          </cell>
          <cell r="I111">
            <v>0</v>
          </cell>
          <cell r="M111">
            <v>38.849639423076923</v>
          </cell>
          <cell r="O111">
            <v>197</v>
          </cell>
          <cell r="Q111">
            <v>151.65600000000001</v>
          </cell>
          <cell r="U111">
            <v>151.65600000000001</v>
          </cell>
          <cell r="W111">
            <v>90</v>
          </cell>
          <cell r="X111">
            <v>90</v>
          </cell>
          <cell r="Z111">
            <v>3.4569999999999999</v>
          </cell>
          <cell r="AD111">
            <v>335.113</v>
          </cell>
          <cell r="AJ111">
            <v>0</v>
          </cell>
          <cell r="AL111">
            <v>83</v>
          </cell>
          <cell r="AP111">
            <v>83</v>
          </cell>
          <cell r="AT111">
            <v>653.96263942307689</v>
          </cell>
          <cell r="AX111">
            <v>653.96263942307689</v>
          </cell>
          <cell r="AY111">
            <v>0</v>
          </cell>
          <cell r="AZ111" t="str">
            <v>checks receivable</v>
          </cell>
          <cell r="BI111">
            <v>0</v>
          </cell>
          <cell r="BM111">
            <v>161.61449999999999</v>
          </cell>
          <cell r="BO111">
            <v>819.5</v>
          </cell>
          <cell r="BQ111">
            <v>630.89099999999996</v>
          </cell>
          <cell r="BU111">
            <v>630.89099999999996</v>
          </cell>
          <cell r="BW111">
            <v>375</v>
          </cell>
          <cell r="BX111">
            <v>375</v>
          </cell>
          <cell r="BZ111">
            <v>14.382</v>
          </cell>
          <cell r="CD111">
            <v>1395.2730000000001</v>
          </cell>
          <cell r="CJ111">
            <v>0</v>
          </cell>
          <cell r="CL111">
            <v>347</v>
          </cell>
          <cell r="CP111">
            <v>347</v>
          </cell>
          <cell r="CT111">
            <v>2723.3874999999998</v>
          </cell>
          <cell r="CX111">
            <v>2723.3874999999998</v>
          </cell>
          <cell r="FG111">
            <v>161.61449999999999</v>
          </cell>
          <cell r="FH111">
            <v>819.5</v>
          </cell>
          <cell r="FI111">
            <v>630.89099999999996</v>
          </cell>
          <cell r="FJ111">
            <v>375</v>
          </cell>
          <cell r="FK111">
            <v>375</v>
          </cell>
          <cell r="FL111">
            <v>14</v>
          </cell>
          <cell r="FN111">
            <v>1394.8910000000001</v>
          </cell>
          <cell r="FO111">
            <v>0</v>
          </cell>
          <cell r="FP111">
            <v>345.28</v>
          </cell>
          <cell r="FR111">
            <v>345.28</v>
          </cell>
          <cell r="FS111">
            <v>0</v>
          </cell>
          <cell r="FT111">
            <v>2721.2855</v>
          </cell>
          <cell r="FV111">
            <v>2721.2855</v>
          </cell>
          <cell r="FW111" t="str">
            <v>checks receivable</v>
          </cell>
          <cell r="FX111">
            <v>1394.8910000000001</v>
          </cell>
          <cell r="FY111">
            <v>345.28</v>
          </cell>
          <cell r="GA111">
            <v>1740.171</v>
          </cell>
          <cell r="GB111">
            <v>1763.505824594107</v>
          </cell>
          <cell r="GC111">
            <v>2721.2855</v>
          </cell>
          <cell r="GD111">
            <v>2757.7765803668067</v>
          </cell>
          <cell r="GE111">
            <v>981.11449999999991</v>
          </cell>
          <cell r="GF111">
            <v>4.1612247182816233</v>
          </cell>
          <cell r="GG111">
            <v>1145.2621686458447</v>
          </cell>
          <cell r="GH111">
            <v>0</v>
          </cell>
        </row>
        <row r="112">
          <cell r="A112" t="str">
            <v>prov.doubtf.debts</v>
          </cell>
          <cell r="I112">
            <v>0</v>
          </cell>
          <cell r="M112">
            <v>-101.86141826923077</v>
          </cell>
          <cell r="O112">
            <v>-9</v>
          </cell>
          <cell r="Q112">
            <v>-162.01900000000001</v>
          </cell>
          <cell r="U112">
            <v>-162.01900000000001</v>
          </cell>
          <cell r="W112">
            <v>-36</v>
          </cell>
          <cell r="X112">
            <v>-36</v>
          </cell>
          <cell r="Z112">
            <v>-5.5279999999999996</v>
          </cell>
          <cell r="AD112">
            <v>-239.547</v>
          </cell>
          <cell r="AJ112">
            <v>0</v>
          </cell>
          <cell r="AL112">
            <v>-104</v>
          </cell>
          <cell r="AP112">
            <v>-104</v>
          </cell>
          <cell r="AT112">
            <v>-454.40841826923076</v>
          </cell>
          <cell r="AX112">
            <v>-454.40841826923076</v>
          </cell>
          <cell r="AY112">
            <v>0</v>
          </cell>
          <cell r="AZ112" t="str">
            <v>prov.doubtf.debts</v>
          </cell>
          <cell r="BI112">
            <v>0</v>
          </cell>
          <cell r="BM112">
            <v>-423.74349999999998</v>
          </cell>
          <cell r="BO112">
            <v>-37.5</v>
          </cell>
          <cell r="BQ112">
            <v>-674</v>
          </cell>
          <cell r="BU112">
            <v>-674</v>
          </cell>
          <cell r="BW112">
            <v>-149</v>
          </cell>
          <cell r="BX112">
            <v>-149</v>
          </cell>
          <cell r="BZ112">
            <v>-23</v>
          </cell>
          <cell r="CD112">
            <v>-995</v>
          </cell>
          <cell r="CH112">
            <v>0</v>
          </cell>
          <cell r="CJ112">
            <v>0</v>
          </cell>
          <cell r="CL112">
            <v>-431</v>
          </cell>
          <cell r="CP112">
            <v>-431</v>
          </cell>
          <cell r="CT112">
            <v>-1887.2435</v>
          </cell>
          <cell r="CV112">
            <v>0</v>
          </cell>
          <cell r="CX112">
            <v>-1887.2435</v>
          </cell>
          <cell r="FG112">
            <v>-423.74349999999998</v>
          </cell>
          <cell r="FH112">
            <v>-37.5</v>
          </cell>
          <cell r="FI112">
            <v>-674</v>
          </cell>
          <cell r="FJ112">
            <v>-149</v>
          </cell>
          <cell r="FK112">
            <v>-149</v>
          </cell>
          <cell r="FL112">
            <v>-23</v>
          </cell>
          <cell r="FN112">
            <v>-995</v>
          </cell>
          <cell r="FO112">
            <v>0</v>
          </cell>
          <cell r="FP112">
            <v>-431</v>
          </cell>
          <cell r="FR112">
            <v>-431</v>
          </cell>
          <cell r="FS112">
            <v>0</v>
          </cell>
          <cell r="FT112">
            <v>-1887.2435</v>
          </cell>
          <cell r="FU112" t="str">
            <v>לשאול את גיא</v>
          </cell>
          <cell r="FV112">
            <v>-1887.2435</v>
          </cell>
          <cell r="FW112" t="str">
            <v>prov.doubtf.debts</v>
          </cell>
          <cell r="FX112">
            <v>-995</v>
          </cell>
          <cell r="FY112">
            <v>-431</v>
          </cell>
          <cell r="GA112">
            <v>-1426</v>
          </cell>
          <cell r="GB112">
            <v>-1445.1219482862296</v>
          </cell>
          <cell r="GC112">
            <v>-1887.2435</v>
          </cell>
          <cell r="GD112">
            <v>-1912.550493415514</v>
          </cell>
          <cell r="GE112">
            <v>-461.24350000000004</v>
          </cell>
          <cell r="GF112">
            <v>4.1531878022599358</v>
          </cell>
          <cell r="GG112">
            <v>-953.14954410804637</v>
          </cell>
          <cell r="GH112">
            <v>0</v>
          </cell>
        </row>
        <row r="113">
          <cell r="A113" t="str">
            <v>related companies</v>
          </cell>
          <cell r="C113">
            <v>-17941.614999999998</v>
          </cell>
          <cell r="E113">
            <v>18208.349999999999</v>
          </cell>
          <cell r="I113">
            <v>266.73500000000058</v>
          </cell>
          <cell r="M113">
            <v>227.57175480769229</v>
          </cell>
          <cell r="O113">
            <v>7.5</v>
          </cell>
          <cell r="Q113">
            <v>4890.2530000000006</v>
          </cell>
          <cell r="S113">
            <v>-15.269</v>
          </cell>
          <cell r="U113">
            <v>4874.9840000000004</v>
          </cell>
          <cell r="W113">
            <v>218.5</v>
          </cell>
          <cell r="X113">
            <v>218.5</v>
          </cell>
          <cell r="AD113">
            <v>5311.9840000000004</v>
          </cell>
          <cell r="AF113">
            <v>42.854999999999997</v>
          </cell>
          <cell r="AJ113">
            <v>42.854999999999997</v>
          </cell>
          <cell r="AL113">
            <v>216</v>
          </cell>
          <cell r="AN113">
            <v>-26.103999999999999</v>
          </cell>
          <cell r="AP113">
            <v>232.75100000000003</v>
          </cell>
          <cell r="AR113">
            <v>1805</v>
          </cell>
          <cell r="AT113">
            <v>7851.541754807693</v>
          </cell>
          <cell r="AV113">
            <v>-5858.0150000000003</v>
          </cell>
          <cell r="AX113">
            <v>1993.5267548076927</v>
          </cell>
          <cell r="AY113">
            <v>0</v>
          </cell>
          <cell r="AZ113" t="str">
            <v>related companies</v>
          </cell>
          <cell r="BC113">
            <v>-67408.320000000007</v>
          </cell>
          <cell r="BE113">
            <v>67408.320000000007</v>
          </cell>
          <cell r="BG113">
            <v>0</v>
          </cell>
          <cell r="BI113">
            <v>0</v>
          </cell>
          <cell r="BM113">
            <v>946.69849999999997</v>
          </cell>
          <cell r="BO113">
            <v>30.5</v>
          </cell>
          <cell r="BQ113">
            <v>18611.771999999997</v>
          </cell>
          <cell r="BU113">
            <v>18611.771999999997</v>
          </cell>
          <cell r="BW113">
            <v>909</v>
          </cell>
          <cell r="BX113">
            <v>909</v>
          </cell>
          <cell r="CD113">
            <v>20429.771999999997</v>
          </cell>
          <cell r="CF113">
            <v>178.279</v>
          </cell>
          <cell r="CH113">
            <v>0</v>
          </cell>
          <cell r="CJ113">
            <v>178.279</v>
          </cell>
          <cell r="CL113">
            <v>898</v>
          </cell>
          <cell r="CN113">
            <v>-108.59399999999999</v>
          </cell>
          <cell r="CP113">
            <v>967.68499999999995</v>
          </cell>
          <cell r="CR113">
            <v>7508.2929999999997</v>
          </cell>
          <cell r="CT113">
            <v>29882.948499999995</v>
          </cell>
          <cell r="CV113">
            <v>-23376.774000000001</v>
          </cell>
          <cell r="CX113">
            <v>6506.1744999999937</v>
          </cell>
          <cell r="FC113">
            <v>-67407.64</v>
          </cell>
          <cell r="FD113">
            <v>67407.64</v>
          </cell>
          <cell r="FE113">
            <v>1109.6199999999999</v>
          </cell>
          <cell r="FF113">
            <v>1109.6199999999999</v>
          </cell>
          <cell r="FG113">
            <v>946.69849999999997</v>
          </cell>
          <cell r="FH113">
            <v>30.5</v>
          </cell>
          <cell r="FI113">
            <v>20279.382999999998</v>
          </cell>
          <cell r="FJ113">
            <v>909</v>
          </cell>
          <cell r="FK113">
            <v>909</v>
          </cell>
          <cell r="FN113">
            <v>22097.382999999998</v>
          </cell>
          <cell r="FO113">
            <v>178.279</v>
          </cell>
          <cell r="FP113">
            <v>898</v>
          </cell>
          <cell r="FR113">
            <v>1076.279</v>
          </cell>
          <cell r="FS113">
            <v>7508.2920000000004</v>
          </cell>
          <cell r="FT113">
            <v>32768.772499999999</v>
          </cell>
          <cell r="FU113">
            <v>-24473.342400000001</v>
          </cell>
          <cell r="FV113">
            <v>8295.4300999999978</v>
          </cell>
          <cell r="FW113" t="str">
            <v>related companies</v>
          </cell>
          <cell r="FX113">
            <v>22097.382999999998</v>
          </cell>
          <cell r="FY113">
            <v>1076.279</v>
          </cell>
          <cell r="GA113">
            <v>23173.661999999997</v>
          </cell>
          <cell r="GB113">
            <v>23484.409241491277</v>
          </cell>
          <cell r="GC113">
            <v>8295.4300999999978</v>
          </cell>
          <cell r="GD113">
            <v>8406.6676774082953</v>
          </cell>
          <cell r="GE113">
            <v>-14878.231899999999</v>
          </cell>
          <cell r="GF113">
            <v>4.1611832296678779</v>
          </cell>
          <cell r="GG113">
            <v>1001.4062328339301</v>
          </cell>
          <cell r="GH113">
            <v>0</v>
          </cell>
          <cell r="HJ113" t="str">
            <v>------~:tac~</v>
          </cell>
        </row>
        <row r="114">
          <cell r="A114" t="str">
            <v>INCOME TAX</v>
          </cell>
          <cell r="B114">
            <v>0.36</v>
          </cell>
          <cell r="C114">
            <v>4344.4549999999999</v>
          </cell>
          <cell r="G114">
            <v>-5030.1838852202718</v>
          </cell>
          <cell r="I114">
            <v>-685.72888522027188</v>
          </cell>
          <cell r="M114" t="str">
            <v xml:space="preserve"> </v>
          </cell>
          <cell r="O114">
            <v>397.5</v>
          </cell>
          <cell r="U114">
            <v>0</v>
          </cell>
          <cell r="W114">
            <v>353</v>
          </cell>
          <cell r="X114">
            <v>353</v>
          </cell>
          <cell r="Z114">
            <v>51.353000000000002</v>
          </cell>
          <cell r="AD114">
            <v>757.35299999999995</v>
          </cell>
          <cell r="AJ114">
            <v>0</v>
          </cell>
          <cell r="AP114">
            <v>0</v>
          </cell>
          <cell r="AT114">
            <v>469.12411477972807</v>
          </cell>
          <cell r="AV114">
            <v>-94.021692307692305</v>
          </cell>
          <cell r="AX114">
            <v>375.10242247203576</v>
          </cell>
          <cell r="AY114">
            <v>0</v>
          </cell>
          <cell r="AZ114" t="str">
            <v>INCOME TAX</v>
          </cell>
          <cell r="BA114">
            <v>0.36</v>
          </cell>
          <cell r="BC114">
            <v>16044.262000000001</v>
          </cell>
          <cell r="BG114">
            <v>-18618.462406415285</v>
          </cell>
          <cell r="BI114">
            <v>-2574.2004064152843</v>
          </cell>
          <cell r="BO114">
            <v>430.5</v>
          </cell>
          <cell r="BU114">
            <v>0</v>
          </cell>
          <cell r="BW114">
            <v>1469.5</v>
          </cell>
          <cell r="BX114">
            <v>1469.5</v>
          </cell>
          <cell r="BZ114">
            <v>213.62700000000001</v>
          </cell>
          <cell r="CD114">
            <v>3152.627</v>
          </cell>
          <cell r="CH114">
            <v>0</v>
          </cell>
          <cell r="CJ114">
            <v>0</v>
          </cell>
          <cell r="CL114">
            <v>165</v>
          </cell>
          <cell r="CP114">
            <v>165</v>
          </cell>
          <cell r="CT114">
            <v>1173.9265935847156</v>
          </cell>
          <cell r="CV114">
            <v>0</v>
          </cell>
          <cell r="CX114">
            <v>1173.9265935847156</v>
          </cell>
          <cell r="FC114">
            <v>16044.262000000001</v>
          </cell>
          <cell r="FE114">
            <v>-18588.940406415284</v>
          </cell>
          <cell r="FF114">
            <v>-2544.6784064152835</v>
          </cell>
          <cell r="FH114">
            <v>1652</v>
          </cell>
          <cell r="FJ114">
            <v>1469</v>
          </cell>
          <cell r="FK114">
            <v>1469</v>
          </cell>
          <cell r="FN114">
            <v>2938</v>
          </cell>
          <cell r="FO114">
            <v>0</v>
          </cell>
          <cell r="FR114">
            <v>0</v>
          </cell>
          <cell r="FS114">
            <v>0</v>
          </cell>
          <cell r="FT114">
            <v>2045.3215935847165</v>
          </cell>
          <cell r="FU114">
            <v>0</v>
          </cell>
          <cell r="FV114">
            <v>2045.3215935847165</v>
          </cell>
          <cell r="FW114" t="str">
            <v>INCOME TAX</v>
          </cell>
          <cell r="FX114">
            <v>2938</v>
          </cell>
          <cell r="FY114">
            <v>0</v>
          </cell>
          <cell r="GA114">
            <v>2938</v>
          </cell>
          <cell r="GB114">
            <v>2977.39711365003</v>
          </cell>
          <cell r="GC114">
            <v>2045.3215935847165</v>
          </cell>
          <cell r="GD114">
            <v>2072.7483353387388</v>
          </cell>
          <cell r="GE114">
            <v>-892.67840641528346</v>
          </cell>
          <cell r="GF114">
            <v>5.4527016384096996</v>
          </cell>
          <cell r="GG114">
            <v>2473.8340885893531</v>
          </cell>
          <cell r="GH114">
            <v>0</v>
          </cell>
        </row>
        <row r="115">
          <cell r="A115" t="str">
            <v>VAT</v>
          </cell>
          <cell r="C115">
            <v>7.0000000000000001E-3</v>
          </cell>
          <cell r="I115">
            <v>7.0000000000000001E-3</v>
          </cell>
          <cell r="M115" t="str">
            <v xml:space="preserve"> </v>
          </cell>
          <cell r="O115">
            <v>17.5</v>
          </cell>
          <cell r="W115">
            <v>212.5</v>
          </cell>
          <cell r="X115">
            <v>212.5</v>
          </cell>
          <cell r="AD115">
            <v>425</v>
          </cell>
          <cell r="AT115">
            <v>442.50700000000001</v>
          </cell>
          <cell r="AX115">
            <v>442.50700000000001</v>
          </cell>
          <cell r="AY115">
            <v>0</v>
          </cell>
          <cell r="AZ115" t="str">
            <v>VAT</v>
          </cell>
          <cell r="BC115">
            <v>0</v>
          </cell>
          <cell r="BI115">
            <v>0</v>
          </cell>
          <cell r="BW115">
            <v>883</v>
          </cell>
          <cell r="BX115">
            <v>883</v>
          </cell>
          <cell r="CD115">
            <v>1766</v>
          </cell>
          <cell r="CP115">
            <v>0</v>
          </cell>
          <cell r="CT115">
            <v>1766</v>
          </cell>
          <cell r="CX115">
            <v>1766</v>
          </cell>
          <cell r="FC115">
            <v>0</v>
          </cell>
          <cell r="FF115">
            <v>0</v>
          </cell>
          <cell r="FH115">
            <v>72.5</v>
          </cell>
          <cell r="FJ115">
            <v>883</v>
          </cell>
          <cell r="FK115">
            <v>883</v>
          </cell>
          <cell r="FN115">
            <v>1766</v>
          </cell>
          <cell r="FR115">
            <v>0</v>
          </cell>
          <cell r="FS115">
            <v>0</v>
          </cell>
          <cell r="FT115">
            <v>1838.5</v>
          </cell>
          <cell r="FV115">
            <v>1838.5</v>
          </cell>
          <cell r="FW115" t="str">
            <v>VAT</v>
          </cell>
          <cell r="FX115">
            <v>1766</v>
          </cell>
          <cell r="FY115">
            <v>0</v>
          </cell>
          <cell r="GA115">
            <v>1766</v>
          </cell>
          <cell r="GB115">
            <v>1789.6811785929042</v>
          </cell>
          <cell r="GC115">
            <v>1838.5</v>
          </cell>
          <cell r="GD115">
            <v>1863.1533674082982</v>
          </cell>
          <cell r="GE115">
            <v>72.5</v>
          </cell>
          <cell r="GF115">
            <v>4.1547365352412502</v>
          </cell>
        </row>
        <row r="116">
          <cell r="A116" t="str">
            <v>prepaid exp.</v>
          </cell>
          <cell r="I116">
            <v>0</v>
          </cell>
          <cell r="M116">
            <v>5.2531249999999998</v>
          </cell>
          <cell r="O116">
            <v>39.5</v>
          </cell>
          <cell r="Q116">
            <v>237.34700000000001</v>
          </cell>
          <cell r="U116">
            <v>237.34700000000001</v>
          </cell>
          <cell r="W116">
            <v>36.5</v>
          </cell>
          <cell r="X116">
            <v>36.5</v>
          </cell>
          <cell r="AD116">
            <v>310.34699999999998</v>
          </cell>
          <cell r="AH116">
            <v>0</v>
          </cell>
          <cell r="AJ116">
            <v>0</v>
          </cell>
          <cell r="AL116">
            <v>42</v>
          </cell>
          <cell r="AP116">
            <v>42</v>
          </cell>
          <cell r="AR116">
            <v>17.288</v>
          </cell>
          <cell r="AT116">
            <v>414.388125</v>
          </cell>
          <cell r="AX116">
            <v>414.388125</v>
          </cell>
          <cell r="AY116">
            <v>0</v>
          </cell>
          <cell r="AZ116" t="str">
            <v>prepaid exp.</v>
          </cell>
          <cell r="BA116" t="str">
            <v>='ני"ע 2'!BO28+'ני"ע 2'!BK29-BH286+'ני"ע 2'!BO30-BD105+'ני"ע 2'!BK42+BH297+'ני"ע 2'!BO18+'ני"ע 2'!BO2</v>
          </cell>
          <cell r="BI116">
            <v>0</v>
          </cell>
          <cell r="BM116">
            <v>21.853000000000002</v>
          </cell>
          <cell r="BO116">
            <v>152</v>
          </cell>
          <cell r="BQ116">
            <v>950.13699999999994</v>
          </cell>
          <cell r="BU116">
            <v>950.13699999999994</v>
          </cell>
          <cell r="BW116">
            <v>138</v>
          </cell>
          <cell r="BX116">
            <v>138</v>
          </cell>
          <cell r="CD116">
            <v>1226.1369999999999</v>
          </cell>
          <cell r="CH116">
            <v>0</v>
          </cell>
          <cell r="CJ116">
            <v>0</v>
          </cell>
          <cell r="CL116">
            <v>167</v>
          </cell>
          <cell r="CP116">
            <v>167</v>
          </cell>
          <cell r="CR116">
            <v>75.406999999999996</v>
          </cell>
          <cell r="CT116">
            <v>1642.3969999999999</v>
          </cell>
          <cell r="CV116">
            <v>0</v>
          </cell>
          <cell r="CX116">
            <v>1642.3969999999999</v>
          </cell>
          <cell r="FG116">
            <v>21.853000000000002</v>
          </cell>
          <cell r="FH116">
            <v>158</v>
          </cell>
          <cell r="FI116">
            <v>964.50800000000004</v>
          </cell>
          <cell r="FJ116">
            <v>154</v>
          </cell>
          <cell r="FK116">
            <v>154</v>
          </cell>
          <cell r="FN116">
            <v>1272.508</v>
          </cell>
          <cell r="FO116">
            <v>0</v>
          </cell>
          <cell r="FR116">
            <v>0</v>
          </cell>
          <cell r="FS116">
            <v>71.917000000000002</v>
          </cell>
          <cell r="FT116">
            <v>1524.278</v>
          </cell>
          <cell r="FU116">
            <v>212</v>
          </cell>
          <cell r="FV116">
            <v>1736.278</v>
          </cell>
          <cell r="FW116" t="str">
            <v>prepaid exp.</v>
          </cell>
          <cell r="FX116">
            <v>1272.508</v>
          </cell>
          <cell r="FY116">
            <v>0</v>
          </cell>
          <cell r="GA116">
            <v>1272.508</v>
          </cell>
          <cell r="GB116">
            <v>1289.5716971737822</v>
          </cell>
          <cell r="GC116">
            <v>1736.278</v>
          </cell>
          <cell r="GD116">
            <v>1759.5606214070956</v>
          </cell>
          <cell r="GE116">
            <v>463.77</v>
          </cell>
          <cell r="GF116">
            <v>4.1899801062108137</v>
          </cell>
          <cell r="GG116">
            <v>892.34944870385368</v>
          </cell>
          <cell r="GH116">
            <v>0</v>
          </cell>
          <cell r="HJ116" t="str">
            <v>:fu~~</v>
          </cell>
        </row>
        <row r="117">
          <cell r="A117" t="str">
            <v>i.c.p.</v>
          </cell>
          <cell r="I117">
            <v>0</v>
          </cell>
          <cell r="M117" t="str">
            <v xml:space="preserve"> </v>
          </cell>
          <cell r="U117">
            <v>0</v>
          </cell>
          <cell r="W117">
            <v>0</v>
          </cell>
          <cell r="X117">
            <v>0</v>
          </cell>
          <cell r="AD117">
            <v>0</v>
          </cell>
          <cell r="AJ117">
            <v>0</v>
          </cell>
          <cell r="AP117">
            <v>0</v>
          </cell>
          <cell r="AT117">
            <v>0</v>
          </cell>
          <cell r="AX117">
            <v>0</v>
          </cell>
          <cell r="AY117">
            <v>0</v>
          </cell>
          <cell r="AZ117" t="str">
            <v>i.c.p.</v>
          </cell>
          <cell r="BI117">
            <v>0</v>
          </cell>
          <cell r="BQ117">
            <v>1667.6110000000001</v>
          </cell>
          <cell r="BU117">
            <v>1667.6110000000001</v>
          </cell>
          <cell r="BW117">
            <v>0</v>
          </cell>
          <cell r="BX117">
            <v>0</v>
          </cell>
          <cell r="CD117">
            <v>1667.6110000000001</v>
          </cell>
          <cell r="CJ117">
            <v>0</v>
          </cell>
          <cell r="CP117">
            <v>0</v>
          </cell>
          <cell r="CT117">
            <v>1667.6110000000001</v>
          </cell>
          <cell r="CX117">
            <v>1667.6110000000001</v>
          </cell>
          <cell r="FJ117">
            <v>0</v>
          </cell>
          <cell r="FK117">
            <v>0</v>
          </cell>
          <cell r="FN117">
            <v>0</v>
          </cell>
          <cell r="FO117">
            <v>0</v>
          </cell>
          <cell r="FR117">
            <v>0</v>
          </cell>
          <cell r="FS117">
            <v>0</v>
          </cell>
          <cell r="FT117">
            <v>0</v>
          </cell>
          <cell r="FV117">
            <v>0</v>
          </cell>
          <cell r="FW117" t="str">
            <v>i.c.p.</v>
          </cell>
          <cell r="FX117">
            <v>0</v>
          </cell>
          <cell r="FY117">
            <v>0</v>
          </cell>
          <cell r="GA117">
            <v>0</v>
          </cell>
          <cell r="GB117">
            <v>0</v>
          </cell>
          <cell r="GC117">
            <v>0</v>
          </cell>
          <cell r="GD117">
            <v>0</v>
          </cell>
          <cell r="GE117">
            <v>0</v>
          </cell>
          <cell r="GF117" t="e">
            <v>#DIV/0!</v>
          </cell>
          <cell r="GG117">
            <v>1842.3106829941539</v>
          </cell>
          <cell r="GH117">
            <v>0</v>
          </cell>
        </row>
        <row r="118">
          <cell r="A118" t="str">
            <v>employees</v>
          </cell>
          <cell r="I118">
            <v>0</v>
          </cell>
          <cell r="M118" t="str">
            <v xml:space="preserve"> </v>
          </cell>
          <cell r="O118">
            <v>18.5</v>
          </cell>
          <cell r="U118">
            <v>0</v>
          </cell>
          <cell r="W118">
            <v>0</v>
          </cell>
          <cell r="X118">
            <v>0</v>
          </cell>
          <cell r="AD118">
            <v>0</v>
          </cell>
          <cell r="AJ118">
            <v>0</v>
          </cell>
          <cell r="AP118">
            <v>0</v>
          </cell>
          <cell r="AT118">
            <v>18.5</v>
          </cell>
          <cell r="AX118">
            <v>18.5</v>
          </cell>
          <cell r="AY118">
            <v>0</v>
          </cell>
          <cell r="AZ118" t="str">
            <v>employees</v>
          </cell>
          <cell r="BI118">
            <v>0</v>
          </cell>
          <cell r="BO118">
            <v>78</v>
          </cell>
          <cell r="BU118">
            <v>0</v>
          </cell>
          <cell r="BW118">
            <v>0</v>
          </cell>
          <cell r="BX118">
            <v>0</v>
          </cell>
          <cell r="CD118">
            <v>0</v>
          </cell>
          <cell r="CH118">
            <v>0</v>
          </cell>
          <cell r="CJ118">
            <v>0</v>
          </cell>
          <cell r="CP118">
            <v>0</v>
          </cell>
          <cell r="CT118">
            <v>78</v>
          </cell>
          <cell r="CX118">
            <v>78</v>
          </cell>
          <cell r="FH118">
            <v>78</v>
          </cell>
          <cell r="FJ118">
            <v>0</v>
          </cell>
          <cell r="FK118">
            <v>0</v>
          </cell>
          <cell r="FN118">
            <v>0</v>
          </cell>
          <cell r="FR118">
            <v>0</v>
          </cell>
          <cell r="FS118">
            <v>0</v>
          </cell>
          <cell r="FT118">
            <v>78</v>
          </cell>
          <cell r="FV118">
            <v>78</v>
          </cell>
          <cell r="FW118" t="str">
            <v>employees</v>
          </cell>
          <cell r="FX118">
            <v>0</v>
          </cell>
          <cell r="FY118">
            <v>0</v>
          </cell>
          <cell r="GA118">
            <v>0</v>
          </cell>
          <cell r="GB118">
            <v>0</v>
          </cell>
          <cell r="GC118">
            <v>78</v>
          </cell>
          <cell r="GD118">
            <v>79.045941070354772</v>
          </cell>
          <cell r="GE118">
            <v>78</v>
          </cell>
          <cell r="GF118">
            <v>4.2162162162162158</v>
          </cell>
          <cell r="GG118">
            <v>88.373110915994573</v>
          </cell>
          <cell r="GH118">
            <v>0</v>
          </cell>
          <cell r="HJ118" t="str">
            <v>/re~:fldb~{D}</v>
          </cell>
        </row>
        <row r="119">
          <cell r="A119" t="str">
            <v>suppliers</v>
          </cell>
          <cell r="I119">
            <v>0</v>
          </cell>
          <cell r="M119" t="str">
            <v xml:space="preserve"> </v>
          </cell>
          <cell r="Q119">
            <v>157.68100000000001</v>
          </cell>
          <cell r="U119">
            <v>157.68100000000001</v>
          </cell>
          <cell r="W119">
            <v>33</v>
          </cell>
          <cell r="X119">
            <v>33</v>
          </cell>
          <cell r="AD119">
            <v>223.68100000000001</v>
          </cell>
          <cell r="AJ119">
            <v>0</v>
          </cell>
          <cell r="AL119">
            <v>0.32500000000000001</v>
          </cell>
          <cell r="AP119">
            <v>0.32500000000000001</v>
          </cell>
          <cell r="AR119">
            <v>1</v>
          </cell>
          <cell r="AT119">
            <v>225.006</v>
          </cell>
          <cell r="AX119">
            <v>225.006</v>
          </cell>
          <cell r="AY119">
            <v>0</v>
          </cell>
          <cell r="AZ119" t="str">
            <v>suppliers</v>
          </cell>
          <cell r="BG119">
            <v>0</v>
          </cell>
          <cell r="BI119">
            <v>0</v>
          </cell>
          <cell r="BO119">
            <v>43</v>
          </cell>
          <cell r="BQ119">
            <v>657.19</v>
          </cell>
          <cell r="BU119">
            <v>657.19</v>
          </cell>
          <cell r="BW119">
            <v>136.5</v>
          </cell>
          <cell r="BX119">
            <v>136.5</v>
          </cell>
          <cell r="BZ119" t="str">
            <v xml:space="preserve"> </v>
          </cell>
          <cell r="CD119">
            <v>930.19</v>
          </cell>
          <cell r="CJ119">
            <v>0</v>
          </cell>
          <cell r="CL119">
            <v>0</v>
          </cell>
          <cell r="CP119">
            <v>0</v>
          </cell>
          <cell r="CT119">
            <v>973.19</v>
          </cell>
          <cell r="CX119">
            <v>973.19</v>
          </cell>
          <cell r="FI119">
            <v>657.19</v>
          </cell>
          <cell r="FJ119">
            <v>136.5</v>
          </cell>
          <cell r="FK119">
            <v>136.5</v>
          </cell>
          <cell r="FN119">
            <v>930.19</v>
          </cell>
          <cell r="FR119">
            <v>0</v>
          </cell>
          <cell r="FS119">
            <v>4.0949999999999998</v>
          </cell>
          <cell r="FT119">
            <v>934.28499999999997</v>
          </cell>
          <cell r="FV119">
            <v>934.28499999999997</v>
          </cell>
          <cell r="FW119" t="str">
            <v>suppliers</v>
          </cell>
          <cell r="FX119">
            <v>930.19</v>
          </cell>
          <cell r="FY119">
            <v>0</v>
          </cell>
          <cell r="GA119">
            <v>930.19</v>
          </cell>
          <cell r="GB119">
            <v>942.6633836440169</v>
          </cell>
          <cell r="GC119">
            <v>934.28499999999997</v>
          </cell>
          <cell r="GD119">
            <v>946.81329555021046</v>
          </cell>
          <cell r="GE119">
            <v>4.0950000000000273</v>
          </cell>
          <cell r="GF119">
            <v>4.1522670506564276</v>
          </cell>
          <cell r="GG119">
            <v>474.0597769922644</v>
          </cell>
          <cell r="GH119">
            <v>0</v>
          </cell>
        </row>
        <row r="120">
          <cell r="A120" t="str">
            <v>program material</v>
          </cell>
          <cell r="I120">
            <v>0</v>
          </cell>
          <cell r="M120" t="str">
            <v xml:space="preserve"> </v>
          </cell>
          <cell r="U120">
            <v>0</v>
          </cell>
          <cell r="W120">
            <v>0</v>
          </cell>
          <cell r="X120">
            <v>0</v>
          </cell>
          <cell r="AD120">
            <v>0</v>
          </cell>
          <cell r="AJ120">
            <v>0</v>
          </cell>
          <cell r="AN120">
            <v>0</v>
          </cell>
          <cell r="AP120">
            <v>0</v>
          </cell>
          <cell r="AT120">
            <v>0</v>
          </cell>
          <cell r="AX120">
            <v>0</v>
          </cell>
          <cell r="AY120">
            <v>0</v>
          </cell>
          <cell r="AZ120" t="str">
            <v>program material</v>
          </cell>
          <cell r="BG120">
            <v>0</v>
          </cell>
          <cell r="BI120">
            <v>0</v>
          </cell>
          <cell r="BU120">
            <v>0</v>
          </cell>
          <cell r="BW120">
            <v>0</v>
          </cell>
          <cell r="BX120">
            <v>0</v>
          </cell>
          <cell r="CD120">
            <v>0</v>
          </cell>
          <cell r="CJ120">
            <v>0</v>
          </cell>
          <cell r="CN120">
            <v>0</v>
          </cell>
          <cell r="CP120">
            <v>0</v>
          </cell>
          <cell r="CT120">
            <v>0</v>
          </cell>
          <cell r="CX120">
            <v>0</v>
          </cell>
          <cell r="FJ120">
            <v>0</v>
          </cell>
          <cell r="FK120">
            <v>0</v>
          </cell>
          <cell r="FN120">
            <v>0</v>
          </cell>
          <cell r="FO120">
            <v>0</v>
          </cell>
          <cell r="FQ120">
            <v>0</v>
          </cell>
          <cell r="FR120">
            <v>0</v>
          </cell>
          <cell r="FS120">
            <v>0</v>
          </cell>
          <cell r="FT120">
            <v>0</v>
          </cell>
          <cell r="FV120">
            <v>0</v>
          </cell>
          <cell r="FW120" t="str">
            <v>program material</v>
          </cell>
          <cell r="FX120">
            <v>0</v>
          </cell>
          <cell r="FY120">
            <v>0</v>
          </cell>
          <cell r="GA120">
            <v>0</v>
          </cell>
          <cell r="GB120">
            <v>0</v>
          </cell>
          <cell r="GC120">
            <v>0</v>
          </cell>
          <cell r="GD120">
            <v>0</v>
          </cell>
          <cell r="GE120">
            <v>0</v>
          </cell>
          <cell r="GF120" t="e">
            <v>#DIV/0!</v>
          </cell>
          <cell r="GG120">
            <v>169.14820081931691</v>
          </cell>
          <cell r="GH120">
            <v>0</v>
          </cell>
          <cell r="GT120" t="str">
            <v xml:space="preserve">דוח דולר  </v>
          </cell>
        </row>
        <row r="121">
          <cell r="A121" t="str">
            <v>sundry</v>
          </cell>
          <cell r="I121">
            <v>0</v>
          </cell>
          <cell r="M121" t="str">
            <v xml:space="preserve"> </v>
          </cell>
          <cell r="O121">
            <v>20</v>
          </cell>
          <cell r="Q121">
            <v>235.922</v>
          </cell>
          <cell r="U121">
            <v>235.922</v>
          </cell>
          <cell r="W121">
            <v>11</v>
          </cell>
          <cell r="X121">
            <v>11</v>
          </cell>
          <cell r="AD121">
            <v>257.92200000000003</v>
          </cell>
          <cell r="AH121">
            <v>0</v>
          </cell>
          <cell r="AJ121">
            <v>0</v>
          </cell>
          <cell r="AL121">
            <v>49</v>
          </cell>
          <cell r="AP121">
            <v>49</v>
          </cell>
          <cell r="AR121">
            <v>2.504</v>
          </cell>
          <cell r="AT121">
            <v>329.42600000000004</v>
          </cell>
          <cell r="AX121">
            <v>329.42600000000004</v>
          </cell>
          <cell r="AZ121" t="str">
            <v>sundry</v>
          </cell>
          <cell r="BG121">
            <v>0</v>
          </cell>
          <cell r="BI121">
            <v>0</v>
          </cell>
          <cell r="BO121">
            <v>1762</v>
          </cell>
          <cell r="BQ121">
            <v>981.41800000000001</v>
          </cell>
          <cell r="BU121">
            <v>981.41800000000001</v>
          </cell>
          <cell r="BW121">
            <v>197.5</v>
          </cell>
          <cell r="BX121">
            <v>197.5</v>
          </cell>
          <cell r="CD121">
            <v>1376.4180000000001</v>
          </cell>
          <cell r="CH121">
            <v>0</v>
          </cell>
          <cell r="CJ121">
            <v>0</v>
          </cell>
          <cell r="CL121">
            <v>210</v>
          </cell>
          <cell r="CP121">
            <v>210</v>
          </cell>
          <cell r="CR121">
            <v>0.40500000000000003</v>
          </cell>
          <cell r="CT121">
            <v>3348.8230000000003</v>
          </cell>
          <cell r="CV121">
            <v>0</v>
          </cell>
          <cell r="CX121">
            <v>3348.8230000000003</v>
          </cell>
          <cell r="FH121">
            <v>81</v>
          </cell>
          <cell r="FI121">
            <v>981.41800000000001</v>
          </cell>
          <cell r="FJ121">
            <v>47.5</v>
          </cell>
          <cell r="FK121">
            <v>47.5</v>
          </cell>
          <cell r="FN121">
            <v>1076.4180000000001</v>
          </cell>
          <cell r="FO121">
            <v>0</v>
          </cell>
          <cell r="FP121">
            <v>203.84</v>
          </cell>
          <cell r="FR121">
            <v>203.84</v>
          </cell>
          <cell r="FS121">
            <v>11.895</v>
          </cell>
          <cell r="FT121">
            <v>1373.153</v>
          </cell>
          <cell r="FU121">
            <v>0</v>
          </cell>
          <cell r="FV121">
            <v>1373.153</v>
          </cell>
          <cell r="FW121" t="str">
            <v>sundry</v>
          </cell>
          <cell r="FX121">
            <v>1076.4180000000001</v>
          </cell>
          <cell r="FY121">
            <v>203.84</v>
          </cell>
          <cell r="GA121">
            <v>1280.258</v>
          </cell>
          <cell r="GB121">
            <v>1297.4256208057727</v>
          </cell>
          <cell r="GC121">
            <v>1373.153</v>
          </cell>
          <cell r="GD121">
            <v>1391.5662963920624</v>
          </cell>
          <cell r="GE121">
            <v>92.894999999999996</v>
          </cell>
          <cell r="GF121">
            <v>4.1683200475979429</v>
          </cell>
          <cell r="GG121">
            <v>2670.3466610525779</v>
          </cell>
          <cell r="GH121">
            <v>0</v>
          </cell>
          <cell r="HJ121" t="str">
            <v>/re~:fr~{U}:fud~</v>
          </cell>
        </row>
        <row r="122">
          <cell r="A122" t="str">
            <v>total acc. rec.</v>
          </cell>
          <cell r="C122">
            <v>-13597.152999999998</v>
          </cell>
          <cell r="E122">
            <v>18208.349999999999</v>
          </cell>
          <cell r="G122">
            <v>-5030.1838852202718</v>
          </cell>
          <cell r="I122">
            <v>-418.98688522027129</v>
          </cell>
          <cell r="M122">
            <v>169.81310096153845</v>
          </cell>
          <cell r="O122">
            <v>4338</v>
          </cell>
          <cell r="Q122">
            <v>6265.49</v>
          </cell>
          <cell r="S122">
            <v>-15.269</v>
          </cell>
          <cell r="U122">
            <v>6250.2209999999995</v>
          </cell>
          <cell r="W122">
            <v>991.5</v>
          </cell>
          <cell r="X122">
            <v>1028</v>
          </cell>
          <cell r="Z122">
            <v>72.872</v>
          </cell>
          <cell r="AB122">
            <v>0</v>
          </cell>
          <cell r="AD122">
            <v>8306.0930000000008</v>
          </cell>
          <cell r="AF122">
            <v>42.854999999999997</v>
          </cell>
          <cell r="AH122">
            <v>0</v>
          </cell>
          <cell r="AJ122">
            <v>42.854999999999997</v>
          </cell>
          <cell r="AL122">
            <v>623.32500000000005</v>
          </cell>
          <cell r="AN122">
            <v>-26.103999999999999</v>
          </cell>
          <cell r="AP122">
            <v>640.07600000000002</v>
          </cell>
          <cell r="AR122">
            <v>1825.7919999999999</v>
          </cell>
          <cell r="AT122">
            <v>14860.879215741266</v>
          </cell>
          <cell r="AV122">
            <v>-5952.0366923076926</v>
          </cell>
          <cell r="AX122">
            <v>8908.8425234335737</v>
          </cell>
          <cell r="AZ122" t="str">
            <v>total acc. rec.</v>
          </cell>
          <cell r="BC122">
            <v>-51364.058000000005</v>
          </cell>
          <cell r="BE122">
            <v>67408.320000000007</v>
          </cell>
          <cell r="BG122">
            <v>-18618.462406415285</v>
          </cell>
          <cell r="BI122">
            <v>-2574.2004064152843</v>
          </cell>
          <cell r="BM122">
            <v>706.42250000000001</v>
          </cell>
          <cell r="BO122">
            <v>18460.5</v>
          </cell>
          <cell r="BQ122">
            <v>25964.621999999996</v>
          </cell>
          <cell r="BS122">
            <v>0</v>
          </cell>
          <cell r="BU122">
            <v>25964.621999999996</v>
          </cell>
          <cell r="BW122">
            <v>4263</v>
          </cell>
          <cell r="BX122">
            <v>4263</v>
          </cell>
          <cell r="BZ122">
            <v>303.14400000000001</v>
          </cell>
          <cell r="CB122">
            <v>0</v>
          </cell>
          <cell r="CD122">
            <v>34793.765999999996</v>
          </cell>
          <cell r="CF122">
            <v>178.279</v>
          </cell>
          <cell r="CH122">
            <v>0</v>
          </cell>
          <cell r="CJ122">
            <v>178.279</v>
          </cell>
          <cell r="CL122">
            <v>2757</v>
          </cell>
          <cell r="CN122">
            <v>-108.59399999999999</v>
          </cell>
          <cell r="CP122">
            <v>2826.6849999999999</v>
          </cell>
          <cell r="CR122">
            <v>7584.1049999999996</v>
          </cell>
          <cell r="CT122">
            <v>61797.663093584706</v>
          </cell>
          <cell r="CV122">
            <v>-23376.774000000001</v>
          </cell>
          <cell r="CX122">
            <v>38420.889093584716</v>
          </cell>
          <cell r="FC122">
            <v>-51363.377999999997</v>
          </cell>
          <cell r="FD122">
            <v>67407.64</v>
          </cell>
          <cell r="FE122">
            <v>-17479.320406415285</v>
          </cell>
          <cell r="FF122">
            <v>-1435.0584064152836</v>
          </cell>
          <cell r="FG122">
            <v>706.42250000000001</v>
          </cell>
          <cell r="FH122">
            <v>18036.5</v>
          </cell>
          <cell r="FI122">
            <v>25978.992999999999</v>
          </cell>
          <cell r="FJ122">
            <v>4128.5</v>
          </cell>
          <cell r="FK122">
            <v>4128.5</v>
          </cell>
          <cell r="FL122">
            <v>89.135000000000005</v>
          </cell>
          <cell r="FM122">
            <v>0</v>
          </cell>
          <cell r="FN122">
            <v>34325.127999999997</v>
          </cell>
          <cell r="FO122">
            <v>178.279</v>
          </cell>
          <cell r="FP122">
            <v>2628</v>
          </cell>
          <cell r="FQ122">
            <v>0</v>
          </cell>
          <cell r="FR122">
            <v>2806.2790000000005</v>
          </cell>
          <cell r="FS122">
            <v>7596.5840000000017</v>
          </cell>
          <cell r="FT122">
            <v>62035.855093584723</v>
          </cell>
          <cell r="FU122">
            <v>-24473.342400000001</v>
          </cell>
          <cell r="FV122">
            <v>37562.512693584715</v>
          </cell>
          <cell r="FW122" t="str">
            <v>total acc. rec.</v>
          </cell>
          <cell r="FX122">
            <v>34325.127999999997</v>
          </cell>
          <cell r="FY122">
            <v>2806.2790000000005</v>
          </cell>
          <cell r="FZ122">
            <v>0</v>
          </cell>
          <cell r="GA122">
            <v>37131.407000000007</v>
          </cell>
          <cell r="GB122">
            <v>37629.320635658441</v>
          </cell>
          <cell r="GC122">
            <v>37562.512693584715</v>
          </cell>
          <cell r="GD122">
            <v>38066.207241430129</v>
          </cell>
          <cell r="GE122">
            <v>431.10569358470821</v>
          </cell>
          <cell r="GF122">
            <v>4.216317955422527</v>
          </cell>
          <cell r="GG122">
            <v>31379.600620210771</v>
          </cell>
          <cell r="GH122">
            <v>0</v>
          </cell>
        </row>
        <row r="123">
          <cell r="FX123">
            <v>0</v>
          </cell>
          <cell r="FY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</row>
        <row r="124">
          <cell r="A124" t="str">
            <v>INVENTORIES</v>
          </cell>
          <cell r="I124">
            <v>0</v>
          </cell>
          <cell r="O124">
            <v>2104.5</v>
          </cell>
          <cell r="Q124">
            <v>0</v>
          </cell>
          <cell r="U124">
            <v>0</v>
          </cell>
          <cell r="AD124">
            <v>0</v>
          </cell>
          <cell r="AJ124">
            <v>0</v>
          </cell>
          <cell r="AN124">
            <v>0</v>
          </cell>
          <cell r="AP124">
            <v>0</v>
          </cell>
          <cell r="AT124">
            <v>2104.5</v>
          </cell>
          <cell r="AX124">
            <v>2104.5</v>
          </cell>
          <cell r="AY124">
            <v>0</v>
          </cell>
          <cell r="AZ124" t="str">
            <v>INVENTORIES</v>
          </cell>
          <cell r="BG124">
            <v>0</v>
          </cell>
          <cell r="BI124">
            <v>0</v>
          </cell>
          <cell r="BM124">
            <v>8.7769999999999992</v>
          </cell>
          <cell r="BO124">
            <v>8435</v>
          </cell>
          <cell r="BU124">
            <v>0</v>
          </cell>
          <cell r="BW124">
            <v>0</v>
          </cell>
          <cell r="BX124">
            <v>0</v>
          </cell>
          <cell r="CD124">
            <v>0</v>
          </cell>
          <cell r="CJ124">
            <v>0</v>
          </cell>
          <cell r="CN124">
            <v>0</v>
          </cell>
          <cell r="CP124">
            <v>0</v>
          </cell>
          <cell r="CT124">
            <v>8443.777</v>
          </cell>
          <cell r="CX124">
            <v>8443.777</v>
          </cell>
          <cell r="FG124">
            <v>8.7769999999999992</v>
          </cell>
          <cell r="FH124">
            <v>8657</v>
          </cell>
          <cell r="FL124">
            <v>0</v>
          </cell>
          <cell r="FN124">
            <v>0</v>
          </cell>
          <cell r="FO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8665.777</v>
          </cell>
          <cell r="FV124">
            <v>8665.777</v>
          </cell>
          <cell r="FW124" t="str">
            <v>INVENTORIES</v>
          </cell>
          <cell r="FX124">
            <v>0</v>
          </cell>
          <cell r="FY124">
            <v>0</v>
          </cell>
          <cell r="GA124">
            <v>0</v>
          </cell>
          <cell r="GB124">
            <v>0</v>
          </cell>
          <cell r="GC124">
            <v>8665.777</v>
          </cell>
          <cell r="GD124">
            <v>8781.9807444978942</v>
          </cell>
          <cell r="GE124">
            <v>8665.777</v>
          </cell>
          <cell r="GF124">
            <v>4.1177367545735333</v>
          </cell>
          <cell r="GG124">
            <v>8146.5367965382111</v>
          </cell>
          <cell r="GH124">
            <v>0</v>
          </cell>
          <cell r="HJ124" t="str">
            <v>:flb~{D}</v>
          </cell>
        </row>
        <row r="125">
          <cell r="FX125">
            <v>0</v>
          </cell>
          <cell r="FY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</row>
        <row r="126">
          <cell r="A126" t="str">
            <v>BANKS</v>
          </cell>
          <cell r="AT126">
            <v>0</v>
          </cell>
          <cell r="AY126">
            <v>0</v>
          </cell>
          <cell r="AZ126" t="str">
            <v>BANKS</v>
          </cell>
          <cell r="BX126">
            <v>0</v>
          </cell>
          <cell r="CD126">
            <v>0</v>
          </cell>
          <cell r="CT126">
            <v>0</v>
          </cell>
          <cell r="FL126">
            <v>0</v>
          </cell>
          <cell r="FN126">
            <v>0</v>
          </cell>
          <cell r="FW126" t="str">
            <v>BANKS</v>
          </cell>
          <cell r="FX126">
            <v>0</v>
          </cell>
          <cell r="FY126">
            <v>0</v>
          </cell>
          <cell r="GA126">
            <v>0</v>
          </cell>
          <cell r="GB126">
            <v>0</v>
          </cell>
          <cell r="GC126">
            <v>0</v>
          </cell>
          <cell r="GD126">
            <v>0</v>
          </cell>
          <cell r="GE126">
            <v>0</v>
          </cell>
          <cell r="GF126" t="e">
            <v>#DIV/0!</v>
          </cell>
          <cell r="GH126">
            <v>0</v>
          </cell>
        </row>
        <row r="127">
          <cell r="A127" t="str">
            <v xml:space="preserve">Shekel  accounts                                                   </v>
          </cell>
          <cell r="C127">
            <v>0.871</v>
          </cell>
          <cell r="I127">
            <v>0.871</v>
          </cell>
          <cell r="O127">
            <v>40.5</v>
          </cell>
          <cell r="Q127">
            <v>81.971000000000004</v>
          </cell>
          <cell r="S127" t="str">
            <v xml:space="preserve"> </v>
          </cell>
          <cell r="U127">
            <v>81.971000000000004</v>
          </cell>
          <cell r="W127">
            <v>99.5</v>
          </cell>
          <cell r="X127">
            <v>99.5</v>
          </cell>
          <cell r="Z127">
            <v>12.333</v>
          </cell>
          <cell r="AD127">
            <v>293.30400000000003</v>
          </cell>
          <cell r="AF127">
            <v>16.248000000000001</v>
          </cell>
          <cell r="AJ127">
            <v>16.248000000000001</v>
          </cell>
          <cell r="AL127">
            <v>13</v>
          </cell>
          <cell r="AP127">
            <v>29.248000000000001</v>
          </cell>
          <cell r="AR127">
            <v>8.7769999999999992</v>
          </cell>
          <cell r="AT127">
            <v>372.7</v>
          </cell>
          <cell r="AX127">
            <v>372.7</v>
          </cell>
          <cell r="AY127">
            <v>0</v>
          </cell>
          <cell r="AZ127" t="str">
            <v xml:space="preserve">Shekel  accounts                                                   </v>
          </cell>
          <cell r="BC127">
            <v>3.625</v>
          </cell>
          <cell r="BI127">
            <v>3.625</v>
          </cell>
          <cell r="BO127">
            <v>168.5</v>
          </cell>
          <cell r="BQ127">
            <v>340.7</v>
          </cell>
          <cell r="BS127" t="str">
            <v xml:space="preserve"> </v>
          </cell>
          <cell r="BU127">
            <v>340.7</v>
          </cell>
          <cell r="BW127">
            <v>413.5</v>
          </cell>
          <cell r="BX127">
            <v>413.5</v>
          </cell>
          <cell r="BZ127">
            <v>51.302999999999997</v>
          </cell>
          <cell r="CD127">
            <v>1219.0030000000002</v>
          </cell>
          <cell r="CF127">
            <v>67.59</v>
          </cell>
          <cell r="CJ127">
            <v>67.59</v>
          </cell>
          <cell r="CL127">
            <v>53</v>
          </cell>
          <cell r="CP127">
            <v>120.59</v>
          </cell>
          <cell r="CR127">
            <v>36.517000000000003</v>
          </cell>
          <cell r="CT127">
            <v>1548.2349999999999</v>
          </cell>
          <cell r="CX127">
            <v>1548.2349999999999</v>
          </cell>
          <cell r="FC127">
            <v>3.625</v>
          </cell>
          <cell r="FF127">
            <v>3.625</v>
          </cell>
          <cell r="FH127">
            <v>168.5</v>
          </cell>
          <cell r="FI127">
            <v>340.7</v>
          </cell>
          <cell r="FJ127">
            <v>413.5</v>
          </cell>
          <cell r="FK127">
            <v>413.5</v>
          </cell>
          <cell r="FL127">
            <v>51.302999999999997</v>
          </cell>
          <cell r="FN127">
            <v>1219.0030000000002</v>
          </cell>
          <cell r="FO127">
            <v>67.59</v>
          </cell>
          <cell r="FP127">
            <v>7713</v>
          </cell>
          <cell r="FR127">
            <v>7780.59</v>
          </cell>
          <cell r="FS127">
            <v>36.517000000000003</v>
          </cell>
          <cell r="FT127">
            <v>9208.2350000000006</v>
          </cell>
          <cell r="FV127">
            <v>9208.2350000000006</v>
          </cell>
          <cell r="FW127" t="str">
            <v xml:space="preserve">Shekel  accounts                                                   </v>
          </cell>
          <cell r="FX127">
            <v>1219.0030000000002</v>
          </cell>
          <cell r="FY127">
            <v>7780.59</v>
          </cell>
          <cell r="GA127">
            <v>8999.5930000000008</v>
          </cell>
          <cell r="GB127">
            <v>9120.2730504509927</v>
          </cell>
          <cell r="GC127">
            <v>9208.2350000000006</v>
          </cell>
          <cell r="GD127">
            <v>9331.7128355381828</v>
          </cell>
          <cell r="GE127">
            <v>208.64199999999983</v>
          </cell>
          <cell r="GF127">
            <v>24.706828548430376</v>
          </cell>
          <cell r="GG127">
            <v>10227.441908675792</v>
          </cell>
          <cell r="GH127">
            <v>0</v>
          </cell>
          <cell r="HJ127" t="str">
            <v>{EDIT}{HOME}{R 1} ~</v>
          </cell>
        </row>
        <row r="128">
          <cell r="A128" t="str">
            <v>Shekel deposits</v>
          </cell>
          <cell r="I128">
            <v>0</v>
          </cell>
          <cell r="Q128">
            <v>89.278999999999996</v>
          </cell>
          <cell r="U128">
            <v>89.278999999999996</v>
          </cell>
          <cell r="Z128">
            <v>593.78200000000004</v>
          </cell>
          <cell r="AD128">
            <v>683.06100000000004</v>
          </cell>
          <cell r="AJ128">
            <v>0</v>
          </cell>
          <cell r="AL128">
            <v>1841</v>
          </cell>
          <cell r="AP128">
            <v>1841</v>
          </cell>
          <cell r="AR128">
            <v>636.10199999999998</v>
          </cell>
          <cell r="AT128">
            <v>3160.163</v>
          </cell>
          <cell r="AX128">
            <v>3160.163</v>
          </cell>
          <cell r="AY128">
            <v>0</v>
          </cell>
          <cell r="AZ128" t="str">
            <v>Shekel deposits</v>
          </cell>
          <cell r="BE128">
            <v>0</v>
          </cell>
          <cell r="BI128">
            <v>0</v>
          </cell>
          <cell r="BQ128">
            <v>371.4</v>
          </cell>
          <cell r="BU128">
            <v>371.4</v>
          </cell>
          <cell r="BX128">
            <v>0</v>
          </cell>
          <cell r="BZ128">
            <v>2470.1309999999999</v>
          </cell>
          <cell r="CD128">
            <v>2841.5309999999999</v>
          </cell>
          <cell r="CJ128">
            <v>0</v>
          </cell>
          <cell r="CL128">
            <v>7660</v>
          </cell>
          <cell r="CP128">
            <v>7660</v>
          </cell>
          <cell r="CR128">
            <v>2646.1849999999999</v>
          </cell>
          <cell r="CT128">
            <v>13147.716</v>
          </cell>
          <cell r="CX128">
            <v>13147.716</v>
          </cell>
          <cell r="FI128">
            <v>371.4</v>
          </cell>
          <cell r="FL128">
            <v>2469.1309999999999</v>
          </cell>
          <cell r="FN128">
            <v>2840.5309999999999</v>
          </cell>
          <cell r="FO128">
            <v>0</v>
          </cell>
          <cell r="FR128">
            <v>0</v>
          </cell>
          <cell r="FS128">
            <v>2646.1849999999999</v>
          </cell>
          <cell r="FT128">
            <v>5486.7160000000003</v>
          </cell>
          <cell r="FV128">
            <v>5486.7160000000003</v>
          </cell>
          <cell r="FW128" t="str">
            <v>Shekel deposits</v>
          </cell>
          <cell r="FX128">
            <v>2840.5309999999999</v>
          </cell>
          <cell r="FY128">
            <v>0</v>
          </cell>
          <cell r="GA128">
            <v>2840.5309999999999</v>
          </cell>
          <cell r="GB128">
            <v>2878.6211030066142</v>
          </cell>
          <cell r="GC128">
            <v>5486.7160000000003</v>
          </cell>
          <cell r="GD128">
            <v>5560.2901231509322</v>
          </cell>
          <cell r="GE128">
            <v>2646.1850000000004</v>
          </cell>
          <cell r="GF128">
            <v>1.7362129738244516</v>
          </cell>
          <cell r="GG128">
            <v>2891.392628713234</v>
          </cell>
          <cell r="GH128">
            <v>0</v>
          </cell>
        </row>
        <row r="129">
          <cell r="A129" t="str">
            <v>Cash in banks</v>
          </cell>
          <cell r="C129">
            <v>0.871</v>
          </cell>
          <cell r="E129">
            <v>0</v>
          </cell>
          <cell r="G129">
            <v>0</v>
          </cell>
          <cell r="I129">
            <v>0.871</v>
          </cell>
          <cell r="O129">
            <v>40.5</v>
          </cell>
          <cell r="Q129">
            <v>171.25</v>
          </cell>
          <cell r="S129">
            <v>0</v>
          </cell>
          <cell r="U129">
            <v>171.25</v>
          </cell>
          <cell r="W129">
            <v>99.5</v>
          </cell>
          <cell r="X129">
            <v>99.5</v>
          </cell>
          <cell r="Z129">
            <v>606.11500000000001</v>
          </cell>
          <cell r="AB129">
            <v>0</v>
          </cell>
          <cell r="AD129">
            <v>976.36500000000001</v>
          </cell>
          <cell r="AF129">
            <v>16.248000000000001</v>
          </cell>
          <cell r="AH129">
            <v>0</v>
          </cell>
          <cell r="AJ129">
            <v>16.248000000000001</v>
          </cell>
          <cell r="AL129">
            <v>1854</v>
          </cell>
          <cell r="AN129">
            <v>0</v>
          </cell>
          <cell r="AP129">
            <v>1870.248</v>
          </cell>
          <cell r="AR129">
            <v>644.87900000000002</v>
          </cell>
          <cell r="AT129">
            <v>3532.8629999999998</v>
          </cell>
          <cell r="AV129">
            <v>0</v>
          </cell>
          <cell r="AX129">
            <v>3532.8629999999998</v>
          </cell>
          <cell r="AY129">
            <v>0</v>
          </cell>
          <cell r="AZ129" t="str">
            <v>Cash in banks</v>
          </cell>
          <cell r="BC129">
            <v>3.625</v>
          </cell>
          <cell r="BE129">
            <v>0</v>
          </cell>
          <cell r="BG129">
            <v>0</v>
          </cell>
          <cell r="BI129">
            <v>3.625</v>
          </cell>
          <cell r="BM129">
            <v>0</v>
          </cell>
          <cell r="BO129">
            <v>168.5</v>
          </cell>
          <cell r="BQ129">
            <v>712.1</v>
          </cell>
          <cell r="BS129">
            <v>0</v>
          </cell>
          <cell r="BU129">
            <v>712.1</v>
          </cell>
          <cell r="BW129">
            <v>413.5</v>
          </cell>
          <cell r="BX129">
            <v>413.5</v>
          </cell>
          <cell r="BZ129">
            <v>2521.4339999999997</v>
          </cell>
          <cell r="CB129">
            <v>0</v>
          </cell>
          <cell r="CD129">
            <v>4060.5339999999997</v>
          </cell>
          <cell r="CF129">
            <v>67.59</v>
          </cell>
          <cell r="CH129">
            <v>0</v>
          </cell>
          <cell r="CJ129">
            <v>67.59</v>
          </cell>
          <cell r="CL129">
            <v>7713</v>
          </cell>
          <cell r="CP129">
            <v>7780.59</v>
          </cell>
          <cell r="CR129">
            <v>2682.7019999999998</v>
          </cell>
          <cell r="CT129">
            <v>14695.951000000001</v>
          </cell>
          <cell r="CV129">
            <v>0</v>
          </cell>
          <cell r="CX129">
            <v>14695.951000000001</v>
          </cell>
          <cell r="FC129">
            <v>3.625</v>
          </cell>
          <cell r="FD129">
            <v>0</v>
          </cell>
          <cell r="FE129">
            <v>0</v>
          </cell>
          <cell r="FF129">
            <v>3.625</v>
          </cell>
          <cell r="FG129">
            <v>0</v>
          </cell>
          <cell r="FH129">
            <v>168.5</v>
          </cell>
          <cell r="FI129">
            <v>712.1</v>
          </cell>
          <cell r="FJ129">
            <v>413.5</v>
          </cell>
          <cell r="FK129">
            <v>413.5</v>
          </cell>
          <cell r="FL129">
            <v>2520.4339999999997</v>
          </cell>
          <cell r="FM129">
            <v>0</v>
          </cell>
          <cell r="FN129">
            <v>4059.5340000000001</v>
          </cell>
          <cell r="FO129">
            <v>67.59</v>
          </cell>
          <cell r="FP129">
            <v>7713</v>
          </cell>
          <cell r="FQ129">
            <v>0</v>
          </cell>
          <cell r="FR129">
            <v>7780.59</v>
          </cell>
          <cell r="FS129">
            <v>2682.7019999999998</v>
          </cell>
          <cell r="FT129">
            <v>14694.951000000001</v>
          </cell>
          <cell r="FU129">
            <v>0</v>
          </cell>
          <cell r="FV129">
            <v>14694.951000000001</v>
          </cell>
          <cell r="FW129" t="str">
            <v>Cash in banks</v>
          </cell>
          <cell r="FX129">
            <v>4059.5340000000001</v>
          </cell>
          <cell r="FY129">
            <v>7780.59</v>
          </cell>
          <cell r="FZ129">
            <v>0</v>
          </cell>
          <cell r="GA129">
            <v>11840.124</v>
          </cell>
          <cell r="GB129">
            <v>11998.894153457608</v>
          </cell>
          <cell r="GC129">
            <v>14694.951000000001</v>
          </cell>
          <cell r="GD129">
            <v>14892.002958689114</v>
          </cell>
          <cell r="GE129">
            <v>2854.8270000000011</v>
          </cell>
          <cell r="GF129">
            <v>4.1595020808902019</v>
          </cell>
          <cell r="GG129">
            <v>13118.834537389024</v>
          </cell>
          <cell r="GH129">
            <v>0</v>
          </cell>
          <cell r="HJ129" t="str">
            <v>{EDIT}{HOME}{R 1}{DELETE 1}~</v>
          </cell>
        </row>
        <row r="130">
          <cell r="FX130">
            <v>0</v>
          </cell>
          <cell r="FY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</row>
        <row r="131">
          <cell r="A131" t="str">
            <v>Total curr.ass.</v>
          </cell>
          <cell r="C131">
            <v>-13596.281999999999</v>
          </cell>
          <cell r="E131">
            <v>18208.349999999999</v>
          </cell>
          <cell r="G131">
            <v>-5030.1838852202718</v>
          </cell>
          <cell r="I131">
            <v>-418.11588522027131</v>
          </cell>
          <cell r="M131">
            <v>169.81310096153845</v>
          </cell>
          <cell r="O131">
            <v>6483</v>
          </cell>
          <cell r="Q131">
            <v>6436.74</v>
          </cell>
          <cell r="S131">
            <v>-15.269</v>
          </cell>
          <cell r="U131">
            <v>6421.4709999999995</v>
          </cell>
          <cell r="W131">
            <v>1091</v>
          </cell>
          <cell r="X131">
            <v>1127.5</v>
          </cell>
          <cell r="Z131">
            <v>678.98699999999997</v>
          </cell>
          <cell r="AB131">
            <v>0</v>
          </cell>
          <cell r="AD131">
            <v>9282.4580000000005</v>
          </cell>
          <cell r="AF131">
            <v>59.103000000000009</v>
          </cell>
          <cell r="AH131">
            <v>0</v>
          </cell>
          <cell r="AJ131">
            <v>59.103000000000009</v>
          </cell>
          <cell r="AL131">
            <v>2477.3249999999998</v>
          </cell>
          <cell r="AN131">
            <v>-26.103999999999999</v>
          </cell>
          <cell r="AP131">
            <v>2510.3240000000001</v>
          </cell>
          <cell r="AR131">
            <v>2470.6709999999998</v>
          </cell>
          <cell r="AT131">
            <v>20498.242215741266</v>
          </cell>
          <cell r="AV131">
            <v>-5952.0366923076926</v>
          </cell>
          <cell r="AX131">
            <v>14546.205523433573</v>
          </cell>
          <cell r="AY131">
            <v>0</v>
          </cell>
          <cell r="AZ131" t="str">
            <v>Total curr.ass.</v>
          </cell>
          <cell r="BC131">
            <v>-51360.433000000005</v>
          </cell>
          <cell r="BE131">
            <v>67408.320000000007</v>
          </cell>
          <cell r="BG131">
            <v>-18618.462406415285</v>
          </cell>
          <cell r="BI131">
            <v>-2570.5754064152843</v>
          </cell>
          <cell r="BM131">
            <v>715.19949999999994</v>
          </cell>
          <cell r="BO131">
            <v>27064</v>
          </cell>
          <cell r="BQ131">
            <v>26676.721999999994</v>
          </cell>
          <cell r="BS131">
            <v>0</v>
          </cell>
          <cell r="BU131">
            <v>26676.721999999994</v>
          </cell>
          <cell r="BW131">
            <v>4676.5</v>
          </cell>
          <cell r="BX131">
            <v>4676.5</v>
          </cell>
          <cell r="BZ131">
            <v>2824.5779999999995</v>
          </cell>
          <cell r="CB131">
            <v>0</v>
          </cell>
          <cell r="CD131">
            <v>38854.300000000003</v>
          </cell>
          <cell r="CF131">
            <v>245.869</v>
          </cell>
          <cell r="CH131">
            <v>0</v>
          </cell>
          <cell r="CJ131">
            <v>245.869</v>
          </cell>
          <cell r="CL131">
            <v>10470</v>
          </cell>
          <cell r="CN131">
            <v>-108.59399999999999</v>
          </cell>
          <cell r="CP131">
            <v>10607.275</v>
          </cell>
          <cell r="CR131">
            <v>10266.806999999999</v>
          </cell>
          <cell r="CT131">
            <v>84937.391093584709</v>
          </cell>
          <cell r="CV131">
            <v>-23376.774000000001</v>
          </cell>
          <cell r="CX131">
            <v>61560.617093584719</v>
          </cell>
          <cell r="FC131">
            <v>-51359.752999999997</v>
          </cell>
          <cell r="FD131">
            <v>67407.64</v>
          </cell>
          <cell r="FE131">
            <v>-17479.320406415285</v>
          </cell>
          <cell r="FF131">
            <v>-1431.4334064152836</v>
          </cell>
          <cell r="FG131">
            <v>715.19949999999994</v>
          </cell>
          <cell r="FH131">
            <v>26862</v>
          </cell>
          <cell r="FI131">
            <v>26691.092999999997</v>
          </cell>
          <cell r="FJ131">
            <v>4542</v>
          </cell>
          <cell r="FK131">
            <v>4542</v>
          </cell>
          <cell r="FL131">
            <v>2609.569</v>
          </cell>
          <cell r="FM131">
            <v>0</v>
          </cell>
          <cell r="FN131">
            <v>38384.661999999997</v>
          </cell>
          <cell r="FO131">
            <v>245.869</v>
          </cell>
          <cell r="FP131">
            <v>10341</v>
          </cell>
          <cell r="FQ131">
            <v>0</v>
          </cell>
          <cell r="FR131">
            <v>10586.869000000001</v>
          </cell>
          <cell r="FS131">
            <v>10279.286000000002</v>
          </cell>
          <cell r="FT131">
            <v>85396.583093584719</v>
          </cell>
          <cell r="FU131">
            <v>-24473.342400000001</v>
          </cell>
          <cell r="FV131">
            <v>60923.240693584718</v>
          </cell>
          <cell r="FW131" t="str">
            <v>Total curr.ass.</v>
          </cell>
          <cell r="FX131">
            <v>38384.661999999997</v>
          </cell>
          <cell r="FY131">
            <v>10586.869000000001</v>
          </cell>
          <cell r="FZ131">
            <v>0</v>
          </cell>
          <cell r="GA131">
            <v>48971.531000000003</v>
          </cell>
          <cell r="GB131">
            <v>49628.214789116049</v>
          </cell>
          <cell r="GC131">
            <v>60923.240693584718</v>
          </cell>
          <cell r="GD131">
            <v>61740.190944617134</v>
          </cell>
          <cell r="GE131">
            <v>11951.709693584715</v>
          </cell>
          <cell r="GF131">
            <v>4.1882565591032588</v>
          </cell>
          <cell r="GG131">
            <v>52644.971954138004</v>
          </cell>
          <cell r="GH131">
            <v>0</v>
          </cell>
        </row>
        <row r="132">
          <cell r="FX132">
            <v>0</v>
          </cell>
          <cell r="FY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</row>
        <row r="133">
          <cell r="A133" t="str">
            <v>DEFERRED EXP.</v>
          </cell>
          <cell r="AT133">
            <v>0</v>
          </cell>
          <cell r="AX133">
            <v>0</v>
          </cell>
          <cell r="AY133">
            <v>0</v>
          </cell>
          <cell r="AZ133" t="str">
            <v>DEF0ED EXP.</v>
          </cell>
          <cell r="BX133">
            <v>0</v>
          </cell>
          <cell r="CD133">
            <v>0</v>
          </cell>
          <cell r="CT133">
            <v>0</v>
          </cell>
          <cell r="FG133">
            <v>0</v>
          </cell>
          <cell r="FW133" t="str">
            <v>DEFERRED EXP.</v>
          </cell>
          <cell r="FX133">
            <v>0</v>
          </cell>
          <cell r="FY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 t="e">
            <v>#DIV/0!</v>
          </cell>
          <cell r="GH133">
            <v>0</v>
          </cell>
          <cell r="HJ133" t="str">
            <v>{EDIT}{home}+"-"&amp;@string({end},0)&amp;" באור"~{d}</v>
          </cell>
        </row>
        <row r="134">
          <cell r="A134" t="str">
            <v>franchises</v>
          </cell>
          <cell r="C134">
            <v>36.124000000000002</v>
          </cell>
          <cell r="I134">
            <v>36.124000000000002</v>
          </cell>
          <cell r="Q134">
            <v>245.75</v>
          </cell>
          <cell r="U134">
            <v>245.75</v>
          </cell>
          <cell r="Z134">
            <v>320.80099999999999</v>
          </cell>
          <cell r="AD134">
            <v>566.55099999999993</v>
          </cell>
          <cell r="AJ134">
            <v>0</v>
          </cell>
          <cell r="AL134">
            <v>33</v>
          </cell>
          <cell r="AP134">
            <v>33</v>
          </cell>
          <cell r="AT134">
            <v>635.67499999999995</v>
          </cell>
          <cell r="AX134">
            <v>635.67499999999995</v>
          </cell>
          <cell r="AY134">
            <v>0</v>
          </cell>
          <cell r="AZ134" t="str">
            <v>franchises</v>
          </cell>
          <cell r="BA134" t="str">
            <v>-franchises</v>
          </cell>
          <cell r="BC134">
            <v>58.728999999999999</v>
          </cell>
          <cell r="BI134">
            <v>58.728999999999999</v>
          </cell>
          <cell r="BQ134">
            <v>460.12</v>
          </cell>
          <cell r="BU134">
            <v>460.12</v>
          </cell>
          <cell r="BX134">
            <v>0</v>
          </cell>
          <cell r="BZ134">
            <v>1000</v>
          </cell>
          <cell r="CD134">
            <v>1460.12</v>
          </cell>
          <cell r="CJ134">
            <v>0</v>
          </cell>
          <cell r="CL134">
            <v>78</v>
          </cell>
          <cell r="CP134">
            <v>78</v>
          </cell>
          <cell r="CT134">
            <v>1596.8489999999999</v>
          </cell>
          <cell r="CX134">
            <v>1596.8489999999999</v>
          </cell>
          <cell r="FC134">
            <v>157.72999999999999</v>
          </cell>
          <cell r="FF134">
            <v>157.72999999999999</v>
          </cell>
          <cell r="FI134">
            <v>1296.7190000000001</v>
          </cell>
          <cell r="FL134">
            <v>1227</v>
          </cell>
          <cell r="FN134">
            <v>2523.7190000000001</v>
          </cell>
          <cell r="FO134">
            <v>0</v>
          </cell>
          <cell r="FP134">
            <v>178.13977792292621</v>
          </cell>
          <cell r="FR134">
            <v>178.13977792292621</v>
          </cell>
          <cell r="FS134">
            <v>0</v>
          </cell>
          <cell r="FT134">
            <v>2859.5887779229261</v>
          </cell>
          <cell r="FV134">
            <v>2859.5887779229261</v>
          </cell>
          <cell r="FW134" t="str">
            <v>franchises</v>
          </cell>
          <cell r="FX134">
            <v>2523.7190000000001</v>
          </cell>
          <cell r="FY134">
            <v>178.13977792292621</v>
          </cell>
          <cell r="GA134">
            <v>2701.8587779229265</v>
          </cell>
          <cell r="GB134">
            <v>2738.0893556425181</v>
          </cell>
          <cell r="GC134">
            <v>2859.5887779229261</v>
          </cell>
          <cell r="GD134">
            <v>2897.934436219788</v>
          </cell>
          <cell r="GE134">
            <v>157.72999999999999</v>
          </cell>
          <cell r="GF134">
            <v>4.4985075359624433</v>
          </cell>
          <cell r="GG134">
            <v>2861.3104408883087</v>
          </cell>
          <cell r="GH134">
            <v>0</v>
          </cell>
        </row>
        <row r="135">
          <cell r="A135" t="str">
            <v>Goodwill-(GC. &amp; G.Lines)</v>
          </cell>
          <cell r="C135">
            <v>290.52199999999999</v>
          </cell>
          <cell r="I135">
            <v>290.52199999999999</v>
          </cell>
          <cell r="U135">
            <v>0</v>
          </cell>
          <cell r="AD135">
            <v>0</v>
          </cell>
          <cell r="AJ135">
            <v>0</v>
          </cell>
          <cell r="AP135">
            <v>0</v>
          </cell>
          <cell r="AT135">
            <v>290.52199999999999</v>
          </cell>
          <cell r="AV135">
            <v>82510.197</v>
          </cell>
          <cell r="AX135">
            <v>82800.718999999997</v>
          </cell>
          <cell r="AY135">
            <v>0</v>
          </cell>
          <cell r="AZ135" t="str">
            <v>Goodwill-(GC. &amp; G.Lines)</v>
          </cell>
          <cell r="BC135">
            <v>621.57799999999997</v>
          </cell>
          <cell r="BG135">
            <v>0</v>
          </cell>
          <cell r="BI135">
            <v>621.57799999999997</v>
          </cell>
          <cell r="BU135">
            <v>0</v>
          </cell>
          <cell r="BX135">
            <v>0</v>
          </cell>
          <cell r="CD135">
            <v>0</v>
          </cell>
          <cell r="CJ135">
            <v>0</v>
          </cell>
          <cell r="CP135">
            <v>0</v>
          </cell>
          <cell r="CT135">
            <v>621.57799999999997</v>
          </cell>
          <cell r="CV135">
            <v>356411.43</v>
          </cell>
          <cell r="CX135">
            <v>357033.00800000003</v>
          </cell>
          <cell r="FC135">
            <v>1651.78</v>
          </cell>
          <cell r="FF135">
            <v>1651.78</v>
          </cell>
          <cell r="FN135">
            <v>0</v>
          </cell>
          <cell r="FO135">
            <v>0</v>
          </cell>
          <cell r="FR135">
            <v>0</v>
          </cell>
          <cell r="FS135">
            <v>0</v>
          </cell>
          <cell r="FT135">
            <v>1651.78</v>
          </cell>
          <cell r="FU135">
            <v>333205.70900000003</v>
          </cell>
          <cell r="FV135">
            <v>334857.48900000006</v>
          </cell>
          <cell r="FW135" t="str">
            <v>Goodwill-(GC. &amp; G.Lines)</v>
          </cell>
          <cell r="FX135">
            <v>0</v>
          </cell>
          <cell r="FY135">
            <v>0</v>
          </cell>
          <cell r="FZ135">
            <v>328977.70900000003</v>
          </cell>
          <cell r="GA135">
            <v>328977.70900000003</v>
          </cell>
          <cell r="GB135">
            <v>333389.13588556828</v>
          </cell>
          <cell r="GC135">
            <v>334857.48900000006</v>
          </cell>
          <cell r="GD135">
            <v>339347.76080078178</v>
          </cell>
          <cell r="GE135">
            <v>5879.7800000000279</v>
          </cell>
          <cell r="GF135">
            <v>4.0441374548933577</v>
          </cell>
          <cell r="GG135">
            <v>1651.0516002612674</v>
          </cell>
          <cell r="GH135">
            <v>0</v>
          </cell>
        </row>
        <row r="136">
          <cell r="A136" t="str">
            <v>leashold impr.</v>
          </cell>
          <cell r="I136" t="str">
            <v xml:space="preserve"> </v>
          </cell>
          <cell r="O136">
            <v>154.5</v>
          </cell>
          <cell r="Q136">
            <v>3124.7869999999998</v>
          </cell>
          <cell r="U136">
            <v>3124.7869999999998</v>
          </cell>
          <cell r="W136">
            <v>91.5</v>
          </cell>
          <cell r="X136">
            <v>91.5</v>
          </cell>
          <cell r="AD136">
            <v>3307.7869999999998</v>
          </cell>
          <cell r="AJ136">
            <v>0</v>
          </cell>
          <cell r="AL136">
            <v>70</v>
          </cell>
          <cell r="AP136">
            <v>70</v>
          </cell>
          <cell r="AT136">
            <v>3532.2869999999998</v>
          </cell>
          <cell r="AX136">
            <v>3532.2869999999998</v>
          </cell>
          <cell r="AY136">
            <v>0</v>
          </cell>
          <cell r="AZ136" t="str">
            <v>leashold impr.</v>
          </cell>
          <cell r="BI136">
            <v>0</v>
          </cell>
          <cell r="BO136">
            <v>654</v>
          </cell>
          <cell r="BQ136">
            <v>10061.714</v>
          </cell>
          <cell r="BU136">
            <v>10061.714</v>
          </cell>
          <cell r="BX136">
            <v>0</v>
          </cell>
          <cell r="CD136">
            <v>10061.714</v>
          </cell>
          <cell r="CJ136">
            <v>0</v>
          </cell>
          <cell r="CL136">
            <v>213</v>
          </cell>
          <cell r="CP136">
            <v>213</v>
          </cell>
          <cell r="CT136">
            <v>10928.714</v>
          </cell>
          <cell r="CX136">
            <v>10928.714</v>
          </cell>
          <cell r="FH136">
            <v>625.5</v>
          </cell>
          <cell r="FI136">
            <v>13280.342000000001</v>
          </cell>
          <cell r="FJ136">
            <v>417</v>
          </cell>
          <cell r="FK136">
            <v>417</v>
          </cell>
          <cell r="FN136">
            <v>14114.342000000001</v>
          </cell>
          <cell r="FO136">
            <v>0</v>
          </cell>
          <cell r="FR136">
            <v>0</v>
          </cell>
          <cell r="FS136">
            <v>0</v>
          </cell>
          <cell r="FT136">
            <v>14739.842000000001</v>
          </cell>
          <cell r="FV136">
            <v>14739.842000000001</v>
          </cell>
          <cell r="FW136" t="str">
            <v>leashold impr.</v>
          </cell>
          <cell r="FX136">
            <v>14114.342000000001</v>
          </cell>
          <cell r="FY136">
            <v>0</v>
          </cell>
          <cell r="GA136">
            <v>14114.342000000001</v>
          </cell>
          <cell r="GB136">
            <v>14303.608281779916</v>
          </cell>
          <cell r="GC136">
            <v>14739.842000000001</v>
          </cell>
          <cell r="GD136">
            <v>14937.495924594108</v>
          </cell>
          <cell r="GE136">
            <v>625.5</v>
          </cell>
          <cell r="GF136">
            <v>4.1728891225429878</v>
          </cell>
          <cell r="GG136">
            <v>7570.1400189418691</v>
          </cell>
          <cell r="GH136">
            <v>0</v>
          </cell>
        </row>
        <row r="137">
          <cell r="A137" t="str">
            <v>fraction:l.o.+s.p.</v>
          </cell>
          <cell r="I137">
            <v>0</v>
          </cell>
          <cell r="Q137">
            <v>588</v>
          </cell>
          <cell r="U137">
            <v>588</v>
          </cell>
          <cell r="AD137">
            <v>588</v>
          </cell>
          <cell r="AJ137">
            <v>0</v>
          </cell>
          <cell r="AP137">
            <v>0</v>
          </cell>
          <cell r="AT137">
            <v>588</v>
          </cell>
          <cell r="AX137">
            <v>588</v>
          </cell>
          <cell r="AY137">
            <v>0</v>
          </cell>
          <cell r="AZ137" t="str">
            <v>fraction:l.o.+s.p.</v>
          </cell>
          <cell r="BI137">
            <v>0</v>
          </cell>
          <cell r="BQ137">
            <v>1430.056</v>
          </cell>
          <cell r="BU137">
            <v>1430.056</v>
          </cell>
          <cell r="BX137">
            <v>0</v>
          </cell>
          <cell r="CD137">
            <v>1430.056</v>
          </cell>
          <cell r="CJ137">
            <v>0</v>
          </cell>
          <cell r="CP137">
            <v>0</v>
          </cell>
          <cell r="CT137">
            <v>1430.056</v>
          </cell>
          <cell r="CX137">
            <v>1430.056</v>
          </cell>
          <cell r="FI137">
            <v>3220.1909999999998</v>
          </cell>
          <cell r="FN137">
            <v>3220.1909999999998</v>
          </cell>
          <cell r="FO137">
            <v>0</v>
          </cell>
          <cell r="FP137">
            <v>1094.9595035924233</v>
          </cell>
          <cell r="FR137">
            <v>1094.9595035924233</v>
          </cell>
          <cell r="FS137">
            <v>0</v>
          </cell>
          <cell r="FT137">
            <v>4315.1505035924229</v>
          </cell>
          <cell r="FV137">
            <v>4315.1505035924229</v>
          </cell>
          <cell r="FW137" t="str">
            <v>fraction:l.o.+s.p.</v>
          </cell>
          <cell r="FX137">
            <v>3220.1909999999998</v>
          </cell>
          <cell r="FY137">
            <v>1094.9595035924233</v>
          </cell>
          <cell r="GA137">
            <v>4315.1505035924229</v>
          </cell>
          <cell r="GB137">
            <v>4373.014518162543</v>
          </cell>
          <cell r="GC137">
            <v>4315.1505035924229</v>
          </cell>
          <cell r="GD137">
            <v>4373.014518162543</v>
          </cell>
          <cell r="GE137">
            <v>0</v>
          </cell>
          <cell r="GF137">
            <v>7.3386913326401748</v>
          </cell>
          <cell r="GG137">
            <v>3220.1936616590469</v>
          </cell>
          <cell r="GH137">
            <v>0</v>
          </cell>
        </row>
        <row r="138">
          <cell r="A138" t="str">
            <v>Bezek</v>
          </cell>
          <cell r="I138">
            <v>0</v>
          </cell>
          <cell r="Q138">
            <v>3624.7669999999998</v>
          </cell>
          <cell r="U138">
            <v>3624.7669999999998</v>
          </cell>
          <cell r="AD138">
            <v>3624.7669999999998</v>
          </cell>
          <cell r="AJ138">
            <v>0</v>
          </cell>
          <cell r="AP138">
            <v>0</v>
          </cell>
          <cell r="AT138">
            <v>3624.7669999999998</v>
          </cell>
          <cell r="AX138">
            <v>3624.7669999999998</v>
          </cell>
          <cell r="AY138">
            <v>0</v>
          </cell>
          <cell r="AZ138" t="str">
            <v>Bezek</v>
          </cell>
          <cell r="BI138">
            <v>0</v>
          </cell>
          <cell r="BQ138">
            <v>12122.939</v>
          </cell>
          <cell r="BU138">
            <v>12122.939</v>
          </cell>
          <cell r="BX138">
            <v>0</v>
          </cell>
          <cell r="CD138">
            <v>12122.939</v>
          </cell>
          <cell r="CJ138">
            <v>0</v>
          </cell>
          <cell r="CP138">
            <v>0</v>
          </cell>
          <cell r="CT138">
            <v>12122.939</v>
          </cell>
          <cell r="CX138">
            <v>12122.939</v>
          </cell>
          <cell r="FI138">
            <v>14130.727999999999</v>
          </cell>
          <cell r="FN138">
            <v>14130.727999999999</v>
          </cell>
          <cell r="FO138">
            <v>0</v>
          </cell>
          <cell r="FR138">
            <v>0</v>
          </cell>
          <cell r="FS138">
            <v>0</v>
          </cell>
          <cell r="FT138">
            <v>14130.727999999999</v>
          </cell>
          <cell r="FV138">
            <v>14130.727999999999</v>
          </cell>
          <cell r="FW138" t="str">
            <v>Bezek</v>
          </cell>
          <cell r="FX138">
            <v>14130.727999999999</v>
          </cell>
          <cell r="FY138">
            <v>0</v>
          </cell>
          <cell r="GA138">
            <v>14130.727999999999</v>
          </cell>
          <cell r="GB138">
            <v>14320.214009861695</v>
          </cell>
          <cell r="GC138">
            <v>14130.727999999999</v>
          </cell>
          <cell r="GD138">
            <v>14320.214009861695</v>
          </cell>
          <cell r="GE138">
            <v>0</v>
          </cell>
          <cell r="GF138">
            <v>3.8983824339605828</v>
          </cell>
          <cell r="GG138">
            <v>11455.795459177009</v>
          </cell>
          <cell r="GH138">
            <v>0</v>
          </cell>
        </row>
        <row r="139">
          <cell r="A139" t="str">
            <v>software/other</v>
          </cell>
          <cell r="I139">
            <v>0</v>
          </cell>
          <cell r="Q139">
            <v>2032.921</v>
          </cell>
          <cell r="U139">
            <v>2032.921</v>
          </cell>
          <cell r="W139">
            <v>623</v>
          </cell>
          <cell r="X139">
            <v>623</v>
          </cell>
          <cell r="AD139">
            <v>3278.9210000000003</v>
          </cell>
          <cell r="AJ139">
            <v>0</v>
          </cell>
          <cell r="AL139">
            <v>181</v>
          </cell>
          <cell r="AN139">
            <v>0</v>
          </cell>
          <cell r="AP139">
            <v>181</v>
          </cell>
          <cell r="AR139">
            <v>0</v>
          </cell>
          <cell r="AT139">
            <v>3459.9210000000003</v>
          </cell>
          <cell r="AX139">
            <v>3459.9210000000003</v>
          </cell>
          <cell r="AY139">
            <v>0</v>
          </cell>
          <cell r="AZ139" t="str">
            <v>software/other</v>
          </cell>
          <cell r="BC139">
            <v>0</v>
          </cell>
          <cell r="BE139">
            <v>0</v>
          </cell>
          <cell r="BG139">
            <v>0</v>
          </cell>
          <cell r="BI139">
            <v>0</v>
          </cell>
          <cell r="BQ139">
            <v>6112.6610000000001</v>
          </cell>
          <cell r="BU139">
            <v>6112.6610000000001</v>
          </cell>
          <cell r="BW139">
            <v>2385.5</v>
          </cell>
          <cell r="BX139">
            <v>2385.5</v>
          </cell>
          <cell r="CD139">
            <v>10883.661</v>
          </cell>
          <cell r="CH139">
            <v>0</v>
          </cell>
          <cell r="CJ139">
            <v>0</v>
          </cell>
          <cell r="CL139">
            <v>424</v>
          </cell>
          <cell r="CN139">
            <v>0</v>
          </cell>
          <cell r="CP139">
            <v>424</v>
          </cell>
          <cell r="CR139">
            <v>0</v>
          </cell>
          <cell r="CT139">
            <v>11307.661</v>
          </cell>
          <cell r="CV139">
            <v>0</v>
          </cell>
          <cell r="CX139">
            <v>11307.661</v>
          </cell>
          <cell r="FI139">
            <v>8419.5370000000003</v>
          </cell>
          <cell r="FJ139">
            <v>2927.5</v>
          </cell>
          <cell r="FK139">
            <v>2927.5</v>
          </cell>
          <cell r="FN139">
            <v>14274.537</v>
          </cell>
          <cell r="FO139">
            <v>0</v>
          </cell>
          <cell r="FQ139">
            <v>0</v>
          </cell>
          <cell r="FR139">
            <v>0</v>
          </cell>
          <cell r="FS139">
            <v>0</v>
          </cell>
          <cell r="FT139">
            <v>14274.537</v>
          </cell>
          <cell r="FU139">
            <v>0</v>
          </cell>
          <cell r="FV139">
            <v>14274.537</v>
          </cell>
          <cell r="FW139" t="str">
            <v>software/other</v>
          </cell>
          <cell r="FX139">
            <v>14274.537</v>
          </cell>
          <cell r="FY139">
            <v>0</v>
          </cell>
          <cell r="GA139">
            <v>14274.537</v>
          </cell>
          <cell r="GB139">
            <v>14465.95141677691</v>
          </cell>
          <cell r="GC139">
            <v>14274.537</v>
          </cell>
          <cell r="GD139">
            <v>14465.95141677691</v>
          </cell>
          <cell r="GE139">
            <v>0</v>
          </cell>
          <cell r="GF139">
            <v>4.125682927442563</v>
          </cell>
          <cell r="GG139">
            <v>8800.8968824297863</v>
          </cell>
          <cell r="GH139">
            <v>0</v>
          </cell>
        </row>
        <row r="140">
          <cell r="A140" t="str">
            <v>total cost</v>
          </cell>
          <cell r="C140">
            <v>326.64600000000002</v>
          </cell>
          <cell r="E140">
            <v>0</v>
          </cell>
          <cell r="G140">
            <v>0</v>
          </cell>
          <cell r="I140">
            <v>326.64600000000002</v>
          </cell>
          <cell r="O140">
            <v>154.5</v>
          </cell>
          <cell r="Q140">
            <v>9616.2250000000004</v>
          </cell>
          <cell r="S140">
            <v>0</v>
          </cell>
          <cell r="U140">
            <v>9616.2250000000004</v>
          </cell>
          <cell r="W140">
            <v>714.5</v>
          </cell>
          <cell r="X140">
            <v>714.5</v>
          </cell>
          <cell r="Z140">
            <v>320.80099999999999</v>
          </cell>
          <cell r="AB140">
            <v>0</v>
          </cell>
          <cell r="AD140">
            <v>11366.026</v>
          </cell>
          <cell r="AF140">
            <v>0</v>
          </cell>
          <cell r="AH140">
            <v>0</v>
          </cell>
          <cell r="AJ140">
            <v>0</v>
          </cell>
          <cell r="AL140">
            <v>284</v>
          </cell>
          <cell r="AN140">
            <v>0</v>
          </cell>
          <cell r="AP140">
            <v>284</v>
          </cell>
          <cell r="AR140">
            <v>0</v>
          </cell>
          <cell r="AT140">
            <v>12131.172</v>
          </cell>
          <cell r="AV140">
            <v>82510.197</v>
          </cell>
          <cell r="AX140">
            <v>94641.369000000006</v>
          </cell>
          <cell r="AY140">
            <v>0</v>
          </cell>
          <cell r="AZ140" t="str">
            <v>total cost</v>
          </cell>
          <cell r="BC140">
            <v>680.30700000000002</v>
          </cell>
          <cell r="BE140">
            <v>0</v>
          </cell>
          <cell r="BG140">
            <v>0</v>
          </cell>
          <cell r="BI140">
            <v>680.30700000000002</v>
          </cell>
          <cell r="BO140">
            <v>654</v>
          </cell>
          <cell r="BQ140">
            <v>30187.49</v>
          </cell>
          <cell r="BS140">
            <v>0</v>
          </cell>
          <cell r="BU140">
            <v>30187.49</v>
          </cell>
          <cell r="BW140">
            <v>2385.5</v>
          </cell>
          <cell r="BX140">
            <v>2385.5</v>
          </cell>
          <cell r="BZ140">
            <v>1000</v>
          </cell>
          <cell r="CB140">
            <v>0</v>
          </cell>
          <cell r="CD140">
            <v>35958.49</v>
          </cell>
          <cell r="CF140">
            <v>0</v>
          </cell>
          <cell r="CH140">
            <v>0</v>
          </cell>
          <cell r="CJ140">
            <v>0</v>
          </cell>
          <cell r="CL140">
            <v>715</v>
          </cell>
          <cell r="CN140">
            <v>0</v>
          </cell>
          <cell r="CP140">
            <v>715</v>
          </cell>
          <cell r="CR140">
            <v>0</v>
          </cell>
          <cell r="CT140">
            <v>38007.796999999999</v>
          </cell>
          <cell r="CV140">
            <v>356411.43</v>
          </cell>
          <cell r="CX140">
            <v>394419.22700000001</v>
          </cell>
          <cell r="FC140">
            <v>1809.51</v>
          </cell>
          <cell r="FD140">
            <v>0</v>
          </cell>
          <cell r="FE140">
            <v>0</v>
          </cell>
          <cell r="FF140">
            <v>1809.51</v>
          </cell>
          <cell r="FG140">
            <v>0</v>
          </cell>
          <cell r="FH140">
            <v>625.5</v>
          </cell>
          <cell r="FI140">
            <v>40347.517</v>
          </cell>
          <cell r="FJ140">
            <v>3344.5</v>
          </cell>
          <cell r="FK140">
            <v>3344.5</v>
          </cell>
          <cell r="FL140">
            <v>1227</v>
          </cell>
          <cell r="FM140">
            <v>0</v>
          </cell>
          <cell r="FN140">
            <v>48263.516999999993</v>
          </cell>
          <cell r="FO140">
            <v>0</v>
          </cell>
          <cell r="FP140">
            <v>1273.0992815153495</v>
          </cell>
          <cell r="FQ140">
            <v>0</v>
          </cell>
          <cell r="FR140">
            <v>1273.0992815153495</v>
          </cell>
          <cell r="FS140">
            <v>0</v>
          </cell>
          <cell r="FT140">
            <v>51971.626281515346</v>
          </cell>
          <cell r="FU140">
            <v>333205.70900000003</v>
          </cell>
          <cell r="FV140">
            <v>385177.33528151544</v>
          </cell>
          <cell r="FW140" t="str">
            <v>total cost</v>
          </cell>
          <cell r="FX140">
            <v>48263.516999999993</v>
          </cell>
          <cell r="FY140">
            <v>1273.0992815153495</v>
          </cell>
          <cell r="FZ140">
            <v>328977.70900000003</v>
          </cell>
          <cell r="GA140">
            <v>378514.32528151543</v>
          </cell>
          <cell r="GB140">
            <v>383590.01346779184</v>
          </cell>
          <cell r="GC140">
            <v>385177.33528151544</v>
          </cell>
          <cell r="GD140">
            <v>390342.37110639684</v>
          </cell>
          <cell r="GE140">
            <v>6663.0100000000275</v>
          </cell>
          <cell r="GF140">
            <v>4.069862253170867</v>
          </cell>
          <cell r="GG140">
            <v>35559.388063357284</v>
          </cell>
          <cell r="GH140">
            <v>0</v>
          </cell>
        </row>
        <row r="141">
          <cell r="FX141">
            <v>0</v>
          </cell>
          <cell r="FY141">
            <v>0</v>
          </cell>
          <cell r="GA141">
            <v>0</v>
          </cell>
          <cell r="GB141">
            <v>0</v>
          </cell>
          <cell r="GC141">
            <v>0</v>
          </cell>
          <cell r="GD141">
            <v>0</v>
          </cell>
          <cell r="GE141">
            <v>0</v>
          </cell>
        </row>
        <row r="142">
          <cell r="A142" t="str">
            <v>amort.O.B.</v>
          </cell>
          <cell r="I142">
            <v>0</v>
          </cell>
          <cell r="Q142" t="str">
            <v xml:space="preserve"> </v>
          </cell>
          <cell r="U142">
            <v>0</v>
          </cell>
          <cell r="AD142">
            <v>0</v>
          </cell>
          <cell r="AJ142">
            <v>0</v>
          </cell>
          <cell r="AP142">
            <v>0</v>
          </cell>
          <cell r="AT142">
            <v>0</v>
          </cell>
          <cell r="AX142">
            <v>0</v>
          </cell>
          <cell r="AY142">
            <v>0</v>
          </cell>
          <cell r="AZ142" t="str">
            <v>amort.O.B.</v>
          </cell>
          <cell r="BE142">
            <v>0</v>
          </cell>
          <cell r="BI142">
            <v>0</v>
          </cell>
          <cell r="BU142">
            <v>0</v>
          </cell>
          <cell r="BX142">
            <v>0</v>
          </cell>
          <cell r="CD142">
            <v>0</v>
          </cell>
          <cell r="CJ142">
            <v>0</v>
          </cell>
          <cell r="CP142">
            <v>0</v>
          </cell>
          <cell r="CT142">
            <v>0</v>
          </cell>
          <cell r="CX142">
            <v>0</v>
          </cell>
          <cell r="FN142">
            <v>0</v>
          </cell>
          <cell r="FO142">
            <v>0</v>
          </cell>
          <cell r="FR142">
            <v>0</v>
          </cell>
          <cell r="FS142">
            <v>0</v>
          </cell>
          <cell r="FT142">
            <v>0</v>
          </cell>
          <cell r="FV142">
            <v>0</v>
          </cell>
          <cell r="FW142" t="str">
            <v>amort.O.B.</v>
          </cell>
          <cell r="FX142">
            <v>0</v>
          </cell>
          <cell r="FY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 t="e">
            <v>#DIV/0!</v>
          </cell>
          <cell r="GG142">
            <v>-4.8237776354059714E-16</v>
          </cell>
          <cell r="GH142">
            <v>0</v>
          </cell>
        </row>
        <row r="143">
          <cell r="A143" t="str">
            <v>amortiz.(GOODWIL)</v>
          </cell>
          <cell r="C143">
            <v>-261.46820000000002</v>
          </cell>
          <cell r="G143">
            <v>0</v>
          </cell>
          <cell r="I143">
            <v>-261.46820000000002</v>
          </cell>
          <cell r="AD143">
            <v>0</v>
          </cell>
          <cell r="AP143">
            <v>0</v>
          </cell>
          <cell r="AT143">
            <v>-261.46820000000002</v>
          </cell>
          <cell r="AX143">
            <v>-261.46820000000002</v>
          </cell>
          <cell r="AY143">
            <v>0</v>
          </cell>
          <cell r="AZ143" t="str">
            <v>amortiz.(GOODWIL)</v>
          </cell>
          <cell r="BC143">
            <v>-559.42160000000001</v>
          </cell>
          <cell r="BG143">
            <v>0</v>
          </cell>
          <cell r="BI143">
            <v>-559.42160000000001</v>
          </cell>
          <cell r="BU143">
            <v>0</v>
          </cell>
          <cell r="BX143">
            <v>0</v>
          </cell>
          <cell r="CD143">
            <v>0</v>
          </cell>
          <cell r="CP143">
            <v>0</v>
          </cell>
          <cell r="CT143">
            <v>-559.42160000000001</v>
          </cell>
          <cell r="CX143">
            <v>-559.42160000000001</v>
          </cell>
          <cell r="FC143">
            <v>-1486.607</v>
          </cell>
          <cell r="FE143">
            <v>0</v>
          </cell>
          <cell r="FF143">
            <v>-1486.607</v>
          </cell>
          <cell r="FG143">
            <v>0</v>
          </cell>
          <cell r="FN143">
            <v>0</v>
          </cell>
          <cell r="FR143">
            <v>0</v>
          </cell>
          <cell r="FS143">
            <v>0</v>
          </cell>
          <cell r="FT143">
            <v>-1486.607</v>
          </cell>
          <cell r="FV143">
            <v>-1486.607</v>
          </cell>
          <cell r="FW143" t="str">
            <v>amortiz.(GOODWIL)</v>
          </cell>
          <cell r="FX143">
            <v>0</v>
          </cell>
          <cell r="FY143">
            <v>0</v>
          </cell>
          <cell r="GA143">
            <v>0</v>
          </cell>
          <cell r="GB143">
            <v>0</v>
          </cell>
          <cell r="GC143">
            <v>-1486.607</v>
          </cell>
          <cell r="GD143">
            <v>-1506.5416579073963</v>
          </cell>
          <cell r="GE143">
            <v>-1486.607</v>
          </cell>
          <cell r="GF143">
            <v>5.685613011448428</v>
          </cell>
          <cell r="GG143">
            <v>-1321.9274983670805</v>
          </cell>
          <cell r="GH143">
            <v>0</v>
          </cell>
        </row>
        <row r="144">
          <cell r="A144" t="str">
            <v>amortiz.</v>
          </cell>
          <cell r="C144">
            <v>-28.111999999999995</v>
          </cell>
          <cell r="E144">
            <v>0</v>
          </cell>
          <cell r="G144">
            <v>0</v>
          </cell>
          <cell r="I144">
            <v>-28.111999999999995</v>
          </cell>
          <cell r="Q144">
            <v>-3767.7370000000001</v>
          </cell>
          <cell r="U144">
            <v>-3767.7370000000001</v>
          </cell>
          <cell r="W144">
            <v>-554</v>
          </cell>
          <cell r="X144">
            <v>-554</v>
          </cell>
          <cell r="Z144">
            <v>-139</v>
          </cell>
          <cell r="AD144">
            <v>-5014.7370000000001</v>
          </cell>
          <cell r="AH144">
            <v>0</v>
          </cell>
          <cell r="AJ144">
            <v>0</v>
          </cell>
          <cell r="AL144">
            <v>-159</v>
          </cell>
          <cell r="AN144">
            <v>0</v>
          </cell>
          <cell r="AP144">
            <v>-159</v>
          </cell>
          <cell r="AR144">
            <v>0</v>
          </cell>
          <cell r="AT144">
            <v>-5201.8490000000002</v>
          </cell>
          <cell r="AV144">
            <v>0</v>
          </cell>
          <cell r="AX144">
            <v>-5201.8490000000002</v>
          </cell>
          <cell r="AY144">
            <v>0</v>
          </cell>
          <cell r="AZ144" t="str">
            <v>amortiz.</v>
          </cell>
          <cell r="BC144">
            <v>-45.679000000000002</v>
          </cell>
          <cell r="BE144">
            <v>0</v>
          </cell>
          <cell r="BG144">
            <v>0</v>
          </cell>
          <cell r="BI144">
            <v>-45.679000000000002</v>
          </cell>
          <cell r="BO144">
            <v>-50</v>
          </cell>
          <cell r="BQ144">
            <v>-10182.071</v>
          </cell>
          <cell r="BU144">
            <v>-10182.071</v>
          </cell>
          <cell r="BW144">
            <v>-2052.5</v>
          </cell>
          <cell r="BX144">
            <v>-2052.5</v>
          </cell>
          <cell r="BZ144">
            <v>-432</v>
          </cell>
          <cell r="CD144">
            <v>-14719.071</v>
          </cell>
          <cell r="CH144">
            <v>0</v>
          </cell>
          <cell r="CJ144">
            <v>0</v>
          </cell>
          <cell r="CL144">
            <v>-390</v>
          </cell>
          <cell r="CN144">
            <v>0</v>
          </cell>
          <cell r="CP144">
            <v>-390</v>
          </cell>
          <cell r="CR144">
            <v>0</v>
          </cell>
          <cell r="CT144">
            <v>-15204.75</v>
          </cell>
          <cell r="CV144">
            <v>0</v>
          </cell>
          <cell r="CX144">
            <v>-15204.75</v>
          </cell>
          <cell r="FC144">
            <v>-125.31</v>
          </cell>
          <cell r="FE144">
            <v>0</v>
          </cell>
          <cell r="FF144">
            <v>-125.31</v>
          </cell>
          <cell r="FI144">
            <v>-17038.097000000002</v>
          </cell>
          <cell r="FJ144">
            <v>-2608.5</v>
          </cell>
          <cell r="FK144">
            <v>-2608.5</v>
          </cell>
          <cell r="FL144">
            <v>-531</v>
          </cell>
          <cell r="FN144">
            <v>-22786.097000000002</v>
          </cell>
          <cell r="FO144">
            <v>0</v>
          </cell>
          <cell r="FP144">
            <v>-720.74787720444169</v>
          </cell>
          <cell r="FQ144">
            <v>0</v>
          </cell>
          <cell r="FR144">
            <v>-720.74787720444169</v>
          </cell>
          <cell r="FS144">
            <v>0</v>
          </cell>
          <cell r="FT144">
            <v>-23632.154877204444</v>
          </cell>
          <cell r="FU144">
            <v>0</v>
          </cell>
          <cell r="FV144">
            <v>-23632.154877204444</v>
          </cell>
          <cell r="FW144" t="str">
            <v>amortiz.</v>
          </cell>
          <cell r="FX144">
            <v>-22786.097000000002</v>
          </cell>
          <cell r="FY144">
            <v>-720.74787720444169</v>
          </cell>
          <cell r="GA144">
            <v>-23506.844877204443</v>
          </cell>
          <cell r="GB144">
            <v>-23822.059934788122</v>
          </cell>
          <cell r="GC144">
            <v>-23632.154877204444</v>
          </cell>
          <cell r="GD144">
            <v>-23949.050279346149</v>
          </cell>
          <cell r="GE144">
            <v>-125.31000000000131</v>
          </cell>
          <cell r="GF144">
            <v>4.5430297721453359</v>
          </cell>
          <cell r="GG144">
            <v>-14825.817708687135</v>
          </cell>
          <cell r="GH144">
            <v>0</v>
          </cell>
          <cell r="HJ144" t="str">
            <v>{edit}{home}@round({end},0)~{d 1}</v>
          </cell>
        </row>
        <row r="145">
          <cell r="A145" t="str">
            <v>total</v>
          </cell>
          <cell r="C145">
            <v>37.065799999999996</v>
          </cell>
          <cell r="E145">
            <v>0</v>
          </cell>
          <cell r="G145">
            <v>0</v>
          </cell>
          <cell r="I145">
            <v>37.065799999999996</v>
          </cell>
          <cell r="O145">
            <v>154.5</v>
          </cell>
          <cell r="Q145">
            <v>5848.4880000000003</v>
          </cell>
          <cell r="S145">
            <v>0</v>
          </cell>
          <cell r="U145">
            <v>5848.4880000000003</v>
          </cell>
          <cell r="W145">
            <v>160.5</v>
          </cell>
          <cell r="X145">
            <v>160.5</v>
          </cell>
          <cell r="Z145">
            <v>181.80099999999999</v>
          </cell>
          <cell r="AB145">
            <v>0</v>
          </cell>
          <cell r="AD145">
            <v>6351.2889999999998</v>
          </cell>
          <cell r="AF145">
            <v>0</v>
          </cell>
          <cell r="AH145">
            <v>0</v>
          </cell>
          <cell r="AJ145">
            <v>0</v>
          </cell>
          <cell r="AL145">
            <v>125</v>
          </cell>
          <cell r="AN145">
            <v>0</v>
          </cell>
          <cell r="AP145">
            <v>125</v>
          </cell>
          <cell r="AR145">
            <v>0</v>
          </cell>
          <cell r="AT145">
            <v>6667.854800000001</v>
          </cell>
          <cell r="AV145">
            <v>82510.197</v>
          </cell>
          <cell r="AX145">
            <v>89178.051800000001</v>
          </cell>
          <cell r="AY145">
            <v>0</v>
          </cell>
          <cell r="AZ145" t="str">
            <v>total</v>
          </cell>
          <cell r="BA145">
            <v>0</v>
          </cell>
          <cell r="BC145">
            <v>75.206400000000002</v>
          </cell>
          <cell r="BE145">
            <v>0</v>
          </cell>
          <cell r="BG145">
            <v>0</v>
          </cell>
          <cell r="BI145">
            <v>75.206400000000002</v>
          </cell>
          <cell r="BO145">
            <v>604</v>
          </cell>
          <cell r="BQ145">
            <v>20005.419000000002</v>
          </cell>
          <cell r="BS145">
            <v>0</v>
          </cell>
          <cell r="BU145">
            <v>20005.419000000002</v>
          </cell>
          <cell r="BW145">
            <v>333</v>
          </cell>
          <cell r="BX145">
            <v>333</v>
          </cell>
          <cell r="BZ145">
            <v>568</v>
          </cell>
          <cell r="CB145">
            <v>0</v>
          </cell>
          <cell r="CD145">
            <v>21239.419000000002</v>
          </cell>
          <cell r="CF145">
            <v>0</v>
          </cell>
          <cell r="CH145">
            <v>0</v>
          </cell>
          <cell r="CJ145">
            <v>0</v>
          </cell>
          <cell r="CL145">
            <v>325</v>
          </cell>
          <cell r="CN145">
            <v>0</v>
          </cell>
          <cell r="CP145">
            <v>325</v>
          </cell>
          <cell r="CR145">
            <v>0</v>
          </cell>
          <cell r="CT145">
            <v>22243.625399999997</v>
          </cell>
          <cell r="CV145">
            <v>356411.43</v>
          </cell>
          <cell r="CX145">
            <v>378655.05540000001</v>
          </cell>
          <cell r="FC145">
            <v>197.59300000000002</v>
          </cell>
          <cell r="FD145">
            <v>0</v>
          </cell>
          <cell r="FE145">
            <v>0</v>
          </cell>
          <cell r="FF145">
            <v>197.59300000000002</v>
          </cell>
          <cell r="FG145">
            <v>0</v>
          </cell>
          <cell r="FH145">
            <v>625.5</v>
          </cell>
          <cell r="FI145">
            <v>23309.42</v>
          </cell>
          <cell r="FJ145">
            <v>736</v>
          </cell>
          <cell r="FK145">
            <v>736</v>
          </cell>
          <cell r="FL145">
            <v>696</v>
          </cell>
          <cell r="FM145">
            <v>0</v>
          </cell>
          <cell r="FN145">
            <v>25477.42</v>
          </cell>
          <cell r="FO145">
            <v>0</v>
          </cell>
          <cell r="FP145">
            <v>552.35140431090781</v>
          </cell>
          <cell r="FQ145">
            <v>0</v>
          </cell>
          <cell r="FR145">
            <v>552.35140431090781</v>
          </cell>
          <cell r="FS145">
            <v>0</v>
          </cell>
          <cell r="FT145">
            <v>26852.864404310898</v>
          </cell>
          <cell r="FU145">
            <v>333205.70900000003</v>
          </cell>
          <cell r="FV145">
            <v>360058.57340431097</v>
          </cell>
          <cell r="FW145" t="str">
            <v>total</v>
          </cell>
          <cell r="FX145">
            <v>25477.42</v>
          </cell>
          <cell r="FY145">
            <v>552.35140431090781</v>
          </cell>
          <cell r="FZ145">
            <v>328977.70900000003</v>
          </cell>
          <cell r="GA145">
            <v>355007.48040431098</v>
          </cell>
          <cell r="GB145">
            <v>359767.95353300369</v>
          </cell>
          <cell r="GC145">
            <v>360058.57340431097</v>
          </cell>
          <cell r="GD145">
            <v>364886.77916914329</v>
          </cell>
          <cell r="GE145">
            <v>5051.0930000000262</v>
          </cell>
          <cell r="GF145">
            <v>4.037524549334357</v>
          </cell>
          <cell r="GG145">
            <v>19411.642856303071</v>
          </cell>
          <cell r="GH145">
            <v>24932.889753755717</v>
          </cell>
          <cell r="GT145" t="str">
            <v xml:space="preserve"> A גליון</v>
          </cell>
        </row>
        <row r="146">
          <cell r="BX146">
            <v>0</v>
          </cell>
          <cell r="CD146">
            <v>0</v>
          </cell>
          <cell r="FI146">
            <v>0</v>
          </cell>
          <cell r="FL146">
            <v>0</v>
          </cell>
          <cell r="FN146">
            <v>0</v>
          </cell>
          <cell r="FX146">
            <v>0</v>
          </cell>
          <cell r="FY146">
            <v>0</v>
          </cell>
          <cell r="GA146">
            <v>0</v>
          </cell>
          <cell r="GB146">
            <v>0</v>
          </cell>
          <cell r="GC146">
            <v>0</v>
          </cell>
          <cell r="GD146">
            <v>0</v>
          </cell>
          <cell r="GE146">
            <v>0</v>
          </cell>
          <cell r="GF146" t="e">
            <v>#DIV/0!</v>
          </cell>
          <cell r="GG146">
            <v>0</v>
          </cell>
          <cell r="GH146">
            <v>0</v>
          </cell>
          <cell r="HJ146" t="str">
            <v>{edit}{bs 15}{del 15}~{edit}/1000{calc}~{D}</v>
          </cell>
        </row>
        <row r="147">
          <cell r="FX147">
            <v>0</v>
          </cell>
          <cell r="FY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</row>
        <row r="148">
          <cell r="FX148">
            <v>0</v>
          </cell>
          <cell r="FY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</row>
        <row r="149">
          <cell r="AZ149" t="str">
            <v>TOTAL ACTIVE</v>
          </cell>
          <cell r="BA149" t="str">
            <v>TOTAL ACTIVE</v>
          </cell>
          <cell r="BC149">
            <v>246674.38814999996</v>
          </cell>
          <cell r="BE149">
            <v>67408.320000000007</v>
          </cell>
          <cell r="BG149">
            <v>4683.6854635847158</v>
          </cell>
          <cell r="BI149">
            <v>318766.39361358481</v>
          </cell>
          <cell r="BM149">
            <v>769.16399999999999</v>
          </cell>
          <cell r="BO149">
            <v>30099</v>
          </cell>
          <cell r="BQ149">
            <v>579574.81400000001</v>
          </cell>
          <cell r="BS149">
            <v>0</v>
          </cell>
          <cell r="BU149">
            <v>579574.81400000001</v>
          </cell>
          <cell r="BW149">
            <v>84288.217000000004</v>
          </cell>
          <cell r="BX149">
            <v>70026</v>
          </cell>
          <cell r="BZ149">
            <v>7725.0929999999989</v>
          </cell>
          <cell r="CB149">
            <v>-4893.777</v>
          </cell>
          <cell r="CD149">
            <v>736720.34699999995</v>
          </cell>
          <cell r="CF149">
            <v>5483.9809999999998</v>
          </cell>
          <cell r="CH149">
            <v>1948.2059999999983</v>
          </cell>
          <cell r="CJ149">
            <v>7432.1869999999981</v>
          </cell>
          <cell r="CL149">
            <v>167841</v>
          </cell>
          <cell r="CN149">
            <v>-6973.5919999999996</v>
          </cell>
          <cell r="CP149">
            <v>168299.595</v>
          </cell>
          <cell r="CR149">
            <v>82090.294000000009</v>
          </cell>
          <cell r="CT149">
            <v>1336745.1786135847</v>
          </cell>
          <cell r="CV149">
            <v>-241245.91899999988</v>
          </cell>
          <cell r="CX149">
            <v>1095499.2596135847</v>
          </cell>
          <cell r="FC149">
            <v>361862.50430437626</v>
          </cell>
          <cell r="FD149">
            <v>67407.64</v>
          </cell>
          <cell r="FE149">
            <v>-17478.27480641528</v>
          </cell>
          <cell r="FF149">
            <v>411791.8694979609</v>
          </cell>
          <cell r="FG149">
            <v>771.43449999999996</v>
          </cell>
          <cell r="FH149">
            <v>30294.5</v>
          </cell>
          <cell r="FI149">
            <v>652430.13</v>
          </cell>
          <cell r="FJ149">
            <v>71643.217000000004</v>
          </cell>
          <cell r="FK149">
            <v>96114</v>
          </cell>
          <cell r="FL149">
            <v>8499.8469999999998</v>
          </cell>
          <cell r="FM149">
            <v>-5338.1769999999997</v>
          </cell>
          <cell r="FN149">
            <v>823349.01700000011</v>
          </cell>
          <cell r="FO149">
            <v>46846.699219000002</v>
          </cell>
          <cell r="FP149">
            <v>227211.80992815155</v>
          </cell>
          <cell r="FQ149">
            <v>-45995.904219000004</v>
          </cell>
          <cell r="FR149">
            <v>228062.60492815156</v>
          </cell>
          <cell r="FS149">
            <v>89217.725999999995</v>
          </cell>
          <cell r="FT149">
            <v>1583487.1519261128</v>
          </cell>
          <cell r="FU149">
            <v>-326624.00598693662</v>
          </cell>
          <cell r="FV149">
            <v>1256862.5275525008</v>
          </cell>
          <cell r="FW149" t="str">
            <v>TOTAL ACTIVE</v>
          </cell>
          <cell r="FX149">
            <v>823349.01700000011</v>
          </cell>
          <cell r="FY149">
            <v>228062.60492815156</v>
          </cell>
          <cell r="FZ149">
            <v>-4.1679999999469146</v>
          </cell>
          <cell r="GA149">
            <v>1051407.4539281516</v>
          </cell>
          <cell r="GB149">
            <v>1065506.3031299543</v>
          </cell>
          <cell r="GC149">
            <v>1256862.5275525008</v>
          </cell>
          <cell r="GD149">
            <v>1273716.4267493861</v>
          </cell>
          <cell r="GE149">
            <v>194602.69562434911</v>
          </cell>
          <cell r="GF149">
            <v>4.077277308000359</v>
          </cell>
          <cell r="GG149">
            <v>616379.9190516792</v>
          </cell>
          <cell r="GH149">
            <v>0.61838667537085712</v>
          </cell>
        </row>
        <row r="150">
          <cell r="BX150">
            <v>0</v>
          </cell>
          <cell r="CD150">
            <v>0</v>
          </cell>
          <cell r="FG150" t="str">
            <v>Madrichei Pnai</v>
          </cell>
          <cell r="FN150">
            <v>0</v>
          </cell>
          <cell r="FS150">
            <v>0</v>
          </cell>
          <cell r="FX150">
            <v>0</v>
          </cell>
          <cell r="FY150">
            <v>0</v>
          </cell>
          <cell r="GA150">
            <v>0</v>
          </cell>
          <cell r="GB150">
            <v>0</v>
          </cell>
          <cell r="GC150">
            <v>0</v>
          </cell>
          <cell r="GD150">
            <v>0</v>
          </cell>
          <cell r="GE150">
            <v>0</v>
          </cell>
          <cell r="GF150" t="e">
            <v>#DIV/0!</v>
          </cell>
          <cell r="GH150">
            <v>0</v>
          </cell>
        </row>
        <row r="151">
          <cell r="BX151">
            <v>0</v>
          </cell>
          <cell r="CD151">
            <v>0</v>
          </cell>
          <cell r="CT151">
            <v>-0.38500000000931323</v>
          </cell>
        </row>
        <row r="152">
          <cell r="BX152">
            <v>0</v>
          </cell>
          <cell r="CD152">
            <v>0</v>
          </cell>
          <cell r="FC152" t="str">
            <v>A.L.I.S</v>
          </cell>
          <cell r="FH152" t="str">
            <v>Netcom</v>
          </cell>
          <cell r="FI152" t="str">
            <v>G.C.&amp; CO.</v>
          </cell>
          <cell r="FJ152" t="str">
            <v>IDAN</v>
          </cell>
          <cell r="FL152" t="str">
            <v>EDOM</v>
          </cell>
          <cell r="FN152">
            <v>0</v>
          </cell>
          <cell r="FS152">
            <v>0</v>
          </cell>
          <cell r="FT152" t="str">
            <v>TOTAL</v>
          </cell>
          <cell r="FU152" t="str">
            <v>J.ENTRIES</v>
          </cell>
          <cell r="FV152" t="str">
            <v>TOTAL</v>
          </cell>
          <cell r="FX152">
            <v>0</v>
          </cell>
          <cell r="FY152">
            <v>0</v>
          </cell>
          <cell r="GA152">
            <v>0</v>
          </cell>
          <cell r="GB152">
            <v>0</v>
          </cell>
          <cell r="GC152" t="str">
            <v>TOTAL</v>
          </cell>
          <cell r="GD152">
            <v>0</v>
          </cell>
          <cell r="GE152">
            <v>0</v>
          </cell>
          <cell r="GF152" t="e">
            <v>#DIV/0!</v>
          </cell>
          <cell r="GG152" t="str">
            <v>TOTAL</v>
          </cell>
          <cell r="GH152">
            <v>0</v>
          </cell>
        </row>
        <row r="153">
          <cell r="BX153">
            <v>0</v>
          </cell>
          <cell r="CD153">
            <v>0</v>
          </cell>
          <cell r="FC153" t="str">
            <v>31/12/98</v>
          </cell>
          <cell r="FI153">
            <v>0</v>
          </cell>
          <cell r="FN153">
            <v>0</v>
          </cell>
          <cell r="FS153">
            <v>0</v>
          </cell>
          <cell r="FT153" t="str">
            <v xml:space="preserve"> =31/12/98</v>
          </cell>
          <cell r="FV153" t="str">
            <v xml:space="preserve"> 31/12/98</v>
          </cell>
          <cell r="FX153">
            <v>0</v>
          </cell>
          <cell r="FY153">
            <v>0</v>
          </cell>
          <cell r="GA153">
            <v>0</v>
          </cell>
          <cell r="GB153">
            <v>0</v>
          </cell>
          <cell r="GC153" t="str">
            <v xml:space="preserve"> 31/12/98</v>
          </cell>
          <cell r="GD153">
            <v>0</v>
          </cell>
          <cell r="GE153">
            <v>0</v>
          </cell>
          <cell r="GF153" t="e">
            <v>#DIV/0!</v>
          </cell>
          <cell r="GG153" t="str">
            <v>31/12/97</v>
          </cell>
          <cell r="GH153">
            <v>0</v>
          </cell>
        </row>
        <row r="154">
          <cell r="A154">
            <v>0</v>
          </cell>
          <cell r="G154" t="str">
            <v>CONSOLIDATED STATEMENTS</v>
          </cell>
          <cell r="S154" t="str">
            <v xml:space="preserve"> AS AT </v>
          </cell>
          <cell r="AZ154">
            <v>0</v>
          </cell>
          <cell r="BG154" t="str">
            <v>CONSOLIDATED STATEMENTS</v>
          </cell>
          <cell r="BQ154" t="str">
            <v xml:space="preserve"> AS AT </v>
          </cell>
          <cell r="BS154">
            <v>0</v>
          </cell>
          <cell r="BX154">
            <v>0</v>
          </cell>
          <cell r="CD154">
            <v>0</v>
          </cell>
          <cell r="CF154" t="str">
            <v xml:space="preserve"> AS AT </v>
          </cell>
          <cell r="CH154">
            <v>36160</v>
          </cell>
          <cell r="FC154" t="str">
            <v>A.C.T.V.</v>
          </cell>
          <cell r="FE154" t="str">
            <v>CONSOLIDATED STATEMENTS</v>
          </cell>
          <cell r="FI154" t="str">
            <v>מד"פ</v>
          </cell>
          <cell r="FL154" t="str">
            <v>G.C.&amp; CO. CONSOLIDATED</v>
          </cell>
          <cell r="FN154">
            <v>0</v>
          </cell>
          <cell r="FS154">
            <v>0</v>
          </cell>
          <cell r="FU154" t="str">
            <v xml:space="preserve">A.L.I.S-CONSOLIDATED </v>
          </cell>
          <cell r="FW154" t="str">
            <v>T.L.M</v>
          </cell>
          <cell r="FX154">
            <v>0</v>
          </cell>
          <cell r="FY154">
            <v>0</v>
          </cell>
          <cell r="GA154">
            <v>0</v>
          </cell>
          <cell r="GB154">
            <v>0</v>
          </cell>
          <cell r="GC154">
            <v>0</v>
          </cell>
          <cell r="GD154">
            <v>0</v>
          </cell>
          <cell r="GE154">
            <v>0</v>
          </cell>
          <cell r="GF154" t="e">
            <v>#DIV/0!</v>
          </cell>
          <cell r="GH154">
            <v>0</v>
          </cell>
          <cell r="HJ154" t="str">
            <v>/wcs1~{r 1}</v>
          </cell>
        </row>
        <row r="155">
          <cell r="A155" t="str">
            <v>SHAREHOL.EQUITY</v>
          </cell>
          <cell r="C155">
            <v>-3.19</v>
          </cell>
          <cell r="I155">
            <v>-3.19</v>
          </cell>
          <cell r="M155">
            <v>0</v>
          </cell>
          <cell r="O155">
            <v>-2500</v>
          </cell>
          <cell r="W155">
            <v>3</v>
          </cell>
          <cell r="X155">
            <v>-3</v>
          </cell>
          <cell r="Z155">
            <v>-0.32600000000000001</v>
          </cell>
          <cell r="AB155">
            <v>0.32600000000000001</v>
          </cell>
          <cell r="AD155">
            <v>0</v>
          </cell>
          <cell r="AF155">
            <v>-4.9000000000000002E-2</v>
          </cell>
          <cell r="AH155">
            <v>0</v>
          </cell>
          <cell r="AJ155">
            <v>-4.9000000000000002E-2</v>
          </cell>
          <cell r="AP155">
            <v>-4.9000000000000002E-2</v>
          </cell>
          <cell r="AR155">
            <v>-1.0349999999999999</v>
          </cell>
          <cell r="AT155">
            <v>-2504.2739999999999</v>
          </cell>
          <cell r="AV155">
            <v>2501.0839999999998</v>
          </cell>
          <cell r="AX155">
            <v>-3.1900000000000546</v>
          </cell>
          <cell r="AZ155" t="str">
            <v>SHAREHOL.EQUITY</v>
          </cell>
          <cell r="BC155">
            <v>-5</v>
          </cell>
          <cell r="BI155">
            <v>-5</v>
          </cell>
          <cell r="BO155">
            <v>-8181.5</v>
          </cell>
          <cell r="BQ155" t="str">
            <v xml:space="preserve"> </v>
          </cell>
          <cell r="BS155" t="str">
            <v xml:space="preserve"> </v>
          </cell>
          <cell r="BU155">
            <v>0</v>
          </cell>
          <cell r="BW155">
            <v>5</v>
          </cell>
          <cell r="BX155">
            <v>-5</v>
          </cell>
          <cell r="BZ155">
            <v>-1</v>
          </cell>
          <cell r="CD155">
            <v>-1</v>
          </cell>
          <cell r="CF155">
            <v>-0.1</v>
          </cell>
          <cell r="CH155">
            <v>0</v>
          </cell>
          <cell r="CJ155">
            <v>-0.1</v>
          </cell>
          <cell r="CL155">
            <v>-0.1</v>
          </cell>
          <cell r="CP155">
            <v>-0.2</v>
          </cell>
          <cell r="CR155">
            <v>-2</v>
          </cell>
          <cell r="CT155">
            <v>-8189.7</v>
          </cell>
          <cell r="CU155">
            <v>0</v>
          </cell>
          <cell r="CV155">
            <v>8184.7</v>
          </cell>
          <cell r="CX155">
            <v>-5</v>
          </cell>
          <cell r="FC155">
            <v>-17.643000000000001</v>
          </cell>
          <cell r="FF155">
            <v>-17.643000000000001</v>
          </cell>
          <cell r="FH155">
            <v>-9447.5</v>
          </cell>
          <cell r="FJ155">
            <v>18.5</v>
          </cell>
          <cell r="FK155">
            <v>-18.5</v>
          </cell>
          <cell r="FL155">
            <v>-1</v>
          </cell>
          <cell r="FM155">
            <v>1</v>
          </cell>
          <cell r="FN155">
            <v>0</v>
          </cell>
          <cell r="FO155">
            <v>-0.22900000000000001</v>
          </cell>
          <cell r="FR155">
            <v>-0.22900000000000001</v>
          </cell>
          <cell r="FS155">
            <v>-5.79</v>
          </cell>
          <cell r="FT155">
            <v>-9471.1620000000003</v>
          </cell>
          <cell r="FU155">
            <v>9453.5190000000002</v>
          </cell>
          <cell r="FV155">
            <v>-17.643000000000029</v>
          </cell>
          <cell r="FW155" t="str">
            <v>SHAREHOL.EQUITY</v>
          </cell>
          <cell r="FX155">
            <v>0</v>
          </cell>
          <cell r="FY155">
            <v>-0.22900000000000001</v>
          </cell>
          <cell r="GA155">
            <v>-0.22900000000000001</v>
          </cell>
          <cell r="GB155">
            <v>-0.23207077570655441</v>
          </cell>
          <cell r="GC155">
            <v>-17.643000000000029</v>
          </cell>
          <cell r="GD155">
            <v>-17.879583824413739</v>
          </cell>
          <cell r="GE155">
            <v>-17.41400000000003</v>
          </cell>
          <cell r="GF155">
            <v>5.5307210031347109</v>
          </cell>
          <cell r="GG155">
            <v>-17.379490529065972</v>
          </cell>
          <cell r="GH155">
            <v>0</v>
          </cell>
          <cell r="HJ155" t="str">
            <v>{edit}{home}+ez22/~{d}</v>
          </cell>
        </row>
        <row r="156">
          <cell r="A156" t="str">
            <v>PASSIV</v>
          </cell>
          <cell r="G156" t="str">
            <v>A.C.T.V.</v>
          </cell>
          <cell r="S156" t="str">
            <v>G.C.&amp; CO.</v>
          </cell>
          <cell r="Z156" t="str">
            <v>G.C.&amp; CO. CONSOLIDATED</v>
          </cell>
          <cell r="AF156" t="str">
            <v>SOUTH SHARON COMM.</v>
          </cell>
          <cell r="AL156" t="str">
            <v>T.L.M</v>
          </cell>
          <cell r="AN156" t="str">
            <v>S.S.C.-CONSOLIDATED</v>
          </cell>
          <cell r="AR156" t="str">
            <v>MERCAZ</v>
          </cell>
          <cell r="AV156" t="str">
            <v xml:space="preserve">A.L.I.S-CONSOLIDATED </v>
          </cell>
          <cell r="AZ156" t="str">
            <v>PASSIV</v>
          </cell>
          <cell r="BG156" t="str">
            <v>A.C.T.V.</v>
          </cell>
          <cell r="BS156" t="str">
            <v>G.C.&amp; CO.</v>
          </cell>
          <cell r="BX156">
            <v>0</v>
          </cell>
          <cell r="BZ156" t="str">
            <v>G.C.&amp; CO. CONSOLIDATED</v>
          </cell>
          <cell r="CD156">
            <v>0</v>
          </cell>
          <cell r="CF156" t="str">
            <v>SOUTH SHARON COMM.</v>
          </cell>
          <cell r="CL156" t="str">
            <v>T.L.M</v>
          </cell>
          <cell r="CN156" t="str">
            <v>S.S.C.-CONSOLIDATED</v>
          </cell>
          <cell r="CR156" t="str">
            <v>MERCAZ</v>
          </cell>
          <cell r="CV156" t="str">
            <v xml:space="preserve">CONSOLIDATED </v>
          </cell>
          <cell r="FE156" t="str">
            <v>A.C.T.V.</v>
          </cell>
          <cell r="FG156" t="str">
            <v>מדד000</v>
          </cell>
          <cell r="FN156">
            <v>0</v>
          </cell>
          <cell r="FP156" t="str">
            <v>T.L.M</v>
          </cell>
          <cell r="FQ156" t="str">
            <v>S.S.C.-CONSOLIDATED</v>
          </cell>
          <cell r="FS156">
            <v>0</v>
          </cell>
          <cell r="FW156" t="str">
            <v>PASSIVE</v>
          </cell>
          <cell r="FX156">
            <v>0</v>
          </cell>
          <cell r="FY156">
            <v>0</v>
          </cell>
          <cell r="GA156">
            <v>0</v>
          </cell>
          <cell r="GB156">
            <v>0</v>
          </cell>
          <cell r="GC156">
            <v>0</v>
          </cell>
          <cell r="GD156">
            <v>0</v>
          </cell>
          <cell r="GE156">
            <v>0</v>
          </cell>
          <cell r="GF156" t="e">
            <v>#DIV/0!</v>
          </cell>
          <cell r="GH156">
            <v>0</v>
          </cell>
        </row>
        <row r="157">
          <cell r="A157" t="str">
            <v>OWNERS'INVESTMENT</v>
          </cell>
          <cell r="I157">
            <v>0</v>
          </cell>
          <cell r="M157">
            <v>145.83004807692308</v>
          </cell>
          <cell r="Q157">
            <v>5221.085</v>
          </cell>
          <cell r="U157">
            <v>5221.085</v>
          </cell>
          <cell r="W157">
            <v>3099.5</v>
          </cell>
          <cell r="X157">
            <v>-3099.5</v>
          </cell>
          <cell r="AD157">
            <v>5221.0849999999991</v>
          </cell>
          <cell r="AH157">
            <v>0</v>
          </cell>
          <cell r="AJ157">
            <v>0</v>
          </cell>
          <cell r="AP157">
            <v>0</v>
          </cell>
          <cell r="AT157">
            <v>5366.9150480769222</v>
          </cell>
          <cell r="AV157">
            <v>-5366.9150480769222</v>
          </cell>
          <cell r="AX157">
            <v>0</v>
          </cell>
          <cell r="AZ157" t="str">
            <v>OWNERS'INVESTMENT</v>
          </cell>
          <cell r="BI157">
            <v>0</v>
          </cell>
          <cell r="BM157">
            <v>623.2885</v>
          </cell>
          <cell r="BQ157">
            <v>-12388.386999999999</v>
          </cell>
          <cell r="BU157">
            <v>-12388.386999999999</v>
          </cell>
          <cell r="BW157">
            <v>6422.5</v>
          </cell>
          <cell r="BX157">
            <v>-6422.5</v>
          </cell>
          <cell r="CD157">
            <v>-12388.386999999999</v>
          </cell>
          <cell r="CH157">
            <v>0</v>
          </cell>
          <cell r="CJ157">
            <v>0</v>
          </cell>
          <cell r="CL157">
            <v>0</v>
          </cell>
          <cell r="CP157">
            <v>0</v>
          </cell>
          <cell r="CT157">
            <v>-11765.098499999998</v>
          </cell>
          <cell r="CU157">
            <v>0</v>
          </cell>
          <cell r="CV157">
            <v>11765.098499999998</v>
          </cell>
          <cell r="CX157">
            <v>0</v>
          </cell>
          <cell r="FG157">
            <v>606.65300000000002</v>
          </cell>
          <cell r="FI157">
            <v>-10331.803000000002</v>
          </cell>
          <cell r="FJ157">
            <v>15602</v>
          </cell>
          <cell r="FK157">
            <v>-15602</v>
          </cell>
          <cell r="FN157">
            <v>-10331.803000000002</v>
          </cell>
          <cell r="FO157">
            <v>0</v>
          </cell>
          <cell r="FR157">
            <v>0</v>
          </cell>
          <cell r="FS157">
            <v>0</v>
          </cell>
          <cell r="FT157">
            <v>-9725.15</v>
          </cell>
          <cell r="FU157">
            <v>9725.15</v>
          </cell>
          <cell r="FV157">
            <v>0</v>
          </cell>
          <cell r="FW157" t="str">
            <v>OWNERS'INVESTMENT</v>
          </cell>
          <cell r="FX157">
            <v>-10331.803000000002</v>
          </cell>
          <cell r="FY157">
            <v>0</v>
          </cell>
          <cell r="GA157">
            <v>-10331.803000000002</v>
          </cell>
          <cell r="GB157">
            <v>-10470.347321647627</v>
          </cell>
          <cell r="GC157">
            <v>0</v>
          </cell>
          <cell r="GD157">
            <v>0</v>
          </cell>
          <cell r="GE157">
            <v>10331.803000000002</v>
          </cell>
          <cell r="GF157" t="e">
            <v>#DIV/0!</v>
          </cell>
          <cell r="GG157">
            <v>0</v>
          </cell>
          <cell r="GH157">
            <v>0</v>
          </cell>
        </row>
        <row r="158">
          <cell r="A158">
            <v>36661.599853703701</v>
          </cell>
          <cell r="C158" t="str">
            <v>A.C.T.V.</v>
          </cell>
          <cell r="E158" t="str">
            <v>A.L.I.S</v>
          </cell>
          <cell r="G158" t="str">
            <v>J.ENTRIES</v>
          </cell>
          <cell r="I158" t="str">
            <v>TOTAL</v>
          </cell>
          <cell r="Q158" t="str">
            <v>G.C.&amp; CO.</v>
          </cell>
          <cell r="S158" t="str">
            <v>J.ENTRIES</v>
          </cell>
          <cell r="U158" t="str">
            <v>TOTAL</v>
          </cell>
          <cell r="W158" t="str">
            <v>עידן -כניסה לאיחוד</v>
          </cell>
          <cell r="X158" t="str">
            <v>עידן 50%</v>
          </cell>
          <cell r="Z158" t="str">
            <v>A. EDOM</v>
          </cell>
          <cell r="AB158" t="str">
            <v>J.ENTRIES</v>
          </cell>
          <cell r="AD158" t="str">
            <v>TOTAL</v>
          </cell>
          <cell r="AF158" t="str">
            <v>S.S.C.</v>
          </cell>
          <cell r="AH158" t="str">
            <v>J.ENTRIES</v>
          </cell>
          <cell r="AJ158" t="str">
            <v>TOTAL</v>
          </cell>
          <cell r="AL158" t="str">
            <v>T.L.M</v>
          </cell>
          <cell r="AN158" t="str">
            <v>J.ENTRIES</v>
          </cell>
          <cell r="AP158" t="str">
            <v>TOTAL</v>
          </cell>
          <cell r="AR158" t="str">
            <v>MERCAZ</v>
          </cell>
          <cell r="AT158" t="str">
            <v>TOTAL</v>
          </cell>
          <cell r="AV158" t="str">
            <v>J.ENTRIES</v>
          </cell>
          <cell r="AX158" t="str">
            <v>TOTAL</v>
          </cell>
          <cell r="AZ158">
            <v>36661.599855671295</v>
          </cell>
          <cell r="BC158" t="str">
            <v>A.C.T.V.</v>
          </cell>
          <cell r="BE158" t="str">
            <v>A.L.I.S</v>
          </cell>
          <cell r="BG158" t="str">
            <v>J.ENTRIES</v>
          </cell>
          <cell r="BI158" t="str">
            <v>TOTAL</v>
          </cell>
          <cell r="BX158">
            <v>0</v>
          </cell>
          <cell r="BZ158" t="str">
            <v>A. EDOM</v>
          </cell>
          <cell r="CB158" t="str">
            <v>J.ENTRIES</v>
          </cell>
          <cell r="CD158">
            <v>0</v>
          </cell>
          <cell r="CF158" t="str">
            <v>S.S.C.</v>
          </cell>
          <cell r="CH158" t="str">
            <v>J.ENTRIES</v>
          </cell>
          <cell r="CJ158" t="str">
            <v>TOTAL</v>
          </cell>
          <cell r="CL158" t="str">
            <v>T.L.M</v>
          </cell>
          <cell r="CN158" t="str">
            <v>J.ENTRIES</v>
          </cell>
          <cell r="CP158" t="str">
            <v>TOTAL</v>
          </cell>
          <cell r="CR158" t="str">
            <v>MERCAZ</v>
          </cell>
          <cell r="CT158" t="str">
            <v>TOTAL</v>
          </cell>
          <cell r="CV158" t="str">
            <v>J.ENTRIES</v>
          </cell>
          <cell r="CX158" t="str">
            <v>TOTAL</v>
          </cell>
          <cell r="FE158" t="str">
            <v>J.ENTRIES</v>
          </cell>
          <cell r="FM158" t="str">
            <v>J.ENTRIES</v>
          </cell>
          <cell r="FN158">
            <v>0</v>
          </cell>
          <cell r="FO158" t="str">
            <v>TOTAL</v>
          </cell>
          <cell r="FP158" t="str">
            <v>T.L.M</v>
          </cell>
          <cell r="FQ158" t="str">
            <v>J.ENTRIES</v>
          </cell>
          <cell r="FR158" t="str">
            <v>TOTAL</v>
          </cell>
          <cell r="FS158">
            <v>0</v>
          </cell>
          <cell r="FW158">
            <v>36661.599853703701</v>
          </cell>
          <cell r="FX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 t="e">
            <v>#DIV/0!</v>
          </cell>
          <cell r="GH158">
            <v>0</v>
          </cell>
        </row>
        <row r="159">
          <cell r="C159" t="str">
            <v>000$</v>
          </cell>
          <cell r="E159" t="str">
            <v>000$</v>
          </cell>
          <cell r="G159" t="str">
            <v>000$</v>
          </cell>
          <cell r="I159" t="str">
            <v>000$</v>
          </cell>
          <cell r="Q159" t="str">
            <v>000$</v>
          </cell>
          <cell r="S159" t="str">
            <v>000$</v>
          </cell>
          <cell r="U159" t="str">
            <v>000$</v>
          </cell>
          <cell r="W159" t="str">
            <v>000$</v>
          </cell>
          <cell r="X159" t="str">
            <v>000$</v>
          </cell>
          <cell r="Z159" t="str">
            <v>000$</v>
          </cell>
          <cell r="AD159" t="str">
            <v>000$</v>
          </cell>
          <cell r="AF159" t="str">
            <v>000$</v>
          </cell>
          <cell r="AH159" t="str">
            <v>000$</v>
          </cell>
          <cell r="AJ159" t="str">
            <v>000$</v>
          </cell>
          <cell r="AP159" t="str">
            <v>000$</v>
          </cell>
          <cell r="AR159" t="str">
            <v>000$</v>
          </cell>
          <cell r="AT159" t="str">
            <v>000$</v>
          </cell>
          <cell r="AV159" t="str">
            <v>000$</v>
          </cell>
          <cell r="AX159" t="str">
            <v>000$</v>
          </cell>
          <cell r="BC159" t="str">
            <v>000NIS</v>
          </cell>
          <cell r="BE159" t="str">
            <v>000NIS</v>
          </cell>
          <cell r="BG159" t="str">
            <v>000NIS</v>
          </cell>
          <cell r="BI159" t="str">
            <v>000NIS</v>
          </cell>
          <cell r="BX159">
            <v>0</v>
          </cell>
          <cell r="BZ159" t="str">
            <v>000NIS</v>
          </cell>
          <cell r="CB159" t="str">
            <v>000NIS</v>
          </cell>
          <cell r="CD159">
            <v>0</v>
          </cell>
          <cell r="CF159" t="str">
            <v>000NIS</v>
          </cell>
          <cell r="CH159" t="str">
            <v>000NIS</v>
          </cell>
          <cell r="CJ159" t="str">
            <v>000NIS</v>
          </cell>
          <cell r="CL159" t="str">
            <v>000NIS</v>
          </cell>
          <cell r="CN159" t="str">
            <v>000NIS</v>
          </cell>
          <cell r="CP159" t="str">
            <v>000NIS</v>
          </cell>
          <cell r="CR159" t="str">
            <v>000NIS</v>
          </cell>
          <cell r="CT159" t="str">
            <v>000$</v>
          </cell>
          <cell r="CV159" t="str">
            <v>000NIS</v>
          </cell>
          <cell r="CX159" t="str">
            <v>000NIS</v>
          </cell>
          <cell r="FN159">
            <v>0</v>
          </cell>
          <cell r="FS159">
            <v>-928.274</v>
          </cell>
          <cell r="FT159">
            <v>-928.274</v>
          </cell>
          <cell r="FU159">
            <v>928.274</v>
          </cell>
          <cell r="FV159">
            <v>0</v>
          </cell>
          <cell r="FW159" t="str">
            <v>CAPITAL FUND</v>
          </cell>
          <cell r="FX159">
            <v>0</v>
          </cell>
          <cell r="FY159">
            <v>0</v>
          </cell>
          <cell r="GA159">
            <v>0</v>
          </cell>
          <cell r="GB159">
            <v>0</v>
          </cell>
          <cell r="GC159">
            <v>0</v>
          </cell>
          <cell r="GD159">
            <v>0</v>
          </cell>
          <cell r="GE159">
            <v>0</v>
          </cell>
          <cell r="GF159" t="e">
            <v>#DIV/0!</v>
          </cell>
          <cell r="GG159" t="str">
            <v>מדד000</v>
          </cell>
          <cell r="GH159">
            <v>0</v>
          </cell>
        </row>
        <row r="160">
          <cell r="GB160">
            <v>0</v>
          </cell>
          <cell r="GC160">
            <v>0</v>
          </cell>
          <cell r="GD160">
            <v>0</v>
          </cell>
        </row>
        <row r="161">
          <cell r="GB161">
            <v>0</v>
          </cell>
          <cell r="GC161">
            <v>0</v>
          </cell>
          <cell r="GD161">
            <v>0</v>
          </cell>
        </row>
        <row r="162">
          <cell r="GB162">
            <v>0</v>
          </cell>
          <cell r="GC162">
            <v>0</v>
          </cell>
          <cell r="GD162">
            <v>0</v>
          </cell>
        </row>
        <row r="163">
          <cell r="GB163">
            <v>0</v>
          </cell>
          <cell r="GC163">
            <v>0</v>
          </cell>
          <cell r="GD163">
            <v>0</v>
          </cell>
        </row>
        <row r="164">
          <cell r="A164" t="str">
            <v>ACCUMULATED profit</v>
          </cell>
          <cell r="C164">
            <v>-24318.967000000001</v>
          </cell>
          <cell r="E164">
            <v>-18208.287</v>
          </cell>
          <cell r="G164">
            <v>3596.6195138175572</v>
          </cell>
          <cell r="I164">
            <v>-38930.63448618244</v>
          </cell>
          <cell r="M164">
            <v>-243.03250961538447</v>
          </cell>
          <cell r="O164">
            <v>-979.5</v>
          </cell>
          <cell r="Q164">
            <v>-74356.178815384614</v>
          </cell>
          <cell r="S164">
            <v>202.167</v>
          </cell>
          <cell r="U164">
            <v>-74154.011815384612</v>
          </cell>
          <cell r="W164">
            <v>433</v>
          </cell>
          <cell r="X164">
            <v>-432.5</v>
          </cell>
          <cell r="Z164">
            <v>-407.24830769230772</v>
          </cell>
          <cell r="AB164">
            <v>407</v>
          </cell>
          <cell r="AD164">
            <v>-74154.760123076936</v>
          </cell>
          <cell r="AF164">
            <v>-8362.9340000000011</v>
          </cell>
          <cell r="AH164">
            <v>-2329.5149999999999</v>
          </cell>
          <cell r="AJ164">
            <v>-10692.449000000001</v>
          </cell>
          <cell r="AL164">
            <v>-16160.913999999997</v>
          </cell>
          <cell r="AN164">
            <v>16160.611000000001</v>
          </cell>
          <cell r="AP164">
            <v>-10692.751999999997</v>
          </cell>
          <cell r="AR164">
            <v>-1091.8273484162894</v>
          </cell>
          <cell r="AT164">
            <v>-126092.50646729108</v>
          </cell>
          <cell r="AV164">
            <v>87161.863858031677</v>
          </cell>
          <cell r="AX164">
            <v>-38930.642609259361</v>
          </cell>
          <cell r="AZ164" t="str">
            <v>ACCUMULATED profit</v>
          </cell>
          <cell r="BC164">
            <v>2136.7808700000096</v>
          </cell>
          <cell r="BE164">
            <v>-67407.641000000003</v>
          </cell>
          <cell r="BG164">
            <v>15719.503536415281</v>
          </cell>
          <cell r="BI164">
            <v>-49551.356593584715</v>
          </cell>
          <cell r="BM164">
            <v>-1033.9669999999996</v>
          </cell>
          <cell r="BO164">
            <v>-5536.7749999999996</v>
          </cell>
          <cell r="BQ164">
            <v>-186130.535</v>
          </cell>
          <cell r="BS164">
            <v>0</v>
          </cell>
          <cell r="BU164">
            <v>-186130.535</v>
          </cell>
          <cell r="BW164">
            <v>-16458.5</v>
          </cell>
          <cell r="BX164">
            <v>16458.5</v>
          </cell>
          <cell r="BZ164">
            <v>-762.11900000000117</v>
          </cell>
          <cell r="CB164">
            <v>768</v>
          </cell>
          <cell r="CD164">
            <v>-186124.65400000001</v>
          </cell>
          <cell r="CF164">
            <v>-3803.982</v>
          </cell>
          <cell r="CH164">
            <v>-1948.2059999999983</v>
          </cell>
          <cell r="CJ164">
            <v>-5752.1879999999983</v>
          </cell>
          <cell r="CL164">
            <v>-10176</v>
          </cell>
          <cell r="CN164">
            <v>10176.205999999998</v>
          </cell>
          <cell r="CP164">
            <v>-5751.9819999999963</v>
          </cell>
          <cell r="CR164">
            <v>9328.08</v>
          </cell>
          <cell r="CT164">
            <v>-238670.83659358468</v>
          </cell>
          <cell r="CU164">
            <v>0.18199999997159466</v>
          </cell>
          <cell r="CV164">
            <v>189123.75900000002</v>
          </cell>
          <cell r="CX164">
            <v>-49547.077593584647</v>
          </cell>
          <cell r="FC164">
            <v>-94752.620999999999</v>
          </cell>
          <cell r="FD164">
            <v>-67407.860472</v>
          </cell>
          <cell r="FE164">
            <v>22435.880226255285</v>
          </cell>
          <cell r="FF164">
            <v>-139724.60124574471</v>
          </cell>
          <cell r="FG164">
            <v>-1009.8980000000006</v>
          </cell>
          <cell r="FH164">
            <v>-4787</v>
          </cell>
          <cell r="FI164">
            <v>-261042.58099999992</v>
          </cell>
          <cell r="FJ164">
            <v>170</v>
          </cell>
          <cell r="FK164">
            <v>-170</v>
          </cell>
          <cell r="FL164">
            <v>-1403.8139999999994</v>
          </cell>
          <cell r="FM164">
            <v>1404</v>
          </cell>
          <cell r="FN164">
            <v>-261042.39500000002</v>
          </cell>
          <cell r="FO164">
            <v>-45166.071219000005</v>
          </cell>
          <cell r="FP164">
            <v>-68192.262000000002</v>
          </cell>
          <cell r="FQ164">
            <v>68191.595218999995</v>
          </cell>
          <cell r="FR164">
            <v>-45166.738000000012</v>
          </cell>
          <cell r="FS164">
            <v>3145.0630000000001</v>
          </cell>
          <cell r="FT164">
            <v>-448585.56924574461</v>
          </cell>
          <cell r="FU164">
            <v>308861.65149999998</v>
          </cell>
          <cell r="FV164">
            <v>-139723.91774574461</v>
          </cell>
          <cell r="FW164" t="str">
            <v>ACCUMULATED profit</v>
          </cell>
          <cell r="FX164">
            <v>-261042.39500000002</v>
          </cell>
          <cell r="FY164">
            <v>-45166.738000000012</v>
          </cell>
          <cell r="FZ164">
            <v>-0.43684500000381377</v>
          </cell>
          <cell r="GA164">
            <v>-306209.56984499993</v>
          </cell>
          <cell r="GB164">
            <v>-310315.6873480326</v>
          </cell>
          <cell r="GC164">
            <v>-139723.91774574463</v>
          </cell>
          <cell r="GD164">
            <v>-141597.54574678498</v>
          </cell>
          <cell r="GE164">
            <v>120607.73899925532</v>
          </cell>
          <cell r="GF164">
            <v>3.589047300044113</v>
          </cell>
          <cell r="GG164">
            <v>-99017.617549098839</v>
          </cell>
          <cell r="GH164">
            <v>0</v>
          </cell>
        </row>
        <row r="165">
          <cell r="C165">
            <v>-24322.156999999999</v>
          </cell>
          <cell r="E165">
            <v>-18208.287</v>
          </cell>
          <cell r="G165">
            <v>3596.6195138175572</v>
          </cell>
          <cell r="I165">
            <v>-38933.824486182442</v>
          </cell>
          <cell r="M165">
            <v>-97.202461538461392</v>
          </cell>
          <cell r="O165">
            <v>-3479.5</v>
          </cell>
          <cell r="Q165">
            <v>-69135.093815384607</v>
          </cell>
          <cell r="S165">
            <v>202.167</v>
          </cell>
          <cell r="U165">
            <v>-68932.926815384606</v>
          </cell>
          <cell r="W165">
            <v>3535.5</v>
          </cell>
          <cell r="X165">
            <v>-3535</v>
          </cell>
          <cell r="Z165">
            <v>-407.57430769230774</v>
          </cell>
          <cell r="AB165">
            <v>407</v>
          </cell>
          <cell r="AD165">
            <v>-68933.675123076944</v>
          </cell>
          <cell r="AF165">
            <v>-8362.983000000002</v>
          </cell>
          <cell r="AH165">
            <v>-2329.5149999999999</v>
          </cell>
          <cell r="AJ165">
            <v>-10692.498000000001</v>
          </cell>
          <cell r="AL165">
            <v>-16160.913999999997</v>
          </cell>
          <cell r="AN165">
            <v>16160.611000000001</v>
          </cell>
          <cell r="AP165">
            <v>-10692.800999999998</v>
          </cell>
          <cell r="AR165">
            <v>-1092.8623484162895</v>
          </cell>
          <cell r="AT165">
            <v>-123229.86541921415</v>
          </cell>
          <cell r="AV165">
            <v>84296.032809954748</v>
          </cell>
          <cell r="AX165">
            <v>-38933.832609259363</v>
          </cell>
          <cell r="BC165">
            <v>2131.7808700000096</v>
          </cell>
          <cell r="BE165">
            <v>-67407.641000000003</v>
          </cell>
          <cell r="BG165">
            <v>15719.503536415281</v>
          </cell>
          <cell r="BI165">
            <v>-49556.356593584715</v>
          </cell>
          <cell r="BM165">
            <v>-410.67849999999964</v>
          </cell>
          <cell r="BO165">
            <v>-13718.275</v>
          </cell>
          <cell r="BQ165">
            <v>-198518.92199999999</v>
          </cell>
          <cell r="BS165">
            <v>0</v>
          </cell>
          <cell r="BU165">
            <v>-198518.92199999999</v>
          </cell>
          <cell r="BW165">
            <v>-10031</v>
          </cell>
          <cell r="BX165">
            <v>10031</v>
          </cell>
          <cell r="BZ165">
            <v>-763.11900000000117</v>
          </cell>
          <cell r="CB165">
            <v>768</v>
          </cell>
          <cell r="CD165">
            <v>-198514.041</v>
          </cell>
          <cell r="CF165">
            <v>-3804.0819999999999</v>
          </cell>
          <cell r="CH165">
            <v>-1948.2059999999983</v>
          </cell>
          <cell r="CJ165">
            <v>-5752.2879999999986</v>
          </cell>
          <cell r="CL165">
            <v>-10176.1</v>
          </cell>
          <cell r="CN165">
            <v>10176.205999999998</v>
          </cell>
          <cell r="CP165">
            <v>-5752.1819999999962</v>
          </cell>
          <cell r="CR165">
            <v>9326.08</v>
          </cell>
          <cell r="CT165">
            <v>-258625.63509358469</v>
          </cell>
          <cell r="CU165">
            <v>0.18199999997159466</v>
          </cell>
          <cell r="CV165">
            <v>209073.55750000002</v>
          </cell>
          <cell r="CX165">
            <v>-49552.077593584647</v>
          </cell>
          <cell r="FC165">
            <v>-94770.263999999996</v>
          </cell>
          <cell r="FD165">
            <v>-67407.860472</v>
          </cell>
          <cell r="FE165">
            <v>22435.880226255285</v>
          </cell>
          <cell r="FF165">
            <v>-139742.24424574472</v>
          </cell>
          <cell r="FG165">
            <v>-403.24500000000057</v>
          </cell>
          <cell r="FH165">
            <v>-14234.5</v>
          </cell>
          <cell r="FI165">
            <v>-271374.3839999999</v>
          </cell>
          <cell r="FJ165">
            <v>15790.5</v>
          </cell>
          <cell r="FK165">
            <v>-15790.5</v>
          </cell>
          <cell r="FL165">
            <v>-1404.8139999999994</v>
          </cell>
          <cell r="FM165">
            <v>1405</v>
          </cell>
          <cell r="FN165">
            <v>-271374.19800000003</v>
          </cell>
          <cell r="FO165">
            <v>-45166.300219000004</v>
          </cell>
          <cell r="FP165">
            <v>-68192.262000000002</v>
          </cell>
          <cell r="FQ165">
            <v>68191.595218999995</v>
          </cell>
          <cell r="FR165">
            <v>-45166.967000000011</v>
          </cell>
          <cell r="FS165">
            <v>2210.9990000000003</v>
          </cell>
          <cell r="FT165">
            <v>-468710.15524574462</v>
          </cell>
          <cell r="FU165">
            <v>328968.59450000001</v>
          </cell>
          <cell r="FV165">
            <v>-139741.56074574462</v>
          </cell>
          <cell r="FX165">
            <v>-271374.19800000003</v>
          </cell>
          <cell r="FY165">
            <v>-45166.967000000011</v>
          </cell>
          <cell r="FZ165">
            <v>-0.43684500000381377</v>
          </cell>
          <cell r="GA165">
            <v>-316541.60184499994</v>
          </cell>
          <cell r="GB165">
            <v>-320786.26674045593</v>
          </cell>
          <cell r="GC165">
            <v>-139741.56074574465</v>
          </cell>
          <cell r="GD165">
            <v>-141615.4253306094</v>
          </cell>
          <cell r="GE165">
            <v>130922.12799925532</v>
          </cell>
          <cell r="GF165">
            <v>3.5892063889058496</v>
          </cell>
          <cell r="GG165">
            <v>-99034.99703962791</v>
          </cell>
          <cell r="GH165">
            <v>0</v>
          </cell>
        </row>
        <row r="166">
          <cell r="A166" t="str">
            <v>MINORITY INTERESTS</v>
          </cell>
          <cell r="AT166">
            <v>0</v>
          </cell>
          <cell r="AZ166" t="str">
            <v>MINORITY INTERESTS</v>
          </cell>
          <cell r="BX166">
            <v>0</v>
          </cell>
          <cell r="CD166">
            <v>0</v>
          </cell>
          <cell r="CT166">
            <v>0</v>
          </cell>
          <cell r="CU166">
            <v>0</v>
          </cell>
          <cell r="FN166">
            <v>0</v>
          </cell>
          <cell r="FS166">
            <v>0</v>
          </cell>
          <cell r="FW166" t="str">
            <v>MINORITY INTERESTS</v>
          </cell>
          <cell r="FX166">
            <v>0</v>
          </cell>
          <cell r="FY166">
            <v>0</v>
          </cell>
          <cell r="GA166">
            <v>0</v>
          </cell>
          <cell r="GB166">
            <v>0</v>
          </cell>
          <cell r="GC166">
            <v>0</v>
          </cell>
          <cell r="GD166">
            <v>0</v>
          </cell>
          <cell r="GE166">
            <v>0</v>
          </cell>
          <cell r="GF166" t="e">
            <v>#DIV/0!</v>
          </cell>
          <cell r="GH166">
            <v>0</v>
          </cell>
          <cell r="GT166" t="str">
            <v xml:space="preserve">דוח דולר  </v>
          </cell>
          <cell r="HJ166" t="str">
            <v>{edit}{home}({end})*1000{D}</v>
          </cell>
        </row>
        <row r="167">
          <cell r="A167" t="str">
            <v>G.C.&amp; CO.</v>
          </cell>
          <cell r="B167">
            <v>0.3</v>
          </cell>
          <cell r="I167">
            <v>0</v>
          </cell>
          <cell r="U167">
            <v>0</v>
          </cell>
          <cell r="AD167">
            <v>0</v>
          </cell>
          <cell r="AJ167">
            <v>0</v>
          </cell>
          <cell r="AP167">
            <v>0</v>
          </cell>
          <cell r="AT167">
            <v>0</v>
          </cell>
          <cell r="AV167">
            <v>2614.2529999999997</v>
          </cell>
          <cell r="AX167">
            <v>2614.2529999999997</v>
          </cell>
          <cell r="AZ167" t="str">
            <v>G.C.&amp; CO.</v>
          </cell>
          <cell r="BA167">
            <v>0.3</v>
          </cell>
          <cell r="BI167">
            <v>0</v>
          </cell>
          <cell r="BU167">
            <v>0</v>
          </cell>
          <cell r="BX167">
            <v>0</v>
          </cell>
          <cell r="CD167">
            <v>0</v>
          </cell>
          <cell r="CJ167">
            <v>0</v>
          </cell>
          <cell r="CP167">
            <v>0</v>
          </cell>
          <cell r="CT167">
            <v>0</v>
          </cell>
          <cell r="CU167">
            <v>0</v>
          </cell>
          <cell r="CV167">
            <v>-299.11399999999776</v>
          </cell>
          <cell r="CX167">
            <v>-299.11399999999776</v>
          </cell>
          <cell r="FN167">
            <v>0</v>
          </cell>
          <cell r="FO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848.51299999999901</v>
          </cell>
          <cell r="FV167">
            <v>848.51299999999901</v>
          </cell>
          <cell r="FW167" t="str">
            <v>G.C.&amp; CO.</v>
          </cell>
          <cell r="FX167">
            <v>0</v>
          </cell>
          <cell r="FY167">
            <v>0</v>
          </cell>
          <cell r="GA167">
            <v>0</v>
          </cell>
          <cell r="GB167">
            <v>0</v>
          </cell>
          <cell r="GC167">
            <v>848.51299999999901</v>
          </cell>
          <cell r="GD167">
            <v>859.89113583884443</v>
          </cell>
          <cell r="GE167">
            <v>848.51299999999901</v>
          </cell>
          <cell r="GF167">
            <v>0.32457187579013935</v>
          </cell>
          <cell r="GG167">
            <v>7518.2845652531132</v>
          </cell>
          <cell r="GH167">
            <v>0</v>
          </cell>
        </row>
        <row r="168">
          <cell r="A168" t="str">
            <v>accum.profit</v>
          </cell>
          <cell r="I168">
            <v>0</v>
          </cell>
          <cell r="U168">
            <v>0</v>
          </cell>
          <cell r="AD168">
            <v>0</v>
          </cell>
          <cell r="AJ168">
            <v>0</v>
          </cell>
          <cell r="AP168">
            <v>0</v>
          </cell>
          <cell r="AT168">
            <v>0</v>
          </cell>
          <cell r="AV168">
            <v>-14500.133999999998</v>
          </cell>
          <cell r="AX168">
            <v>-14500.133999999998</v>
          </cell>
          <cell r="AZ168" t="str">
            <v>accum.profit</v>
          </cell>
          <cell r="BI168">
            <v>0</v>
          </cell>
          <cell r="BU168">
            <v>0</v>
          </cell>
          <cell r="BX168">
            <v>0</v>
          </cell>
          <cell r="CD168">
            <v>0</v>
          </cell>
          <cell r="CJ168">
            <v>0</v>
          </cell>
          <cell r="CP168">
            <v>0</v>
          </cell>
          <cell r="CT168">
            <v>0</v>
          </cell>
          <cell r="CU168">
            <v>0</v>
          </cell>
          <cell r="CV168">
            <v>-42798.372000000003</v>
          </cell>
          <cell r="CX168">
            <v>-42798.372000000003</v>
          </cell>
          <cell r="FN168">
            <v>0</v>
          </cell>
          <cell r="FO168">
            <v>0</v>
          </cell>
          <cell r="FR168">
            <v>0</v>
          </cell>
          <cell r="FS168">
            <v>0</v>
          </cell>
          <cell r="FT168">
            <v>0</v>
          </cell>
          <cell r="FU168">
            <v>-58934.150097975158</v>
          </cell>
          <cell r="FV168">
            <v>-58934.150097975158</v>
          </cell>
          <cell r="FW168" t="str">
            <v>accum.profit</v>
          </cell>
          <cell r="FX168">
            <v>0</v>
          </cell>
          <cell r="FY168">
            <v>0</v>
          </cell>
          <cell r="GA168">
            <v>0</v>
          </cell>
          <cell r="GB168">
            <v>0</v>
          </cell>
          <cell r="GC168">
            <v>-58934.150097975158</v>
          </cell>
          <cell r="GD168">
            <v>-59724.427636871631</v>
          </cell>
          <cell r="GE168">
            <v>-58934.150097975158</v>
          </cell>
          <cell r="GF168">
            <v>4.0643865841498545</v>
          </cell>
          <cell r="GG168">
            <v>-36481.900686982939</v>
          </cell>
          <cell r="GH168">
            <v>0</v>
          </cell>
        </row>
        <row r="169">
          <cell r="A169" t="str">
            <v>per.results'</v>
          </cell>
          <cell r="I169">
            <v>0</v>
          </cell>
          <cell r="U169">
            <v>0</v>
          </cell>
          <cell r="AD169">
            <v>0</v>
          </cell>
          <cell r="AJ169">
            <v>0</v>
          </cell>
          <cell r="AP169">
            <v>0</v>
          </cell>
          <cell r="AT169">
            <v>0</v>
          </cell>
          <cell r="AV169">
            <v>-7746</v>
          </cell>
          <cell r="AX169">
            <v>-7746</v>
          </cell>
          <cell r="AZ169" t="str">
            <v>per.results'</v>
          </cell>
          <cell r="BI169">
            <v>0</v>
          </cell>
          <cell r="BU169">
            <v>0</v>
          </cell>
          <cell r="BX169">
            <v>0</v>
          </cell>
          <cell r="CD169">
            <v>0</v>
          </cell>
          <cell r="CJ169">
            <v>0</v>
          </cell>
          <cell r="CP169">
            <v>0</v>
          </cell>
          <cell r="CT169">
            <v>0</v>
          </cell>
          <cell r="CU169">
            <v>0</v>
          </cell>
          <cell r="CV169">
            <v>-13039</v>
          </cell>
          <cell r="CX169">
            <v>-13039</v>
          </cell>
          <cell r="FN169">
            <v>0</v>
          </cell>
          <cell r="FO169">
            <v>0</v>
          </cell>
          <cell r="FR169">
            <v>0</v>
          </cell>
          <cell r="FS169">
            <v>0</v>
          </cell>
          <cell r="FT169">
            <v>0</v>
          </cell>
          <cell r="FU169">
            <v>-19376.33429999998</v>
          </cell>
          <cell r="FV169">
            <v>-19376.33429999998</v>
          </cell>
          <cell r="FW169" t="str">
            <v>per.results'</v>
          </cell>
          <cell r="FX169">
            <v>0</v>
          </cell>
          <cell r="FY169">
            <v>0</v>
          </cell>
          <cell r="GA169">
            <v>0</v>
          </cell>
          <cell r="GB169">
            <v>0</v>
          </cell>
          <cell r="GC169">
            <v>-19376.33429999998</v>
          </cell>
          <cell r="GD169">
            <v>-19636.161272272981</v>
          </cell>
          <cell r="GE169">
            <v>-19376.33429999998</v>
          </cell>
          <cell r="GF169">
            <v>2.5014632455460859</v>
          </cell>
          <cell r="GG169">
            <v>-22461.670949802468</v>
          </cell>
          <cell r="GH169">
            <v>0</v>
          </cell>
        </row>
        <row r="170">
          <cell r="A170" t="str">
            <v>s. IEDIOT accum.profit</v>
          </cell>
          <cell r="AT170">
            <v>0</v>
          </cell>
          <cell r="AV170">
            <v>-735</v>
          </cell>
          <cell r="AX170">
            <v>-735</v>
          </cell>
          <cell r="AZ170" t="str">
            <v>s. IEDIOT accum.profit</v>
          </cell>
          <cell r="BI170">
            <v>0</v>
          </cell>
          <cell r="BU170">
            <v>0</v>
          </cell>
          <cell r="BX170">
            <v>0</v>
          </cell>
          <cell r="CD170">
            <v>0</v>
          </cell>
          <cell r="CJ170">
            <v>0</v>
          </cell>
          <cell r="CP170">
            <v>0</v>
          </cell>
          <cell r="CT170">
            <v>0</v>
          </cell>
          <cell r="CU170">
            <v>0</v>
          </cell>
          <cell r="CV170">
            <v>-2458.9899999999998</v>
          </cell>
          <cell r="CX170">
            <v>-2458.9899999999998</v>
          </cell>
          <cell r="FN170">
            <v>0</v>
          </cell>
          <cell r="FO170">
            <v>0</v>
          </cell>
          <cell r="FR170">
            <v>0</v>
          </cell>
          <cell r="FS170">
            <v>0</v>
          </cell>
          <cell r="FT170">
            <v>0</v>
          </cell>
          <cell r="FU170">
            <v>-2791.5806662312216</v>
          </cell>
          <cell r="FV170">
            <v>-2791.5806662312216</v>
          </cell>
          <cell r="FW170" t="str">
            <v>s. IEDIOT accum.profit</v>
          </cell>
          <cell r="FX170">
            <v>0</v>
          </cell>
          <cell r="FY170">
            <v>0</v>
          </cell>
          <cell r="GA170">
            <v>0</v>
          </cell>
          <cell r="GB170">
            <v>0</v>
          </cell>
          <cell r="GC170">
            <v>-2791.5806662312216</v>
          </cell>
          <cell r="GD170">
            <v>-2829.0143696930108</v>
          </cell>
          <cell r="GE170">
            <v>-2791.5806662312216</v>
          </cell>
          <cell r="GF170">
            <v>3.7980689336479205</v>
          </cell>
          <cell r="GG170">
            <v>-1851.2641509433965</v>
          </cell>
          <cell r="GH170">
            <v>0</v>
          </cell>
        </row>
        <row r="171">
          <cell r="A171" t="str">
            <v>s. IEDIOT per.results'</v>
          </cell>
          <cell r="AT171">
            <v>0</v>
          </cell>
          <cell r="AV171">
            <v>-245</v>
          </cell>
          <cell r="AX171">
            <v>-245</v>
          </cell>
          <cell r="AZ171" t="str">
            <v>s. IEDIOT per.results'</v>
          </cell>
          <cell r="BI171">
            <v>0</v>
          </cell>
          <cell r="BU171">
            <v>0</v>
          </cell>
          <cell r="BX171">
            <v>0</v>
          </cell>
          <cell r="CD171">
            <v>0</v>
          </cell>
          <cell r="CJ171">
            <v>0</v>
          </cell>
          <cell r="CP171">
            <v>0</v>
          </cell>
          <cell r="CT171">
            <v>0</v>
          </cell>
          <cell r="CU171">
            <v>0</v>
          </cell>
          <cell r="CV171">
            <v>-1019.2</v>
          </cell>
          <cell r="CX171">
            <v>-1019.2</v>
          </cell>
          <cell r="FN171">
            <v>0</v>
          </cell>
          <cell r="FO171">
            <v>0</v>
          </cell>
          <cell r="FR171">
            <v>0</v>
          </cell>
          <cell r="FS171">
            <v>0</v>
          </cell>
          <cell r="FT171">
            <v>0</v>
          </cell>
          <cell r="FU171">
            <v>-1019.2</v>
          </cell>
          <cell r="FV171">
            <v>-1019.2</v>
          </cell>
          <cell r="FW171" t="str">
            <v>s. IEDIOT per.results'</v>
          </cell>
          <cell r="FX171">
            <v>0</v>
          </cell>
          <cell r="FY171">
            <v>0</v>
          </cell>
          <cell r="GA171">
            <v>0</v>
          </cell>
          <cell r="GB171">
            <v>0</v>
          </cell>
          <cell r="GC171">
            <v>-1019.2</v>
          </cell>
          <cell r="GD171">
            <v>-1032.8669633193024</v>
          </cell>
          <cell r="GE171">
            <v>-1019.2</v>
          </cell>
          <cell r="GF171">
            <v>4.16</v>
          </cell>
          <cell r="GG171">
            <v>-940.66492488569577</v>
          </cell>
          <cell r="GH171">
            <v>0</v>
          </cell>
        </row>
        <row r="172">
          <cell r="B172" t="str">
            <v xml:space="preserve">total </v>
          </cell>
          <cell r="C172">
            <v>0</v>
          </cell>
          <cell r="E172">
            <v>0</v>
          </cell>
          <cell r="G172">
            <v>0</v>
          </cell>
          <cell r="I172">
            <v>0</v>
          </cell>
          <cell r="O172">
            <v>0</v>
          </cell>
          <cell r="Q172">
            <v>0</v>
          </cell>
          <cell r="S172">
            <v>0</v>
          </cell>
          <cell r="U172">
            <v>0</v>
          </cell>
          <cell r="Z172">
            <v>0</v>
          </cell>
          <cell r="AB172">
            <v>0</v>
          </cell>
          <cell r="AD172">
            <v>0</v>
          </cell>
          <cell r="AF172">
            <v>0</v>
          </cell>
          <cell r="AH172">
            <v>0</v>
          </cell>
          <cell r="AJ172">
            <v>0</v>
          </cell>
          <cell r="AL172">
            <v>0</v>
          </cell>
          <cell r="AN172">
            <v>0</v>
          </cell>
          <cell r="AP172">
            <v>0</v>
          </cell>
          <cell r="AR172">
            <v>0</v>
          </cell>
          <cell r="AT172">
            <v>0</v>
          </cell>
          <cell r="AV172">
            <v>-20611.880999999998</v>
          </cell>
          <cell r="AX172">
            <v>-20611.880999999998</v>
          </cell>
          <cell r="BA172" t="str">
            <v xml:space="preserve">total </v>
          </cell>
          <cell r="BC172">
            <v>0</v>
          </cell>
          <cell r="BE172">
            <v>0</v>
          </cell>
          <cell r="BG172">
            <v>0</v>
          </cell>
          <cell r="BI172">
            <v>0</v>
          </cell>
          <cell r="BO172">
            <v>0</v>
          </cell>
          <cell r="BQ172">
            <v>0</v>
          </cell>
          <cell r="BS172">
            <v>0</v>
          </cell>
          <cell r="BU172">
            <v>0</v>
          </cell>
          <cell r="BW172">
            <v>0</v>
          </cell>
          <cell r="BX172">
            <v>0</v>
          </cell>
          <cell r="BZ172">
            <v>0</v>
          </cell>
          <cell r="CB172">
            <v>0</v>
          </cell>
          <cell r="CD172">
            <v>0</v>
          </cell>
          <cell r="CF172">
            <v>0</v>
          </cell>
          <cell r="CH172">
            <v>0</v>
          </cell>
          <cell r="CJ172">
            <v>0</v>
          </cell>
          <cell r="CL172">
            <v>0</v>
          </cell>
          <cell r="CN172">
            <v>0</v>
          </cell>
          <cell r="CP172">
            <v>0</v>
          </cell>
          <cell r="CR172">
            <v>0</v>
          </cell>
          <cell r="CT172">
            <v>0</v>
          </cell>
          <cell r="CU172">
            <v>0</v>
          </cell>
          <cell r="CV172">
            <v>-59614.675999999999</v>
          </cell>
          <cell r="CX172">
            <v>-59614.675999999999</v>
          </cell>
          <cell r="FD172">
            <v>0</v>
          </cell>
          <cell r="FE172">
            <v>0</v>
          </cell>
          <cell r="FI172">
            <v>0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  <cell r="FR172">
            <v>0</v>
          </cell>
          <cell r="FS172">
            <v>0</v>
          </cell>
          <cell r="FT172">
            <v>0</v>
          </cell>
          <cell r="FU172">
            <v>-81272.752064206361</v>
          </cell>
          <cell r="FV172">
            <v>-81272.752064206361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GC172">
            <v>-81272.752064206361</v>
          </cell>
          <cell r="GD172">
            <v>-82362.579106318095</v>
          </cell>
          <cell r="GE172">
            <v>-81272.752064206361</v>
          </cell>
          <cell r="GF172">
            <v>3.9430051077922665</v>
          </cell>
          <cell r="GG172">
            <v>-54217.216147361389</v>
          </cell>
          <cell r="GH172">
            <v>0</v>
          </cell>
        </row>
        <row r="173">
          <cell r="A173" t="str">
            <v>MERCAZ</v>
          </cell>
          <cell r="B173">
            <v>0.3</v>
          </cell>
          <cell r="AD173">
            <v>0</v>
          </cell>
          <cell r="AJ173">
            <v>0</v>
          </cell>
          <cell r="AP173">
            <v>0</v>
          </cell>
          <cell r="AT173">
            <v>0</v>
          </cell>
          <cell r="AV173">
            <v>0</v>
          </cell>
          <cell r="AX173">
            <v>0</v>
          </cell>
          <cell r="AZ173" t="str">
            <v>MERCAZ</v>
          </cell>
          <cell r="BA173">
            <v>0.3</v>
          </cell>
          <cell r="BX173">
            <v>0</v>
          </cell>
          <cell r="CD173">
            <v>0</v>
          </cell>
          <cell r="CJ173">
            <v>0</v>
          </cell>
          <cell r="CP173">
            <v>0</v>
          </cell>
          <cell r="CT173">
            <v>0</v>
          </cell>
          <cell r="CU173">
            <v>0</v>
          </cell>
          <cell r="CV173">
            <v>-0.6</v>
          </cell>
          <cell r="CX173">
            <v>-0.6</v>
          </cell>
          <cell r="FO173">
            <v>0</v>
          </cell>
          <cell r="FR173">
            <v>0</v>
          </cell>
          <cell r="FS173">
            <v>0</v>
          </cell>
          <cell r="FT173">
            <v>0</v>
          </cell>
          <cell r="FU173">
            <v>-280.21920000000006</v>
          </cell>
          <cell r="FV173">
            <v>-280.21920000000006</v>
          </cell>
          <cell r="FW173" t="str">
            <v>MERCAZ</v>
          </cell>
          <cell r="FX173">
            <v>0</v>
          </cell>
          <cell r="FY173">
            <v>0</v>
          </cell>
          <cell r="GA173">
            <v>0</v>
          </cell>
          <cell r="GB173">
            <v>0</v>
          </cell>
          <cell r="GC173">
            <v>-280.21920000000006</v>
          </cell>
          <cell r="GD173">
            <v>-283.97679961515337</v>
          </cell>
          <cell r="GE173">
            <v>-280.21920000000006</v>
          </cell>
          <cell r="GF173" t="e">
            <v>#DIV/0!</v>
          </cell>
          <cell r="GG173">
            <v>-280.21888503528623</v>
          </cell>
          <cell r="GH173">
            <v>0</v>
          </cell>
        </row>
        <row r="174">
          <cell r="A174" t="str">
            <v>accum.loss</v>
          </cell>
          <cell r="AD174">
            <v>0</v>
          </cell>
          <cell r="AJ174">
            <v>0</v>
          </cell>
          <cell r="AP174">
            <v>0</v>
          </cell>
          <cell r="AT174">
            <v>0</v>
          </cell>
          <cell r="AV174">
            <v>106.13865158371038</v>
          </cell>
          <cell r="AX174">
            <v>106.13865158371038</v>
          </cell>
          <cell r="AZ174" t="str">
            <v>accum.loss</v>
          </cell>
          <cell r="BX174">
            <v>0</v>
          </cell>
          <cell r="CD174">
            <v>0</v>
          </cell>
          <cell r="CJ174">
            <v>0</v>
          </cell>
          <cell r="CP174">
            <v>0</v>
          </cell>
          <cell r="CT174">
            <v>0</v>
          </cell>
          <cell r="CU174">
            <v>0</v>
          </cell>
          <cell r="CV174">
            <v>854.09899999999971</v>
          </cell>
          <cell r="CX174">
            <v>854.09899999999971</v>
          </cell>
          <cell r="FN174">
            <v>0</v>
          </cell>
          <cell r="FO174">
            <v>0</v>
          </cell>
          <cell r="FR174">
            <v>0</v>
          </cell>
          <cell r="FS174">
            <v>0</v>
          </cell>
          <cell r="FT174">
            <v>0</v>
          </cell>
          <cell r="FU174">
            <v>901.14064598301775</v>
          </cell>
          <cell r="FV174">
            <v>901.14064598301775</v>
          </cell>
          <cell r="FW174" t="str">
            <v>accum.loss</v>
          </cell>
          <cell r="FX174">
            <v>0</v>
          </cell>
          <cell r="FY174">
            <v>0</v>
          </cell>
          <cell r="GA174">
            <v>0</v>
          </cell>
          <cell r="GB174">
            <v>0</v>
          </cell>
          <cell r="GC174">
            <v>901.14064598301775</v>
          </cell>
          <cell r="GD174">
            <v>913.22449228814173</v>
          </cell>
          <cell r="GE174">
            <v>901.14064598301775</v>
          </cell>
          <cell r="GF174">
            <v>8.4902213523251522</v>
          </cell>
          <cell r="GG174">
            <v>225.33900013769136</v>
          </cell>
          <cell r="GH174">
            <v>0</v>
          </cell>
        </row>
        <row r="175">
          <cell r="A175" t="str">
            <v>per.results'</v>
          </cell>
          <cell r="AD175">
            <v>0</v>
          </cell>
          <cell r="AJ175">
            <v>0</v>
          </cell>
          <cell r="AP175">
            <v>0</v>
          </cell>
          <cell r="AT175">
            <v>0</v>
          </cell>
          <cell r="AV175">
            <v>-434</v>
          </cell>
          <cell r="AX175">
            <v>-434</v>
          </cell>
          <cell r="AZ175" t="str">
            <v>per.results'</v>
          </cell>
          <cell r="BX175">
            <v>0</v>
          </cell>
          <cell r="CD175">
            <v>0</v>
          </cell>
          <cell r="CJ175">
            <v>0</v>
          </cell>
          <cell r="CP175">
            <v>0</v>
          </cell>
          <cell r="CT175">
            <v>0</v>
          </cell>
          <cell r="CU175">
            <v>0</v>
          </cell>
          <cell r="CV175">
            <v>1944.7980000000002</v>
          </cell>
          <cell r="CX175">
            <v>1944.7980000000002</v>
          </cell>
          <cell r="FN175">
            <v>0</v>
          </cell>
          <cell r="FO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42.30119999999998</v>
          </cell>
          <cell r="FV175">
            <v>42.30119999999998</v>
          </cell>
          <cell r="FW175" t="str">
            <v>per.results'</v>
          </cell>
          <cell r="FX175">
            <v>0</v>
          </cell>
          <cell r="FY175">
            <v>0</v>
          </cell>
          <cell r="GA175">
            <v>0</v>
          </cell>
          <cell r="GB175">
            <v>0</v>
          </cell>
          <cell r="GC175">
            <v>42.30119999999998</v>
          </cell>
          <cell r="GD175">
            <v>42.868437979554997</v>
          </cell>
          <cell r="GE175">
            <v>42.30119999999998</v>
          </cell>
          <cell r="GF175">
            <v>-9.7468202764976919E-2</v>
          </cell>
          <cell r="GG175">
            <v>676.67915349444809</v>
          </cell>
          <cell r="GH175">
            <v>0</v>
          </cell>
        </row>
        <row r="176">
          <cell r="B176" t="str">
            <v xml:space="preserve">total </v>
          </cell>
          <cell r="C176">
            <v>0</v>
          </cell>
          <cell r="E176">
            <v>0</v>
          </cell>
          <cell r="G176">
            <v>0</v>
          </cell>
          <cell r="I176">
            <v>0</v>
          </cell>
          <cell r="Q176">
            <v>0</v>
          </cell>
          <cell r="S176">
            <v>0</v>
          </cell>
          <cell r="U176">
            <v>0</v>
          </cell>
          <cell r="Z176">
            <v>0</v>
          </cell>
          <cell r="AB176">
            <v>0</v>
          </cell>
          <cell r="AD176">
            <v>0</v>
          </cell>
          <cell r="AF176">
            <v>0</v>
          </cell>
          <cell r="AH176">
            <v>0</v>
          </cell>
          <cell r="AJ176">
            <v>0</v>
          </cell>
          <cell r="AL176">
            <v>0</v>
          </cell>
          <cell r="AN176">
            <v>0</v>
          </cell>
          <cell r="AP176">
            <v>0</v>
          </cell>
          <cell r="AR176">
            <v>0</v>
          </cell>
          <cell r="AT176">
            <v>0</v>
          </cell>
          <cell r="AV176">
            <v>-327.86134841628962</v>
          </cell>
          <cell r="AX176">
            <v>-327.86134841628962</v>
          </cell>
          <cell r="BA176" t="str">
            <v xml:space="preserve">total </v>
          </cell>
          <cell r="BC176">
            <v>0</v>
          </cell>
          <cell r="BE176">
            <v>0</v>
          </cell>
          <cell r="BG176">
            <v>0</v>
          </cell>
          <cell r="BI176">
            <v>0</v>
          </cell>
          <cell r="BQ176">
            <v>0</v>
          </cell>
          <cell r="BS176">
            <v>0</v>
          </cell>
          <cell r="BU176">
            <v>0</v>
          </cell>
          <cell r="BX176">
            <v>0</v>
          </cell>
          <cell r="BZ176">
            <v>0</v>
          </cell>
          <cell r="CB176">
            <v>0</v>
          </cell>
          <cell r="CD176">
            <v>0</v>
          </cell>
          <cell r="CF176">
            <v>0</v>
          </cell>
          <cell r="CH176">
            <v>0</v>
          </cell>
          <cell r="CJ176">
            <v>0</v>
          </cell>
          <cell r="CL176">
            <v>0</v>
          </cell>
          <cell r="CN176">
            <v>0</v>
          </cell>
          <cell r="CP176">
            <v>0</v>
          </cell>
          <cell r="CR176">
            <v>0</v>
          </cell>
          <cell r="CT176">
            <v>0</v>
          </cell>
          <cell r="CU176">
            <v>0</v>
          </cell>
          <cell r="CV176">
            <v>2798.297</v>
          </cell>
          <cell r="CX176">
            <v>2798.297</v>
          </cell>
          <cell r="FD176">
            <v>0</v>
          </cell>
          <cell r="FE176">
            <v>0</v>
          </cell>
          <cell r="FI176">
            <v>0</v>
          </cell>
          <cell r="FM176">
            <v>0</v>
          </cell>
          <cell r="FN176">
            <v>0</v>
          </cell>
          <cell r="FO176">
            <v>0</v>
          </cell>
          <cell r="FP176">
            <v>0</v>
          </cell>
          <cell r="FQ176">
            <v>0</v>
          </cell>
          <cell r="FR176">
            <v>0</v>
          </cell>
          <cell r="FS176">
            <v>0</v>
          </cell>
          <cell r="FT176">
            <v>0</v>
          </cell>
          <cell r="FU176">
            <v>663.22264598301774</v>
          </cell>
          <cell r="FV176">
            <v>663.22264598301774</v>
          </cell>
          <cell r="FX176">
            <v>0</v>
          </cell>
          <cell r="FY176">
            <v>0</v>
          </cell>
          <cell r="FZ176">
            <v>0</v>
          </cell>
          <cell r="GA176">
            <v>0</v>
          </cell>
          <cell r="GB176">
            <v>0</v>
          </cell>
          <cell r="GC176">
            <v>663.22264598301774</v>
          </cell>
          <cell r="GD176">
            <v>672.11613065254335</v>
          </cell>
          <cell r="GE176">
            <v>663.22264598301774</v>
          </cell>
          <cell r="GF176">
            <v>-2.0228753684649514</v>
          </cell>
          <cell r="GG176">
            <v>621.79926859685338</v>
          </cell>
          <cell r="GH176">
            <v>0</v>
          </cell>
        </row>
        <row r="177">
          <cell r="A177" t="str">
            <v>S.S.C.</v>
          </cell>
          <cell r="B177">
            <v>0.3</v>
          </cell>
          <cell r="AD177">
            <v>0</v>
          </cell>
          <cell r="AJ177">
            <v>0</v>
          </cell>
          <cell r="AP177">
            <v>0</v>
          </cell>
          <cell r="AT177">
            <v>0</v>
          </cell>
          <cell r="AV177">
            <v>1478</v>
          </cell>
          <cell r="AX177">
            <v>1478</v>
          </cell>
          <cell r="AZ177" t="str">
            <v>S.S.C.</v>
          </cell>
          <cell r="BA177">
            <v>0.3</v>
          </cell>
          <cell r="BX177">
            <v>0</v>
          </cell>
          <cell r="CD177">
            <v>0</v>
          </cell>
          <cell r="CJ177">
            <v>0</v>
          </cell>
          <cell r="CP177">
            <v>0</v>
          </cell>
          <cell r="CT177">
            <v>0</v>
          </cell>
          <cell r="CU177">
            <v>0</v>
          </cell>
          <cell r="CV177">
            <v>6171.54</v>
          </cell>
          <cell r="CX177">
            <v>6171.54</v>
          </cell>
          <cell r="FO177">
            <v>0</v>
          </cell>
          <cell r="FR177">
            <v>0</v>
          </cell>
          <cell r="FS177">
            <v>0</v>
          </cell>
          <cell r="FT177">
            <v>0</v>
          </cell>
          <cell r="FU177">
            <v>6171.5313000000015</v>
          </cell>
          <cell r="FV177">
            <v>6171.5313000000015</v>
          </cell>
          <cell r="FW177" t="str">
            <v>S.S.C.</v>
          </cell>
          <cell r="FX177">
            <v>0</v>
          </cell>
          <cell r="FY177">
            <v>0</v>
          </cell>
          <cell r="GA177">
            <v>0</v>
          </cell>
          <cell r="GB177">
            <v>0</v>
          </cell>
          <cell r="GC177">
            <v>6171.5313000000015</v>
          </cell>
          <cell r="GD177">
            <v>6254.2884545339766</v>
          </cell>
          <cell r="GE177">
            <v>6171.5313000000015</v>
          </cell>
          <cell r="GF177">
            <v>4.1755962787550756</v>
          </cell>
          <cell r="GG177">
            <v>2417.9216198563036</v>
          </cell>
          <cell r="GH177">
            <v>0</v>
          </cell>
        </row>
        <row r="178">
          <cell r="A178" t="str">
            <v>accum.loss</v>
          </cell>
          <cell r="AD178">
            <v>0</v>
          </cell>
          <cell r="AJ178">
            <v>0</v>
          </cell>
          <cell r="AN178">
            <v>0</v>
          </cell>
          <cell r="AP178">
            <v>0</v>
          </cell>
          <cell r="AT178">
            <v>0</v>
          </cell>
          <cell r="AV178">
            <v>-2514.8230000000003</v>
          </cell>
          <cell r="AX178">
            <v>-2514.8230000000003</v>
          </cell>
          <cell r="AZ178" t="str">
            <v>accum.loss</v>
          </cell>
          <cell r="BX178">
            <v>0</v>
          </cell>
          <cell r="CD178">
            <v>0</v>
          </cell>
          <cell r="CJ178">
            <v>0</v>
          </cell>
          <cell r="CP178">
            <v>0</v>
          </cell>
          <cell r="CT178">
            <v>0</v>
          </cell>
          <cell r="CU178">
            <v>0</v>
          </cell>
          <cell r="CV178">
            <v>-1211.5911000000003</v>
          </cell>
          <cell r="CX178">
            <v>-1211.5911000000003</v>
          </cell>
          <cell r="FN178">
            <v>0</v>
          </cell>
          <cell r="FO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-12442.186800000001</v>
          </cell>
          <cell r="FV178">
            <v>-12442.186800000001</v>
          </cell>
          <cell r="FW178" t="str">
            <v>accum.loss</v>
          </cell>
          <cell r="FX178">
            <v>0</v>
          </cell>
          <cell r="FY178">
            <v>0</v>
          </cell>
          <cell r="GA178">
            <v>0</v>
          </cell>
          <cell r="GB178">
            <v>0</v>
          </cell>
          <cell r="GC178">
            <v>-12442.186800000001</v>
          </cell>
          <cell r="GD178">
            <v>-12609.030315117257</v>
          </cell>
          <cell r="GE178">
            <v>-12442.186800000001</v>
          </cell>
          <cell r="GF178">
            <v>4.9475397672122448</v>
          </cell>
          <cell r="GG178">
            <v>-8884.0182037544473</v>
          </cell>
          <cell r="GH178">
            <v>0</v>
          </cell>
        </row>
        <row r="179">
          <cell r="A179" t="str">
            <v>per.results'</v>
          </cell>
          <cell r="AD179">
            <v>0</v>
          </cell>
          <cell r="AJ179">
            <v>0</v>
          </cell>
          <cell r="AP179">
            <v>0</v>
          </cell>
          <cell r="AT179">
            <v>0</v>
          </cell>
          <cell r="AV179">
            <v>-2171</v>
          </cell>
          <cell r="AX179">
            <v>-2171</v>
          </cell>
          <cell r="AZ179" t="str">
            <v>per.results'</v>
          </cell>
          <cell r="BX179">
            <v>0</v>
          </cell>
          <cell r="CD179">
            <v>0</v>
          </cell>
          <cell r="CJ179">
            <v>0</v>
          </cell>
          <cell r="CP179">
            <v>0</v>
          </cell>
          <cell r="CT179">
            <v>0</v>
          </cell>
          <cell r="CU179">
            <v>0</v>
          </cell>
          <cell r="CV179">
            <v>-6685.6035000000002</v>
          </cell>
          <cell r="CX179">
            <v>-6685.6035000000002</v>
          </cell>
          <cell r="FN179">
            <v>0</v>
          </cell>
          <cell r="FO179">
            <v>0</v>
          </cell>
          <cell r="FR179">
            <v>0</v>
          </cell>
          <cell r="FS179">
            <v>0</v>
          </cell>
          <cell r="FT179">
            <v>0</v>
          </cell>
          <cell r="FU179">
            <v>-7279.2345657000005</v>
          </cell>
          <cell r="FV179">
            <v>-7279.2345657000005</v>
          </cell>
          <cell r="FW179" t="str">
            <v>per.results'</v>
          </cell>
          <cell r="FX179">
            <v>0</v>
          </cell>
          <cell r="FY179">
            <v>0</v>
          </cell>
          <cell r="GA179">
            <v>0</v>
          </cell>
          <cell r="GB179">
            <v>0</v>
          </cell>
          <cell r="GC179">
            <v>-7279.2345657000005</v>
          </cell>
          <cell r="GD179">
            <v>-7376.8454681745106</v>
          </cell>
          <cell r="GE179">
            <v>-7279.2345657000005</v>
          </cell>
          <cell r="GF179">
            <v>3.3529408409488717</v>
          </cell>
          <cell r="GG179">
            <v>-5974.7429784454607</v>
          </cell>
          <cell r="GH179">
            <v>0</v>
          </cell>
        </row>
        <row r="180">
          <cell r="B180" t="str">
            <v xml:space="preserve">total </v>
          </cell>
          <cell r="C180">
            <v>0</v>
          </cell>
          <cell r="E180">
            <v>0</v>
          </cell>
          <cell r="G180">
            <v>0</v>
          </cell>
          <cell r="I180">
            <v>0</v>
          </cell>
          <cell r="Q180">
            <v>0</v>
          </cell>
          <cell r="S180">
            <v>0</v>
          </cell>
          <cell r="U180">
            <v>0</v>
          </cell>
          <cell r="Z180">
            <v>0</v>
          </cell>
          <cell r="AB180">
            <v>0</v>
          </cell>
          <cell r="AD180">
            <v>0</v>
          </cell>
          <cell r="AF180">
            <v>0</v>
          </cell>
          <cell r="AH180">
            <v>0</v>
          </cell>
          <cell r="AJ180">
            <v>0</v>
          </cell>
          <cell r="AL180">
            <v>0</v>
          </cell>
          <cell r="AN180">
            <v>0</v>
          </cell>
          <cell r="AP180">
            <v>0</v>
          </cell>
          <cell r="AR180">
            <v>0</v>
          </cell>
          <cell r="AT180">
            <v>0</v>
          </cell>
          <cell r="AV180">
            <v>-3207.8230000000003</v>
          </cell>
          <cell r="AX180">
            <v>-3207.8230000000003</v>
          </cell>
          <cell r="BA180" t="str">
            <v xml:space="preserve">total </v>
          </cell>
          <cell r="BC180">
            <v>0</v>
          </cell>
          <cell r="BE180">
            <v>0</v>
          </cell>
          <cell r="BG180">
            <v>0</v>
          </cell>
          <cell r="BI180">
            <v>0</v>
          </cell>
          <cell r="BQ180">
            <v>0</v>
          </cell>
          <cell r="BS180">
            <v>0</v>
          </cell>
          <cell r="BU180">
            <v>0</v>
          </cell>
          <cell r="BX180">
            <v>0</v>
          </cell>
          <cell r="BZ180">
            <v>0</v>
          </cell>
          <cell r="CB180">
            <v>0</v>
          </cell>
          <cell r="CD180">
            <v>0</v>
          </cell>
          <cell r="CF180">
            <v>0</v>
          </cell>
          <cell r="CH180">
            <v>0</v>
          </cell>
          <cell r="CJ180">
            <v>0</v>
          </cell>
          <cell r="CL180">
            <v>0</v>
          </cell>
          <cell r="CN180">
            <v>0</v>
          </cell>
          <cell r="CP180">
            <v>0</v>
          </cell>
          <cell r="CR180">
            <v>0</v>
          </cell>
          <cell r="CT180">
            <v>0</v>
          </cell>
          <cell r="CU180">
            <v>0</v>
          </cell>
          <cell r="CV180">
            <v>-1725.6545999999998</v>
          </cell>
          <cell r="CX180">
            <v>-1725.6545999999998</v>
          </cell>
          <cell r="FD180">
            <v>0</v>
          </cell>
          <cell r="FE180">
            <v>0</v>
          </cell>
          <cell r="FI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-13549.890065700001</v>
          </cell>
          <cell r="FV180">
            <v>-13549.890065700001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-13549.890065700001</v>
          </cell>
          <cell r="GD180">
            <v>-13731.587328757792</v>
          </cell>
          <cell r="GE180">
            <v>-13549.890065700001</v>
          </cell>
          <cell r="GF180">
            <v>4.2240142506927594</v>
          </cell>
          <cell r="GG180">
            <v>-12440.839562343603</v>
          </cell>
          <cell r="GH180">
            <v>0</v>
          </cell>
        </row>
        <row r="181">
          <cell r="A181" t="str">
            <v>EDOM</v>
          </cell>
          <cell r="B181">
            <v>0.3</v>
          </cell>
          <cell r="AB181">
            <v>-9.8000000000000004E-2</v>
          </cell>
          <cell r="AD181">
            <v>-9.8000000000000004E-2</v>
          </cell>
          <cell r="AT181">
            <v>-9.8000000000000004E-2</v>
          </cell>
          <cell r="AX181">
            <v>-9.8000000000000004E-2</v>
          </cell>
          <cell r="AZ181" t="str">
            <v>EDOM</v>
          </cell>
          <cell r="BA181">
            <v>0.3</v>
          </cell>
          <cell r="BX181">
            <v>0</v>
          </cell>
          <cell r="CB181">
            <v>-0.3</v>
          </cell>
          <cell r="CD181">
            <v>-0.3</v>
          </cell>
          <cell r="CT181">
            <v>-0.3</v>
          </cell>
          <cell r="CU181">
            <v>0</v>
          </cell>
          <cell r="CX181">
            <v>-0.3</v>
          </cell>
          <cell r="FM181">
            <v>0.7</v>
          </cell>
          <cell r="FN181">
            <v>0.7</v>
          </cell>
          <cell r="FS181">
            <v>0</v>
          </cell>
          <cell r="FT181">
            <v>0.7</v>
          </cell>
          <cell r="FV181">
            <v>0.7</v>
          </cell>
          <cell r="FW181" t="str">
            <v>EDOM</v>
          </cell>
          <cell r="FX181">
            <v>0.7</v>
          </cell>
          <cell r="FY181">
            <v>0</v>
          </cell>
          <cell r="GA181">
            <v>0.7</v>
          </cell>
          <cell r="GB181">
            <v>0.70938665063138895</v>
          </cell>
          <cell r="GC181">
            <v>0.7</v>
          </cell>
          <cell r="GD181">
            <v>0.70938665063138895</v>
          </cell>
          <cell r="GE181">
            <v>0</v>
          </cell>
          <cell r="GF181">
            <v>-7.1428571428571423</v>
          </cell>
          <cell r="GG181">
            <v>-0.34476564337034621</v>
          </cell>
          <cell r="GH181">
            <v>0</v>
          </cell>
        </row>
        <row r="182">
          <cell r="A182" t="str">
            <v>accum.profit</v>
          </cell>
          <cell r="AB182">
            <v>-51.3</v>
          </cell>
          <cell r="AD182">
            <v>-51.3</v>
          </cell>
          <cell r="AT182">
            <v>-51.3</v>
          </cell>
          <cell r="AX182">
            <v>-51.3</v>
          </cell>
          <cell r="AZ182" t="str">
            <v>accum.profit</v>
          </cell>
          <cell r="BX182">
            <v>0</v>
          </cell>
          <cell r="CB182">
            <v>-44.1</v>
          </cell>
          <cell r="CD182">
            <v>-44.1</v>
          </cell>
          <cell r="CT182">
            <v>-44.1</v>
          </cell>
          <cell r="CU182">
            <v>0</v>
          </cell>
          <cell r="CX182">
            <v>-44.1</v>
          </cell>
          <cell r="FM182">
            <v>-186.9</v>
          </cell>
          <cell r="FN182">
            <v>-186.9</v>
          </cell>
          <cell r="FR182">
            <v>0</v>
          </cell>
          <cell r="FS182">
            <v>0</v>
          </cell>
          <cell r="FT182">
            <v>-186.9</v>
          </cell>
          <cell r="FV182">
            <v>-186.9</v>
          </cell>
          <cell r="FW182" t="str">
            <v>accum.profit</v>
          </cell>
          <cell r="FX182">
            <v>-186.9</v>
          </cell>
          <cell r="FY182">
            <v>0</v>
          </cell>
          <cell r="GA182">
            <v>-186.9</v>
          </cell>
          <cell r="GB182">
            <v>-189.40623571858086</v>
          </cell>
          <cell r="GC182">
            <v>-186.9</v>
          </cell>
          <cell r="GD182">
            <v>-189.40623571858086</v>
          </cell>
          <cell r="GE182">
            <v>0</v>
          </cell>
          <cell r="GF182">
            <v>3.6432748538011701</v>
          </cell>
          <cell r="GG182">
            <v>-61.573870053730893</v>
          </cell>
          <cell r="GH182">
            <v>0</v>
          </cell>
        </row>
        <row r="183">
          <cell r="A183" t="str">
            <v>per.results'</v>
          </cell>
          <cell r="AB183">
            <v>-70.873999999999995</v>
          </cell>
          <cell r="AD183">
            <v>-70.873999999999995</v>
          </cell>
          <cell r="AT183">
            <v>-70.873999999999995</v>
          </cell>
          <cell r="AX183">
            <v>-70.873999999999995</v>
          </cell>
          <cell r="AZ183" t="str">
            <v>per.results'</v>
          </cell>
          <cell r="BX183">
            <v>0</v>
          </cell>
          <cell r="CB183">
            <v>-184.536</v>
          </cell>
          <cell r="CD183">
            <v>-184.536</v>
          </cell>
          <cell r="CT183">
            <v>-184.536</v>
          </cell>
          <cell r="CU183">
            <v>0</v>
          </cell>
          <cell r="CX183">
            <v>-184.536</v>
          </cell>
          <cell r="FM183">
            <v>-234.244</v>
          </cell>
          <cell r="FN183">
            <v>-234.244</v>
          </cell>
          <cell r="FR183">
            <v>0</v>
          </cell>
          <cell r="FS183">
            <v>0</v>
          </cell>
          <cell r="FT183">
            <v>-234.244</v>
          </cell>
          <cell r="FV183">
            <v>-234.244</v>
          </cell>
          <cell r="FW183" t="str">
            <v>per.results'</v>
          </cell>
          <cell r="FX183">
            <v>-234.244</v>
          </cell>
          <cell r="FY183">
            <v>0</v>
          </cell>
          <cell r="GA183">
            <v>-234.244</v>
          </cell>
          <cell r="GB183">
            <v>-237.38509512928442</v>
          </cell>
          <cell r="GC183">
            <v>-234.244</v>
          </cell>
          <cell r="GD183">
            <v>-237.38509512928442</v>
          </cell>
          <cell r="GE183">
            <v>0</v>
          </cell>
          <cell r="GF183">
            <v>3.3050766148375992</v>
          </cell>
          <cell r="GG183">
            <v>-134.74064500099917</v>
          </cell>
          <cell r="GH183">
            <v>0</v>
          </cell>
        </row>
        <row r="184">
          <cell r="C184">
            <v>0</v>
          </cell>
          <cell r="E184">
            <v>0</v>
          </cell>
          <cell r="G184">
            <v>0</v>
          </cell>
          <cell r="I184">
            <v>0</v>
          </cell>
          <cell r="Q184">
            <v>0</v>
          </cell>
          <cell r="S184">
            <v>0</v>
          </cell>
          <cell r="U184">
            <v>0</v>
          </cell>
          <cell r="Z184">
            <v>0</v>
          </cell>
          <cell r="AB184">
            <v>-122.27199999999999</v>
          </cell>
          <cell r="AD184">
            <v>-122.27199999999999</v>
          </cell>
          <cell r="AF184">
            <v>0</v>
          </cell>
          <cell r="AH184">
            <v>0</v>
          </cell>
          <cell r="AJ184">
            <v>0</v>
          </cell>
          <cell r="AL184">
            <v>0</v>
          </cell>
          <cell r="AN184">
            <v>0</v>
          </cell>
          <cell r="AP184">
            <v>0</v>
          </cell>
          <cell r="AR184">
            <v>0</v>
          </cell>
          <cell r="AT184">
            <v>-122.27199999999999</v>
          </cell>
          <cell r="AV184">
            <v>0</v>
          </cell>
          <cell r="AX184">
            <v>-122.27199999999999</v>
          </cell>
          <cell r="BA184" t="str">
            <v xml:space="preserve">total </v>
          </cell>
          <cell r="BC184">
            <v>0</v>
          </cell>
          <cell r="BE184">
            <v>0</v>
          </cell>
          <cell r="BG184">
            <v>0</v>
          </cell>
          <cell r="BI184">
            <v>0</v>
          </cell>
          <cell r="BQ184">
            <v>0</v>
          </cell>
          <cell r="BS184">
            <v>0</v>
          </cell>
          <cell r="BU184">
            <v>0</v>
          </cell>
          <cell r="BX184">
            <v>0</v>
          </cell>
          <cell r="BZ184">
            <v>0</v>
          </cell>
          <cell r="CB184">
            <v>-228.93600000000001</v>
          </cell>
          <cell r="CD184">
            <v>-228.93600000000001</v>
          </cell>
          <cell r="CF184">
            <v>0</v>
          </cell>
          <cell r="CH184">
            <v>0</v>
          </cell>
          <cell r="CJ184">
            <v>0</v>
          </cell>
          <cell r="CL184">
            <v>0</v>
          </cell>
          <cell r="CN184">
            <v>0</v>
          </cell>
          <cell r="CP184">
            <v>0</v>
          </cell>
          <cell r="CR184">
            <v>0</v>
          </cell>
          <cell r="CT184">
            <v>-228.93600000000001</v>
          </cell>
          <cell r="CU184">
            <v>0</v>
          </cell>
          <cell r="CV184">
            <v>0</v>
          </cell>
          <cell r="CX184">
            <v>-228.93600000000001</v>
          </cell>
          <cell r="FD184">
            <v>0</v>
          </cell>
          <cell r="FE184">
            <v>0</v>
          </cell>
          <cell r="FI184">
            <v>0</v>
          </cell>
          <cell r="FM184">
            <v>-420.44400000000002</v>
          </cell>
          <cell r="FN184">
            <v>-420.44400000000002</v>
          </cell>
          <cell r="FO184">
            <v>0</v>
          </cell>
          <cell r="FP184">
            <v>0</v>
          </cell>
          <cell r="FQ184">
            <v>0</v>
          </cell>
          <cell r="FR184">
            <v>0</v>
          </cell>
          <cell r="FS184">
            <v>0</v>
          </cell>
          <cell r="FT184">
            <v>-420.44400000000002</v>
          </cell>
          <cell r="FU184">
            <v>0</v>
          </cell>
          <cell r="FV184">
            <v>-420.44400000000002</v>
          </cell>
          <cell r="FX184">
            <v>-420.44400000000002</v>
          </cell>
          <cell r="FY184">
            <v>0</v>
          </cell>
          <cell r="FZ184">
            <v>0</v>
          </cell>
          <cell r="GA184">
            <v>-420.44400000000002</v>
          </cell>
          <cell r="GB184">
            <v>-426.0819441972339</v>
          </cell>
          <cell r="GC184">
            <v>-420.44400000000002</v>
          </cell>
          <cell r="GD184">
            <v>-426.0819441972339</v>
          </cell>
          <cell r="GE184">
            <v>0</v>
          </cell>
          <cell r="GF184">
            <v>3.4385959172991369</v>
          </cell>
          <cell r="GG184">
            <v>-196.65928069810036</v>
          </cell>
          <cell r="GH184">
            <v>0</v>
          </cell>
        </row>
        <row r="185">
          <cell r="AD185">
            <v>0</v>
          </cell>
          <cell r="AT185">
            <v>0</v>
          </cell>
          <cell r="BX185">
            <v>0</v>
          </cell>
          <cell r="CD185">
            <v>0</v>
          </cell>
          <cell r="CT185">
            <v>0</v>
          </cell>
          <cell r="CU185">
            <v>0</v>
          </cell>
          <cell r="CX185">
            <v>0</v>
          </cell>
          <cell r="FS185">
            <v>0</v>
          </cell>
          <cell r="FT185">
            <v>0</v>
          </cell>
          <cell r="FV185">
            <v>0</v>
          </cell>
          <cell r="FX185">
            <v>0</v>
          </cell>
          <cell r="FY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 t="e">
            <v>#DIV/0!</v>
          </cell>
          <cell r="GH185">
            <v>0</v>
          </cell>
        </row>
        <row r="186">
          <cell r="A186" t="str">
            <v>IDAN</v>
          </cell>
          <cell r="B186">
            <v>0.25</v>
          </cell>
          <cell r="W186">
            <v>-2</v>
          </cell>
          <cell r="AD186">
            <v>-2</v>
          </cell>
          <cell r="AT186">
            <v>-2</v>
          </cell>
          <cell r="AX186">
            <v>-2</v>
          </cell>
          <cell r="AZ186" t="str">
            <v>IDAN</v>
          </cell>
          <cell r="BW186">
            <v>-2.5</v>
          </cell>
          <cell r="BX186">
            <v>0</v>
          </cell>
          <cell r="CD186">
            <v>-2.5</v>
          </cell>
          <cell r="CT186">
            <v>-2.5</v>
          </cell>
          <cell r="CU186">
            <v>0</v>
          </cell>
          <cell r="CX186">
            <v>-2.5</v>
          </cell>
          <cell r="FS186">
            <v>0</v>
          </cell>
          <cell r="FT186">
            <v>0</v>
          </cell>
          <cell r="FV186">
            <v>0</v>
          </cell>
          <cell r="FW186" t="str">
            <v>IDAN</v>
          </cell>
          <cell r="FX186">
            <v>0</v>
          </cell>
          <cell r="FY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H186">
            <v>0</v>
          </cell>
        </row>
        <row r="187">
          <cell r="A187" t="str">
            <v>accum.profit</v>
          </cell>
          <cell r="M187">
            <v>0</v>
          </cell>
          <cell r="W187">
            <v>-1766</v>
          </cell>
          <cell r="AD187">
            <v>-1766</v>
          </cell>
          <cell r="AT187">
            <v>-1766</v>
          </cell>
          <cell r="AX187">
            <v>-1766</v>
          </cell>
          <cell r="AZ187" t="str">
            <v>accum.profit</v>
          </cell>
          <cell r="BW187">
            <v>5018</v>
          </cell>
          <cell r="BX187">
            <v>0</v>
          </cell>
          <cell r="CD187">
            <v>5018</v>
          </cell>
          <cell r="CT187">
            <v>5018</v>
          </cell>
          <cell r="CU187">
            <v>0</v>
          </cell>
          <cell r="CX187">
            <v>5018</v>
          </cell>
          <cell r="FG187">
            <v>0</v>
          </cell>
          <cell r="FJ187">
            <v>-9.25</v>
          </cell>
          <cell r="FN187">
            <v>-9.25</v>
          </cell>
          <cell r="FS187">
            <v>0</v>
          </cell>
          <cell r="FT187">
            <v>-9.25</v>
          </cell>
          <cell r="FV187">
            <v>-9.25</v>
          </cell>
          <cell r="FW187" t="str">
            <v>accum.profit</v>
          </cell>
          <cell r="FX187">
            <v>-9.25</v>
          </cell>
          <cell r="FY187">
            <v>0</v>
          </cell>
          <cell r="GA187">
            <v>-9.25</v>
          </cell>
          <cell r="GB187">
            <v>-9.3740378833433535</v>
          </cell>
          <cell r="GC187">
            <v>-9.25</v>
          </cell>
          <cell r="GD187">
            <v>-9.3740378833433535</v>
          </cell>
          <cell r="GE187">
            <v>0</v>
          </cell>
          <cell r="GF187">
            <v>5.2378255945639864E-3</v>
          </cell>
          <cell r="GH187">
            <v>0</v>
          </cell>
        </row>
        <row r="188">
          <cell r="A188" t="str">
            <v>per.results'</v>
          </cell>
          <cell r="AD188">
            <v>0</v>
          </cell>
          <cell r="AT188">
            <v>0</v>
          </cell>
          <cell r="AX188">
            <v>0</v>
          </cell>
          <cell r="AZ188" t="str">
            <v>per.results'</v>
          </cell>
          <cell r="BX188">
            <v>0</v>
          </cell>
          <cell r="CD188">
            <v>0</v>
          </cell>
          <cell r="CT188">
            <v>0</v>
          </cell>
          <cell r="CU188">
            <v>0</v>
          </cell>
          <cell r="CX188">
            <v>0</v>
          </cell>
          <cell r="FJ188">
            <v>-7886.25</v>
          </cell>
          <cell r="FN188">
            <v>-7886.25</v>
          </cell>
          <cell r="FR188">
            <v>0</v>
          </cell>
          <cell r="FS188">
            <v>0</v>
          </cell>
          <cell r="FT188">
            <v>-7886.25</v>
          </cell>
          <cell r="FV188">
            <v>-7886.25</v>
          </cell>
          <cell r="FW188" t="str">
            <v>per.results'</v>
          </cell>
          <cell r="FX188">
            <v>-7886.25</v>
          </cell>
          <cell r="FY188">
            <v>0</v>
          </cell>
          <cell r="GA188">
            <v>-7886.25</v>
          </cell>
          <cell r="GB188">
            <v>-7992.0006764882728</v>
          </cell>
          <cell r="GC188">
            <v>-7886.25</v>
          </cell>
          <cell r="GD188">
            <v>-7992.0006764882728</v>
          </cell>
          <cell r="GE188">
            <v>0</v>
          </cell>
          <cell r="GF188" t="e">
            <v>#DIV/0!</v>
          </cell>
          <cell r="GH188">
            <v>0</v>
          </cell>
        </row>
        <row r="189">
          <cell r="C189">
            <v>0</v>
          </cell>
          <cell r="E189">
            <v>0</v>
          </cell>
          <cell r="G189">
            <v>0</v>
          </cell>
          <cell r="I189">
            <v>0</v>
          </cell>
          <cell r="K189">
            <v>0</v>
          </cell>
          <cell r="O189">
            <v>0</v>
          </cell>
          <cell r="Q189">
            <v>0</v>
          </cell>
          <cell r="S189">
            <v>0</v>
          </cell>
          <cell r="U189">
            <v>0</v>
          </cell>
          <cell r="W189">
            <v>-1768</v>
          </cell>
          <cell r="Z189">
            <v>0</v>
          </cell>
          <cell r="AB189">
            <v>0</v>
          </cell>
          <cell r="AD189">
            <v>-1768</v>
          </cell>
          <cell r="AF189">
            <v>0</v>
          </cell>
          <cell r="AH189">
            <v>0</v>
          </cell>
          <cell r="AJ189">
            <v>0</v>
          </cell>
          <cell r="AL189">
            <v>0</v>
          </cell>
          <cell r="AN189">
            <v>0</v>
          </cell>
          <cell r="AP189">
            <v>0</v>
          </cell>
          <cell r="AR189">
            <v>0</v>
          </cell>
          <cell r="AT189">
            <v>-1768</v>
          </cell>
          <cell r="AV189">
            <v>0</v>
          </cell>
          <cell r="AX189">
            <v>-1768</v>
          </cell>
          <cell r="BC189">
            <v>0</v>
          </cell>
          <cell r="BE189">
            <v>0</v>
          </cell>
          <cell r="BG189">
            <v>0</v>
          </cell>
          <cell r="BI189">
            <v>0</v>
          </cell>
          <cell r="BK189">
            <v>0</v>
          </cell>
          <cell r="BM189">
            <v>0</v>
          </cell>
          <cell r="BO189">
            <v>0</v>
          </cell>
          <cell r="BQ189">
            <v>0</v>
          </cell>
          <cell r="BS189">
            <v>0</v>
          </cell>
          <cell r="BU189">
            <v>0</v>
          </cell>
          <cell r="BW189">
            <v>5015.5</v>
          </cell>
          <cell r="BX189">
            <v>0</v>
          </cell>
          <cell r="BZ189">
            <v>0</v>
          </cell>
          <cell r="CB189">
            <v>0</v>
          </cell>
          <cell r="CD189">
            <v>5015.5</v>
          </cell>
          <cell r="CF189">
            <v>0</v>
          </cell>
          <cell r="CH189">
            <v>0</v>
          </cell>
          <cell r="CJ189">
            <v>0</v>
          </cell>
          <cell r="CL189">
            <v>0</v>
          </cell>
          <cell r="CN189">
            <v>0</v>
          </cell>
          <cell r="CP189">
            <v>0</v>
          </cell>
          <cell r="CR189">
            <v>0</v>
          </cell>
          <cell r="CT189">
            <v>5015.5</v>
          </cell>
          <cell r="CU189">
            <v>0</v>
          </cell>
          <cell r="CV189">
            <v>0</v>
          </cell>
          <cell r="CX189">
            <v>5015.5</v>
          </cell>
          <cell r="FD189">
            <v>0</v>
          </cell>
          <cell r="FE189">
            <v>0</v>
          </cell>
          <cell r="FH189">
            <v>0</v>
          </cell>
          <cell r="FI189">
            <v>0</v>
          </cell>
          <cell r="FJ189">
            <v>-7895.5</v>
          </cell>
          <cell r="FM189">
            <v>0</v>
          </cell>
          <cell r="FN189">
            <v>-7895.5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-7895.5</v>
          </cell>
          <cell r="FU189">
            <v>0</v>
          </cell>
          <cell r="FV189">
            <v>-7895.5</v>
          </cell>
          <cell r="FX189">
            <v>-7895.5</v>
          </cell>
          <cell r="FY189">
            <v>0</v>
          </cell>
          <cell r="FZ189">
            <v>0</v>
          </cell>
          <cell r="GA189">
            <v>-7895.5</v>
          </cell>
          <cell r="GB189">
            <v>-8001.3747143716164</v>
          </cell>
          <cell r="GC189">
            <v>-7895.5</v>
          </cell>
          <cell r="GD189">
            <v>-8001.3747143716164</v>
          </cell>
          <cell r="GE189">
            <v>0</v>
          </cell>
          <cell r="GF189">
            <v>4.4657805429864252</v>
          </cell>
          <cell r="GH189">
            <v>0</v>
          </cell>
        </row>
        <row r="190">
          <cell r="AT190">
            <v>0</v>
          </cell>
          <cell r="BX190">
            <v>0</v>
          </cell>
          <cell r="CD190">
            <v>0</v>
          </cell>
          <cell r="CT190">
            <v>0</v>
          </cell>
          <cell r="CU190">
            <v>0</v>
          </cell>
          <cell r="FS190">
            <v>0</v>
          </cell>
          <cell r="FX190">
            <v>0</v>
          </cell>
          <cell r="FY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 t="e">
            <v>#DIV/0!</v>
          </cell>
          <cell r="GH190">
            <v>0</v>
          </cell>
        </row>
        <row r="191">
          <cell r="A191" t="str">
            <v>T.L.M.</v>
          </cell>
          <cell r="B191">
            <v>0.32550000000000001</v>
          </cell>
          <cell r="C191">
            <v>0</v>
          </cell>
          <cell r="AD191">
            <v>0</v>
          </cell>
          <cell r="AJ191">
            <v>0</v>
          </cell>
          <cell r="AN191">
            <v>2378</v>
          </cell>
          <cell r="AP191">
            <v>2378</v>
          </cell>
          <cell r="AT191">
            <v>2378</v>
          </cell>
          <cell r="AX191">
            <v>2378</v>
          </cell>
          <cell r="AZ191" t="str">
            <v>T.L.M.</v>
          </cell>
          <cell r="BA191">
            <v>0.3</v>
          </cell>
          <cell r="BX191">
            <v>0</v>
          </cell>
          <cell r="CD191">
            <v>0</v>
          </cell>
          <cell r="CH191">
            <v>0</v>
          </cell>
          <cell r="CJ191">
            <v>0</v>
          </cell>
          <cell r="CN191">
            <v>9928</v>
          </cell>
          <cell r="CP191">
            <v>9928</v>
          </cell>
          <cell r="CT191">
            <v>9928</v>
          </cell>
          <cell r="CU191">
            <v>0</v>
          </cell>
          <cell r="CX191">
            <v>9928</v>
          </cell>
          <cell r="FO191">
            <v>0</v>
          </cell>
          <cell r="FQ191">
            <v>9929</v>
          </cell>
          <cell r="FR191">
            <v>9929</v>
          </cell>
          <cell r="FS191">
            <v>0</v>
          </cell>
          <cell r="FT191">
            <v>9929</v>
          </cell>
          <cell r="FV191">
            <v>9929</v>
          </cell>
          <cell r="FW191" t="str">
            <v>T.L.M.</v>
          </cell>
          <cell r="FX191">
            <v>0</v>
          </cell>
          <cell r="FY191">
            <v>9929</v>
          </cell>
          <cell r="GA191">
            <v>9929</v>
          </cell>
          <cell r="GB191">
            <v>10062.142934455802</v>
          </cell>
          <cell r="GC191">
            <v>9929</v>
          </cell>
          <cell r="GD191">
            <v>10062.142934455802</v>
          </cell>
          <cell r="GE191">
            <v>0</v>
          </cell>
          <cell r="GF191">
            <v>4.175357443229605</v>
          </cell>
          <cell r="GG191">
            <v>3889.2041149575443</v>
          </cell>
          <cell r="GH191">
            <v>0</v>
          </cell>
          <cell r="GT191" t="str">
            <v xml:space="preserve">דוח דולר  </v>
          </cell>
        </row>
        <row r="192">
          <cell r="A192" t="str">
            <v>accum.profit</v>
          </cell>
          <cell r="AD192">
            <v>0</v>
          </cell>
          <cell r="AJ192">
            <v>0</v>
          </cell>
          <cell r="AN192">
            <v>-4136</v>
          </cell>
          <cell r="AP192">
            <v>-4136</v>
          </cell>
          <cell r="AT192">
            <v>-4136</v>
          </cell>
          <cell r="AX192">
            <v>-4136</v>
          </cell>
          <cell r="AZ192" t="str">
            <v>accum.profit</v>
          </cell>
          <cell r="BX192">
            <v>0</v>
          </cell>
          <cell r="CD192">
            <v>0</v>
          </cell>
          <cell r="CJ192">
            <v>0</v>
          </cell>
          <cell r="CN192">
            <v>-2373</v>
          </cell>
          <cell r="CP192">
            <v>-2373</v>
          </cell>
          <cell r="CT192">
            <v>-2373</v>
          </cell>
          <cell r="CU192">
            <v>0</v>
          </cell>
          <cell r="CX192">
            <v>-2373</v>
          </cell>
          <cell r="FN192">
            <v>0</v>
          </cell>
          <cell r="FO192">
            <v>0</v>
          </cell>
          <cell r="FQ192">
            <v>-20312</v>
          </cell>
          <cell r="FR192">
            <v>-20312</v>
          </cell>
          <cell r="FS192">
            <v>0</v>
          </cell>
          <cell r="FT192">
            <v>-20312</v>
          </cell>
          <cell r="FV192">
            <v>-20312</v>
          </cell>
          <cell r="FW192" t="str">
            <v>accum.profit</v>
          </cell>
          <cell r="FX192">
            <v>0</v>
          </cell>
          <cell r="FY192">
            <v>-20312</v>
          </cell>
          <cell r="GA192">
            <v>-20312</v>
          </cell>
          <cell r="GB192">
            <v>-20584.373782321105</v>
          </cell>
          <cell r="GC192">
            <v>-20312</v>
          </cell>
          <cell r="GD192">
            <v>-20584.373782321105</v>
          </cell>
          <cell r="GE192">
            <v>0</v>
          </cell>
          <cell r="GF192">
            <v>4.9110251450676978</v>
          </cell>
          <cell r="GG192">
            <v>-14495.417300457219</v>
          </cell>
          <cell r="GH192">
            <v>0</v>
          </cell>
        </row>
        <row r="193">
          <cell r="A193" t="str">
            <v>per.results'</v>
          </cell>
          <cell r="AD193">
            <v>0</v>
          </cell>
          <cell r="AJ193">
            <v>0</v>
          </cell>
          <cell r="AN193">
            <v>-3502</v>
          </cell>
          <cell r="AP193">
            <v>-3502</v>
          </cell>
          <cell r="AT193">
            <v>-3502</v>
          </cell>
          <cell r="AX193">
            <v>-3502</v>
          </cell>
          <cell r="AZ193" t="str">
            <v>per.results'</v>
          </cell>
          <cell r="BX193">
            <v>0</v>
          </cell>
          <cell r="CD193">
            <v>0</v>
          </cell>
          <cell r="CJ193">
            <v>0</v>
          </cell>
          <cell r="CN193">
            <v>-10867</v>
          </cell>
          <cell r="CP193">
            <v>-10867</v>
          </cell>
          <cell r="CT193">
            <v>-10867</v>
          </cell>
          <cell r="CU193">
            <v>0</v>
          </cell>
          <cell r="CX193">
            <v>-10867</v>
          </cell>
          <cell r="FN193">
            <v>0</v>
          </cell>
          <cell r="FO193">
            <v>0</v>
          </cell>
          <cell r="FQ193">
            <v>-11813</v>
          </cell>
          <cell r="FR193">
            <v>-11813</v>
          </cell>
          <cell r="FS193">
            <v>0</v>
          </cell>
          <cell r="FT193">
            <v>-11813</v>
          </cell>
          <cell r="FV193">
            <v>-11813</v>
          </cell>
          <cell r="FW193" t="str">
            <v>per.results'</v>
          </cell>
          <cell r="FX193">
            <v>0</v>
          </cell>
          <cell r="FY193">
            <v>-11813</v>
          </cell>
          <cell r="GA193">
            <v>-11813</v>
          </cell>
          <cell r="GB193">
            <v>-11971.40643415514</v>
          </cell>
          <cell r="GC193">
            <v>-11813</v>
          </cell>
          <cell r="GD193">
            <v>-11971.40643415514</v>
          </cell>
          <cell r="GE193">
            <v>0</v>
          </cell>
          <cell r="GF193">
            <v>3.3732153055396914</v>
          </cell>
          <cell r="GG193">
            <v>-9705.3320868713272</v>
          </cell>
          <cell r="GH193">
            <v>0</v>
          </cell>
        </row>
        <row r="194">
          <cell r="B194" t="str">
            <v xml:space="preserve">total </v>
          </cell>
          <cell r="C194">
            <v>0</v>
          </cell>
          <cell r="E194">
            <v>0</v>
          </cell>
          <cell r="G194">
            <v>0</v>
          </cell>
          <cell r="I194">
            <v>0</v>
          </cell>
          <cell r="Q194">
            <v>0</v>
          </cell>
          <cell r="S194">
            <v>0</v>
          </cell>
          <cell r="U194">
            <v>0</v>
          </cell>
          <cell r="Z194">
            <v>0</v>
          </cell>
          <cell r="AB194">
            <v>0</v>
          </cell>
          <cell r="AD194">
            <v>0</v>
          </cell>
          <cell r="AF194">
            <v>0</v>
          </cell>
          <cell r="AH194">
            <v>0</v>
          </cell>
          <cell r="AJ194">
            <v>0</v>
          </cell>
          <cell r="AL194">
            <v>0</v>
          </cell>
          <cell r="AN194">
            <v>-5260</v>
          </cell>
          <cell r="AP194">
            <v>-5260</v>
          </cell>
          <cell r="AR194">
            <v>0</v>
          </cell>
          <cell r="AT194">
            <v>-5260</v>
          </cell>
          <cell r="AV194">
            <v>0</v>
          </cell>
          <cell r="AX194">
            <v>-5260</v>
          </cell>
          <cell r="BA194" t="str">
            <v xml:space="preserve">total </v>
          </cell>
          <cell r="BC194">
            <v>0</v>
          </cell>
          <cell r="BE194">
            <v>0</v>
          </cell>
          <cell r="BG194">
            <v>0</v>
          </cell>
          <cell r="BI194">
            <v>0</v>
          </cell>
          <cell r="BQ194">
            <v>0</v>
          </cell>
          <cell r="BS194">
            <v>0</v>
          </cell>
          <cell r="BU194">
            <v>0</v>
          </cell>
          <cell r="BX194">
            <v>0</v>
          </cell>
          <cell r="BZ194">
            <v>0</v>
          </cell>
          <cell r="CB194">
            <v>0</v>
          </cell>
          <cell r="CD194">
            <v>0</v>
          </cell>
          <cell r="CF194">
            <v>0</v>
          </cell>
          <cell r="CH194">
            <v>0</v>
          </cell>
          <cell r="CJ194">
            <v>0</v>
          </cell>
          <cell r="CL194">
            <v>0</v>
          </cell>
          <cell r="CN194">
            <v>-3312</v>
          </cell>
          <cell r="CP194">
            <v>-3312</v>
          </cell>
          <cell r="CR194">
            <v>0</v>
          </cell>
          <cell r="CT194">
            <v>-3312</v>
          </cell>
          <cell r="CU194">
            <v>0</v>
          </cell>
          <cell r="CV194">
            <v>0</v>
          </cell>
          <cell r="CX194">
            <v>-3312</v>
          </cell>
          <cell r="FD194">
            <v>0</v>
          </cell>
          <cell r="FE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-22196</v>
          </cell>
          <cell r="FR194">
            <v>-22196</v>
          </cell>
          <cell r="FT194">
            <v>-22196</v>
          </cell>
          <cell r="FU194">
            <v>0</v>
          </cell>
          <cell r="FV194">
            <v>-22196</v>
          </cell>
          <cell r="FX194">
            <v>0</v>
          </cell>
          <cell r="FY194">
            <v>-22196</v>
          </cell>
          <cell r="FZ194">
            <v>0</v>
          </cell>
          <cell r="GA194">
            <v>-22196</v>
          </cell>
          <cell r="GB194">
            <v>-22493.637282020441</v>
          </cell>
          <cell r="GC194">
            <v>-22196</v>
          </cell>
          <cell r="GD194">
            <v>-22493.637282020441</v>
          </cell>
          <cell r="GE194">
            <v>0</v>
          </cell>
          <cell r="GF194">
            <v>4.2197718631178711</v>
          </cell>
          <cell r="GG194">
            <v>-20311.545272371004</v>
          </cell>
          <cell r="GH194">
            <v>0</v>
          </cell>
        </row>
        <row r="195">
          <cell r="BX195">
            <v>0</v>
          </cell>
          <cell r="CU195">
            <v>0</v>
          </cell>
          <cell r="FX195">
            <v>0</v>
          </cell>
          <cell r="FY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 t="e">
            <v>#DIV/0!</v>
          </cell>
        </row>
        <row r="196">
          <cell r="A196" t="str">
            <v>NETCOM</v>
          </cell>
          <cell r="M196">
            <v>0</v>
          </cell>
          <cell r="O196">
            <v>20</v>
          </cell>
          <cell r="AT196">
            <v>20</v>
          </cell>
          <cell r="AX196">
            <v>20</v>
          </cell>
          <cell r="AZ196" t="str">
            <v>NETCOM</v>
          </cell>
          <cell r="BO196">
            <v>85.5</v>
          </cell>
          <cell r="BX196">
            <v>0</v>
          </cell>
          <cell r="CT196">
            <v>85.5</v>
          </cell>
          <cell r="CU196">
            <v>0</v>
          </cell>
          <cell r="CX196">
            <v>85.5</v>
          </cell>
          <cell r="FH196">
            <v>84</v>
          </cell>
          <cell r="FT196">
            <v>84</v>
          </cell>
          <cell r="FV196">
            <v>84</v>
          </cell>
          <cell r="FW196" t="str">
            <v>NETCOM</v>
          </cell>
          <cell r="FX196">
            <v>0</v>
          </cell>
          <cell r="FY196">
            <v>0</v>
          </cell>
          <cell r="GA196">
            <v>0</v>
          </cell>
          <cell r="GB196">
            <v>0</v>
          </cell>
          <cell r="GC196">
            <v>84</v>
          </cell>
          <cell r="GD196">
            <v>85.126398075766687</v>
          </cell>
          <cell r="GE196">
            <v>84</v>
          </cell>
          <cell r="GF196">
            <v>4.2</v>
          </cell>
        </row>
        <row r="197">
          <cell r="M197">
            <v>0</v>
          </cell>
          <cell r="AT197">
            <v>0</v>
          </cell>
          <cell r="BX197">
            <v>0</v>
          </cell>
          <cell r="CT197">
            <v>0</v>
          </cell>
          <cell r="CU197">
            <v>0</v>
          </cell>
          <cell r="FI197">
            <v>0</v>
          </cell>
          <cell r="FS197">
            <v>0</v>
          </cell>
          <cell r="FX197">
            <v>0</v>
          </cell>
          <cell r="FY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 t="e">
            <v>#DIV/0!</v>
          </cell>
        </row>
        <row r="198">
          <cell r="A198" t="str">
            <v>TOTAL MINORITY INTERESTS</v>
          </cell>
          <cell r="C198">
            <v>0</v>
          </cell>
          <cell r="E198">
            <v>0</v>
          </cell>
          <cell r="G198">
            <v>0</v>
          </cell>
          <cell r="I198">
            <v>0</v>
          </cell>
          <cell r="K198">
            <v>0</v>
          </cell>
          <cell r="L198">
            <v>0</v>
          </cell>
          <cell r="O198">
            <v>20</v>
          </cell>
          <cell r="Q198">
            <v>0</v>
          </cell>
          <cell r="S198">
            <v>0</v>
          </cell>
          <cell r="U198">
            <v>0</v>
          </cell>
          <cell r="W198">
            <v>-1768</v>
          </cell>
          <cell r="Z198">
            <v>0</v>
          </cell>
          <cell r="AB198">
            <v>-122.27199999999999</v>
          </cell>
          <cell r="AD198">
            <v>-1890.2719999999999</v>
          </cell>
          <cell r="AF198">
            <v>0</v>
          </cell>
          <cell r="AH198">
            <v>0</v>
          </cell>
          <cell r="AJ198">
            <v>0</v>
          </cell>
          <cell r="AL198">
            <v>0</v>
          </cell>
          <cell r="AN198">
            <v>-5260</v>
          </cell>
          <cell r="AP198">
            <v>-5260</v>
          </cell>
          <cell r="AR198">
            <v>0</v>
          </cell>
          <cell r="AT198">
            <v>-7130.2719999999999</v>
          </cell>
          <cell r="AV198">
            <v>-24147.565348416287</v>
          </cell>
          <cell r="AX198">
            <v>-31277.837348416288</v>
          </cell>
          <cell r="AZ198" t="str">
            <v>TOTAL MINORITY INTERESTS</v>
          </cell>
          <cell r="BC198">
            <v>0</v>
          </cell>
          <cell r="BE198">
            <v>0</v>
          </cell>
          <cell r="BG198">
            <v>0</v>
          </cell>
          <cell r="BI198">
            <v>0</v>
          </cell>
          <cell r="BK198">
            <v>0</v>
          </cell>
          <cell r="BM198">
            <v>0</v>
          </cell>
          <cell r="BO198">
            <v>85.5</v>
          </cell>
          <cell r="BQ198">
            <v>0</v>
          </cell>
          <cell r="BS198">
            <v>0</v>
          </cell>
          <cell r="BU198">
            <v>0</v>
          </cell>
          <cell r="BW198">
            <v>5015.5</v>
          </cell>
          <cell r="BX198">
            <v>0</v>
          </cell>
          <cell r="BZ198">
            <v>0</v>
          </cell>
          <cell r="CB198">
            <v>-228.93600000000001</v>
          </cell>
          <cell r="CD198">
            <v>4786.5640000000003</v>
          </cell>
          <cell r="CF198">
            <v>0</v>
          </cell>
          <cell r="CH198">
            <v>0</v>
          </cell>
          <cell r="CJ198">
            <v>0</v>
          </cell>
          <cell r="CL198">
            <v>0</v>
          </cell>
          <cell r="CN198">
            <v>-3312</v>
          </cell>
          <cell r="CP198">
            <v>-3312</v>
          </cell>
          <cell r="CR198">
            <v>0</v>
          </cell>
          <cell r="CT198">
            <v>1560.0639999999999</v>
          </cell>
          <cell r="CU198">
            <v>0</v>
          </cell>
          <cell r="CV198">
            <v>-58542.033600000002</v>
          </cell>
          <cell r="CX198">
            <v>-56981.969600000004</v>
          </cell>
          <cell r="FD198">
            <v>0</v>
          </cell>
          <cell r="FE198">
            <v>0</v>
          </cell>
          <cell r="FH198">
            <v>84</v>
          </cell>
          <cell r="FI198">
            <v>0</v>
          </cell>
          <cell r="FJ198">
            <v>-7895.5</v>
          </cell>
          <cell r="FM198">
            <v>-420.44400000000002</v>
          </cell>
          <cell r="FN198">
            <v>-8315.9439999999995</v>
          </cell>
          <cell r="FO198">
            <v>0</v>
          </cell>
          <cell r="FP198">
            <v>0</v>
          </cell>
          <cell r="FQ198">
            <v>-22196</v>
          </cell>
          <cell r="FR198">
            <v>-22196</v>
          </cell>
          <cell r="FS198">
            <v>0</v>
          </cell>
          <cell r="FT198">
            <v>-30427.944</v>
          </cell>
          <cell r="FU198">
            <v>-94159.419483923339</v>
          </cell>
          <cell r="FV198">
            <v>-124587.36348392334</v>
          </cell>
          <cell r="FW198" t="str">
            <v>TOTAL MINORITY INTERESTS</v>
          </cell>
          <cell r="FX198">
            <v>-8315.9439999999995</v>
          </cell>
          <cell r="FY198">
            <v>-22196</v>
          </cell>
          <cell r="FZ198">
            <v>0</v>
          </cell>
          <cell r="GA198">
            <v>-30511.944</v>
          </cell>
          <cell r="GB198">
            <v>-30921.093940589293</v>
          </cell>
          <cell r="GC198">
            <v>-124587.36348392334</v>
          </cell>
          <cell r="GD198">
            <v>-126258.01784693687</v>
          </cell>
          <cell r="GE198">
            <v>-94075.419483923339</v>
          </cell>
          <cell r="GF198">
            <v>3.9832473740462002</v>
          </cell>
          <cell r="GG198">
            <v>-86544.460994177251</v>
          </cell>
          <cell r="GH198">
            <v>0</v>
          </cell>
        </row>
        <row r="199">
          <cell r="A199" t="str">
            <v>PROV.FOR SEVERANCE PAY</v>
          </cell>
          <cell r="I199">
            <v>0</v>
          </cell>
          <cell r="M199">
            <v>-7.295072115384615</v>
          </cell>
          <cell r="O199">
            <v>-100</v>
          </cell>
          <cell r="Q199">
            <v>-681.90476923076926</v>
          </cell>
          <cell r="U199">
            <v>-681.90476923076926</v>
          </cell>
          <cell r="W199">
            <v>-224</v>
          </cell>
          <cell r="X199">
            <v>-224</v>
          </cell>
          <cell r="AD199">
            <v>-1129.9047692307693</v>
          </cell>
          <cell r="AL199">
            <v>-13.708</v>
          </cell>
          <cell r="AP199">
            <v>-13.708</v>
          </cell>
          <cell r="AR199">
            <v>-7.1879999999999997</v>
          </cell>
          <cell r="AT199">
            <v>-1258.095841346154</v>
          </cell>
          <cell r="AX199">
            <v>-1258.095841346154</v>
          </cell>
          <cell r="AZ199" t="str">
            <v>PROV.FOR SEVERANCE PAY</v>
          </cell>
          <cell r="BI199">
            <v>0</v>
          </cell>
          <cell r="BM199">
            <v>-30.3475</v>
          </cell>
          <cell r="BO199">
            <v>-414.5</v>
          </cell>
          <cell r="BQ199">
            <v>-2836.7269999999999</v>
          </cell>
          <cell r="BU199">
            <v>-2836.7269999999999</v>
          </cell>
          <cell r="BW199">
            <v>-933</v>
          </cell>
          <cell r="BX199">
            <v>-933</v>
          </cell>
          <cell r="CD199">
            <v>-4702.7269999999999</v>
          </cell>
          <cell r="CL199">
            <v>-57</v>
          </cell>
          <cell r="CP199">
            <v>-57</v>
          </cell>
          <cell r="CR199">
            <v>-29.9</v>
          </cell>
          <cell r="CT199">
            <v>-5234.4744999999994</v>
          </cell>
          <cell r="CU199">
            <v>0</v>
          </cell>
          <cell r="CX199">
            <v>-5234.4744999999994</v>
          </cell>
          <cell r="FG199">
            <v>-30.3475</v>
          </cell>
          <cell r="FH199">
            <v>-414.5</v>
          </cell>
          <cell r="FI199">
            <v>-2836.7269999999999</v>
          </cell>
          <cell r="FJ199">
            <v>-933</v>
          </cell>
          <cell r="FK199">
            <v>-933</v>
          </cell>
          <cell r="FN199">
            <v>-4702.7269999999999</v>
          </cell>
          <cell r="FP199">
            <v>-57</v>
          </cell>
          <cell r="FR199">
            <v>-57</v>
          </cell>
          <cell r="FS199">
            <v>-29.9</v>
          </cell>
          <cell r="FT199">
            <v>-5234.4744999999994</v>
          </cell>
          <cell r="FV199">
            <v>-5234.4744999999994</v>
          </cell>
          <cell r="FW199" t="str">
            <v>PROV.FOR SEVERANCE PAY</v>
          </cell>
          <cell r="FX199">
            <v>-4702.7269999999999</v>
          </cell>
          <cell r="FY199">
            <v>-57</v>
          </cell>
          <cell r="GA199">
            <v>-4759.7269999999999</v>
          </cell>
          <cell r="GB199">
            <v>-4823.5525634996993</v>
          </cell>
          <cell r="GC199">
            <v>-5234.4744999999994</v>
          </cell>
          <cell r="GD199">
            <v>-5304.666190529163</v>
          </cell>
          <cell r="GE199">
            <v>-474.74749999999949</v>
          </cell>
          <cell r="GF199">
            <v>4.1606325432243283</v>
          </cell>
          <cell r="GG199">
            <v>-3978.9215148877374</v>
          </cell>
          <cell r="GH199">
            <v>0</v>
          </cell>
        </row>
        <row r="200">
          <cell r="Q200">
            <v>656.71600000000001</v>
          </cell>
          <cell r="U200">
            <v>656.71600000000001</v>
          </cell>
          <cell r="W200">
            <v>199.5</v>
          </cell>
          <cell r="X200">
            <v>199.5</v>
          </cell>
          <cell r="Z200">
            <v>0</v>
          </cell>
          <cell r="AD200">
            <v>1055.7159999999999</v>
          </cell>
          <cell r="AH200">
            <v>0</v>
          </cell>
          <cell r="AJ200">
            <v>0</v>
          </cell>
          <cell r="AN200">
            <v>0</v>
          </cell>
          <cell r="AP200">
            <v>0</v>
          </cell>
          <cell r="AT200">
            <v>1055.7159999999999</v>
          </cell>
          <cell r="AV200">
            <v>0</v>
          </cell>
          <cell r="AX200">
            <v>1055.7159999999999</v>
          </cell>
          <cell r="BC200">
            <v>0</v>
          </cell>
          <cell r="BE200">
            <v>0</v>
          </cell>
          <cell r="BG200">
            <v>0</v>
          </cell>
          <cell r="BI200">
            <v>0</v>
          </cell>
          <cell r="BQ200">
            <v>2731.94</v>
          </cell>
          <cell r="BU200">
            <v>2731.94</v>
          </cell>
          <cell r="BW200">
            <v>830.5</v>
          </cell>
          <cell r="BX200">
            <v>830.5</v>
          </cell>
          <cell r="BZ200">
            <v>0</v>
          </cell>
          <cell r="CD200">
            <v>4392.9399999999996</v>
          </cell>
          <cell r="CH200">
            <v>0</v>
          </cell>
          <cell r="CJ200">
            <v>0</v>
          </cell>
          <cell r="CL200">
            <v>0</v>
          </cell>
          <cell r="CN200">
            <v>0</v>
          </cell>
          <cell r="CP200">
            <v>0</v>
          </cell>
          <cell r="CR200" t="str">
            <v>_______</v>
          </cell>
          <cell r="CT200">
            <v>4392.9399999999996</v>
          </cell>
          <cell r="CU200">
            <v>0</v>
          </cell>
          <cell r="CX200">
            <v>4392.9399999999996</v>
          </cell>
          <cell r="FI200">
            <v>2731.94</v>
          </cell>
          <cell r="FJ200">
            <v>830.5</v>
          </cell>
          <cell r="FK200">
            <v>830.5</v>
          </cell>
          <cell r="FN200">
            <v>4392.9399999999996</v>
          </cell>
          <cell r="FO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4392.9399999999996</v>
          </cell>
          <cell r="FV200">
            <v>4392.9399999999996</v>
          </cell>
          <cell r="FX200">
            <v>4392.9399999999996</v>
          </cell>
          <cell r="FY200">
            <v>0</v>
          </cell>
          <cell r="GA200">
            <v>4392.9399999999996</v>
          </cell>
          <cell r="GB200">
            <v>4451.8471328923633</v>
          </cell>
          <cell r="GC200">
            <v>4392.9399999999996</v>
          </cell>
          <cell r="GD200">
            <v>4451.8471328923633</v>
          </cell>
          <cell r="GE200">
            <v>0</v>
          </cell>
          <cell r="GF200">
            <v>4.1611001443570057</v>
          </cell>
          <cell r="GG200">
            <v>2102.5216088906791</v>
          </cell>
          <cell r="GH200">
            <v>0</v>
          </cell>
        </row>
        <row r="201">
          <cell r="C201">
            <v>0</v>
          </cell>
          <cell r="E201">
            <v>0</v>
          </cell>
          <cell r="G201">
            <v>0</v>
          </cell>
          <cell r="I201">
            <v>0</v>
          </cell>
          <cell r="M201">
            <v>-7.295072115384615</v>
          </cell>
          <cell r="O201">
            <v>-100</v>
          </cell>
          <cell r="Q201">
            <v>-25.188769230769253</v>
          </cell>
          <cell r="S201">
            <v>0</v>
          </cell>
          <cell r="U201">
            <v>-25.188769230769253</v>
          </cell>
          <cell r="W201">
            <v>-24.5</v>
          </cell>
          <cell r="X201">
            <v>-24.5</v>
          </cell>
          <cell r="Z201">
            <v>0</v>
          </cell>
          <cell r="AB201">
            <v>0</v>
          </cell>
          <cell r="AD201">
            <v>-74.188769230769367</v>
          </cell>
          <cell r="AF201">
            <v>0</v>
          </cell>
          <cell r="AH201">
            <v>0</v>
          </cell>
          <cell r="AJ201">
            <v>0</v>
          </cell>
          <cell r="AL201">
            <v>-13.708</v>
          </cell>
          <cell r="AP201">
            <v>-13.708</v>
          </cell>
          <cell r="AR201">
            <v>-7.1879999999999997</v>
          </cell>
          <cell r="AT201">
            <v>-202.37984134615408</v>
          </cell>
          <cell r="AV201">
            <v>0</v>
          </cell>
          <cell r="AX201">
            <v>-202.37984134615408</v>
          </cell>
          <cell r="BC201">
            <v>0</v>
          </cell>
          <cell r="BE201">
            <v>0</v>
          </cell>
          <cell r="BG201">
            <v>0</v>
          </cell>
          <cell r="BI201">
            <v>0</v>
          </cell>
          <cell r="BM201">
            <v>-30.3475</v>
          </cell>
          <cell r="BO201">
            <v>-414.5</v>
          </cell>
          <cell r="BQ201">
            <v>-104.78699999999981</v>
          </cell>
          <cell r="BS201">
            <v>0</v>
          </cell>
          <cell r="BU201">
            <v>-104.78699999999981</v>
          </cell>
          <cell r="BW201">
            <v>-102.5</v>
          </cell>
          <cell r="BX201">
            <v>-102.5</v>
          </cell>
          <cell r="BZ201">
            <v>0</v>
          </cell>
          <cell r="CB201">
            <v>0</v>
          </cell>
          <cell r="CD201">
            <v>-309.78699999999981</v>
          </cell>
          <cell r="CF201">
            <v>0</v>
          </cell>
          <cell r="CH201">
            <v>0</v>
          </cell>
          <cell r="CJ201">
            <v>0</v>
          </cell>
          <cell r="CL201">
            <v>-57</v>
          </cell>
          <cell r="CP201">
            <v>-57</v>
          </cell>
          <cell r="CR201">
            <v>-29.9</v>
          </cell>
          <cell r="CT201">
            <v>-841.53449999999884</v>
          </cell>
          <cell r="CU201">
            <v>-9.0949470177292824E-13</v>
          </cell>
          <cell r="CV201">
            <v>0</v>
          </cell>
          <cell r="CX201">
            <v>-841.53449999999975</v>
          </cell>
          <cell r="FE201">
            <v>0</v>
          </cell>
          <cell r="FG201">
            <v>-30.3475</v>
          </cell>
          <cell r="FH201">
            <v>-414.5</v>
          </cell>
          <cell r="FI201">
            <v>-104.78699999999981</v>
          </cell>
          <cell r="FJ201">
            <v>-102.5</v>
          </cell>
          <cell r="FK201">
            <v>-102.5</v>
          </cell>
          <cell r="FM201">
            <v>0</v>
          </cell>
          <cell r="FN201">
            <v>-309.78699999999935</v>
          </cell>
          <cell r="FO201">
            <v>0</v>
          </cell>
          <cell r="FP201">
            <v>-57</v>
          </cell>
          <cell r="FR201">
            <v>-57</v>
          </cell>
          <cell r="FS201">
            <v>-29.9</v>
          </cell>
          <cell r="FT201">
            <v>-841.53449999999884</v>
          </cell>
          <cell r="FU201">
            <v>0</v>
          </cell>
          <cell r="FV201">
            <v>-841.53449999999884</v>
          </cell>
          <cell r="FX201">
            <v>-309.78699999999935</v>
          </cell>
          <cell r="FY201">
            <v>-57</v>
          </cell>
          <cell r="GA201">
            <v>-366.78699999999935</v>
          </cell>
          <cell r="GB201">
            <v>-371.70543060733547</v>
          </cell>
          <cell r="GC201">
            <v>-841.53449999999884</v>
          </cell>
          <cell r="GD201">
            <v>-852.8190576367997</v>
          </cell>
          <cell r="GE201">
            <v>-474.74749999999949</v>
          </cell>
          <cell r="GF201">
            <v>4.1581932983168182</v>
          </cell>
          <cell r="GG201">
            <v>-1876.3999059970588</v>
          </cell>
          <cell r="GH201">
            <v>0</v>
          </cell>
        </row>
        <row r="202">
          <cell r="A202" t="str">
            <v>DEFERRED TAXES</v>
          </cell>
          <cell r="C202">
            <v>1274.1980000000001</v>
          </cell>
          <cell r="E202">
            <v>0</v>
          </cell>
          <cell r="G202">
            <v>-1706</v>
          </cell>
          <cell r="I202">
            <v>-431.80199999999991</v>
          </cell>
          <cell r="O202">
            <v>116.5</v>
          </cell>
          <cell r="Q202">
            <v>0</v>
          </cell>
          <cell r="S202">
            <v>0</v>
          </cell>
          <cell r="U202">
            <v>0</v>
          </cell>
          <cell r="W202">
            <v>-181.5</v>
          </cell>
          <cell r="X202">
            <v>-181.5</v>
          </cell>
          <cell r="Z202">
            <v>-56.972000000000001</v>
          </cell>
          <cell r="AD202">
            <v>-419.97199999999998</v>
          </cell>
          <cell r="AH202">
            <v>0</v>
          </cell>
          <cell r="AJ202">
            <v>0</v>
          </cell>
          <cell r="AL202">
            <v>-711.50199999999995</v>
          </cell>
          <cell r="AP202">
            <v>-711.50199999999995</v>
          </cell>
          <cell r="AR202">
            <v>0</v>
          </cell>
          <cell r="AT202">
            <v>-1446.7759999999998</v>
          </cell>
          <cell r="AX202">
            <v>-1446.7759999999998</v>
          </cell>
          <cell r="AZ202" t="str">
            <v>DEFERRED TAXES</v>
          </cell>
          <cell r="BC202">
            <v>0</v>
          </cell>
          <cell r="BE202">
            <v>0</v>
          </cell>
          <cell r="BG202">
            <v>0</v>
          </cell>
          <cell r="BI202">
            <v>0</v>
          </cell>
          <cell r="BO202">
            <v>141.5</v>
          </cell>
          <cell r="BQ202">
            <v>0</v>
          </cell>
          <cell r="BS202">
            <v>0</v>
          </cell>
          <cell r="BU202" t="str">
            <v xml:space="preserve"> </v>
          </cell>
          <cell r="BW202">
            <v>-1071.5</v>
          </cell>
          <cell r="BX202">
            <v>-1071.5</v>
          </cell>
          <cell r="BZ202">
            <v>293.47699999999998</v>
          </cell>
          <cell r="CD202">
            <v>-1849.5230000000001</v>
          </cell>
          <cell r="CH202">
            <v>0</v>
          </cell>
          <cell r="CJ202">
            <v>0</v>
          </cell>
          <cell r="CL202">
            <v>-2871</v>
          </cell>
          <cell r="CP202">
            <v>-2871</v>
          </cell>
          <cell r="CR202">
            <v>0</v>
          </cell>
          <cell r="CT202">
            <v>-4579.0230000000001</v>
          </cell>
          <cell r="CU202">
            <v>0</v>
          </cell>
          <cell r="CV202">
            <v>0</v>
          </cell>
          <cell r="CX202">
            <v>-4579.0230000000001</v>
          </cell>
          <cell r="FC202">
            <v>-608.28200000000004</v>
          </cell>
          <cell r="FE202">
            <v>-1121.7408198399999</v>
          </cell>
          <cell r="FF202">
            <v>-1730.02281984</v>
          </cell>
          <cell r="FH202">
            <v>509</v>
          </cell>
          <cell r="FJ202">
            <v>-1283.5</v>
          </cell>
          <cell r="FK202">
            <v>-1283.5</v>
          </cell>
          <cell r="FL202">
            <v>-54</v>
          </cell>
          <cell r="FN202">
            <v>-2621</v>
          </cell>
          <cell r="FO202">
            <v>0</v>
          </cell>
          <cell r="FP202">
            <v>-4225</v>
          </cell>
          <cell r="FR202">
            <v>-4225</v>
          </cell>
          <cell r="FS202">
            <v>0</v>
          </cell>
          <cell r="FT202">
            <v>-8067.02281984</v>
          </cell>
          <cell r="FU202">
            <v>0</v>
          </cell>
          <cell r="FV202">
            <v>-8067.02281984</v>
          </cell>
          <cell r="FW202" t="str">
            <v>DEFERRED TAXES</v>
          </cell>
          <cell r="FX202">
            <v>-2621</v>
          </cell>
          <cell r="FY202">
            <v>-4225</v>
          </cell>
          <cell r="GA202">
            <v>-6846</v>
          </cell>
          <cell r="GB202">
            <v>-6937.8014431749853</v>
          </cell>
          <cell r="GC202">
            <v>-8067.02281984</v>
          </cell>
          <cell r="GD202">
            <v>-8175.197569618972</v>
          </cell>
          <cell r="GE202">
            <v>-1221.02281984</v>
          </cell>
          <cell r="GF202">
            <v>5.5758616536630417</v>
          </cell>
          <cell r="GG202">
            <v>-3680.1071195297195</v>
          </cell>
          <cell r="GH202">
            <v>0</v>
          </cell>
        </row>
        <row r="203">
          <cell r="A203" t="str">
            <v>BANK LONG TERM LOANS</v>
          </cell>
          <cell r="C203">
            <v>-9226.8590000000004</v>
          </cell>
          <cell r="I203">
            <v>-9226.8590000000004</v>
          </cell>
          <cell r="O203">
            <v>-33</v>
          </cell>
          <cell r="Q203">
            <v>-14005.446</v>
          </cell>
          <cell r="U203">
            <v>-14005.446</v>
          </cell>
          <cell r="W203">
            <v>-2099</v>
          </cell>
          <cell r="X203">
            <v>-2099</v>
          </cell>
          <cell r="AD203">
            <v>-18203.446</v>
          </cell>
          <cell r="AJ203">
            <v>0</v>
          </cell>
          <cell r="AL203">
            <v>-27178</v>
          </cell>
          <cell r="AP203">
            <v>-27178</v>
          </cell>
          <cell r="AT203">
            <v>-54641.305</v>
          </cell>
          <cell r="AX203">
            <v>-54641.305</v>
          </cell>
          <cell r="AZ203" t="str">
            <v>BANK LONG TERM LOANS</v>
          </cell>
          <cell r="BC203">
            <v>-38383.699999999997</v>
          </cell>
          <cell r="BI203">
            <v>-38383.699999999997</v>
          </cell>
          <cell r="BO203">
            <v>-136.5</v>
          </cell>
          <cell r="BQ203">
            <v>-58260.652000000002</v>
          </cell>
          <cell r="BU203">
            <v>-58260.652000000002</v>
          </cell>
          <cell r="BW203">
            <v>-8731.5</v>
          </cell>
          <cell r="BX203">
            <v>-8731.5</v>
          </cell>
          <cell r="CD203">
            <v>-75723.652000000002</v>
          </cell>
          <cell r="CJ203">
            <v>0</v>
          </cell>
          <cell r="CL203">
            <v>-113062</v>
          </cell>
          <cell r="CP203">
            <v>-113062</v>
          </cell>
          <cell r="CT203">
            <v>-227305.85200000001</v>
          </cell>
          <cell r="CU203">
            <v>0</v>
          </cell>
          <cell r="CX203">
            <v>-227305.85200000001</v>
          </cell>
          <cell r="FC203">
            <v>-38383.732000000004</v>
          </cell>
          <cell r="FF203">
            <v>-38383.732000000004</v>
          </cell>
          <cell r="FH203">
            <v>-136.5</v>
          </cell>
          <cell r="FI203">
            <v>-58260.652000000002</v>
          </cell>
          <cell r="FJ203">
            <v>-8731.5</v>
          </cell>
          <cell r="FK203">
            <v>-8731.5</v>
          </cell>
          <cell r="FN203">
            <v>-75723.652000000002</v>
          </cell>
          <cell r="FO203">
            <v>0</v>
          </cell>
          <cell r="FP203">
            <v>-113062</v>
          </cell>
          <cell r="FR203">
            <v>-113062</v>
          </cell>
          <cell r="FS203">
            <v>0</v>
          </cell>
          <cell r="FT203">
            <v>-227305.88400000002</v>
          </cell>
          <cell r="FV203">
            <v>-227305.88400000002</v>
          </cell>
          <cell r="FW203" t="str">
            <v>BANK LONG TERM LOANS</v>
          </cell>
          <cell r="FX203">
            <v>-75723.652000000002</v>
          </cell>
          <cell r="FY203">
            <v>-113062</v>
          </cell>
          <cell r="GA203">
            <v>-188785.652</v>
          </cell>
          <cell r="GB203">
            <v>-191317.17337077571</v>
          </cell>
          <cell r="GC203">
            <v>-227305.88400000002</v>
          </cell>
          <cell r="GD203">
            <v>-230353.94245652435</v>
          </cell>
          <cell r="GE203">
            <v>-38520.232000000018</v>
          </cell>
          <cell r="GF203">
            <v>4.1599644078778866</v>
          </cell>
          <cell r="GG203">
            <v>-179033.82779555846</v>
          </cell>
          <cell r="GH203">
            <v>0</v>
          </cell>
        </row>
        <row r="204">
          <cell r="A204" t="str">
            <v>Less current maturity</v>
          </cell>
          <cell r="C204">
            <v>704.9</v>
          </cell>
          <cell r="I204">
            <v>704.9</v>
          </cell>
          <cell r="O204">
            <v>22</v>
          </cell>
          <cell r="Q204">
            <v>1743.2809999999999</v>
          </cell>
          <cell r="U204">
            <v>1743.2809999999999</v>
          </cell>
          <cell r="W204">
            <v>1808.5</v>
          </cell>
          <cell r="X204">
            <v>1808.5</v>
          </cell>
          <cell r="AD204">
            <v>5360.2809999999999</v>
          </cell>
          <cell r="AJ204">
            <v>0</v>
          </cell>
          <cell r="AL204">
            <v>6067.473</v>
          </cell>
          <cell r="AP204">
            <v>6067.473</v>
          </cell>
          <cell r="AT204">
            <v>12154.653999999999</v>
          </cell>
          <cell r="AX204">
            <v>12154.653999999999</v>
          </cell>
          <cell r="AZ204" t="str">
            <v>Less current maturity</v>
          </cell>
          <cell r="BC204">
            <v>2575.0320000000002</v>
          </cell>
          <cell r="BG204">
            <v>0</v>
          </cell>
          <cell r="BI204">
            <v>2575.0320000000002</v>
          </cell>
          <cell r="BO204">
            <v>90.5</v>
          </cell>
          <cell r="BQ204">
            <v>7252.0470000000005</v>
          </cell>
          <cell r="BU204">
            <v>7252.0470000000005</v>
          </cell>
          <cell r="BW204">
            <v>7523</v>
          </cell>
          <cell r="BX204">
            <v>7523</v>
          </cell>
          <cell r="CD204">
            <v>22298.046999999999</v>
          </cell>
          <cell r="CJ204">
            <v>0</v>
          </cell>
          <cell r="CL204">
            <v>25241</v>
          </cell>
          <cell r="CP204">
            <v>25241</v>
          </cell>
          <cell r="CT204">
            <v>50204.578999999998</v>
          </cell>
          <cell r="CU204">
            <v>0</v>
          </cell>
          <cell r="CX204">
            <v>50204.578999999998</v>
          </cell>
          <cell r="FC204">
            <v>2932.384</v>
          </cell>
          <cell r="FF204">
            <v>2932.384</v>
          </cell>
          <cell r="FH204">
            <v>90.5</v>
          </cell>
          <cell r="FI204">
            <v>7252.0470000000005</v>
          </cell>
          <cell r="FJ204">
            <v>7523</v>
          </cell>
          <cell r="FK204">
            <v>7523</v>
          </cell>
          <cell r="FN204">
            <v>22298.046999999999</v>
          </cell>
          <cell r="FO204">
            <v>0</v>
          </cell>
          <cell r="FP204">
            <v>25241</v>
          </cell>
          <cell r="FR204">
            <v>25241</v>
          </cell>
          <cell r="FS204">
            <v>0</v>
          </cell>
          <cell r="FT204">
            <v>50561.930999999997</v>
          </cell>
          <cell r="FV204">
            <v>50561.930999999997</v>
          </cell>
          <cell r="FW204" t="str">
            <v>Less current maturity</v>
          </cell>
          <cell r="FX204">
            <v>22298.046999999999</v>
          </cell>
          <cell r="FY204">
            <v>25241</v>
          </cell>
          <cell r="GA204">
            <v>47539.046999999999</v>
          </cell>
          <cell r="GB204">
            <v>48176.52189362597</v>
          </cell>
          <cell r="GC204">
            <v>50561.930999999997</v>
          </cell>
          <cell r="GD204">
            <v>51239.941259350569</v>
          </cell>
          <cell r="GE204">
            <v>3022.8839999999982</v>
          </cell>
          <cell r="GF204">
            <v>4.1598823792104653</v>
          </cell>
          <cell r="GG204">
            <v>27337.758290006532</v>
          </cell>
          <cell r="GH204">
            <v>0</v>
          </cell>
        </row>
        <row r="205">
          <cell r="A205" t="str">
            <v>Total long term loans from banks</v>
          </cell>
          <cell r="C205">
            <v>-8521.9590000000007</v>
          </cell>
          <cell r="E205">
            <v>0</v>
          </cell>
          <cell r="G205">
            <v>0</v>
          </cell>
          <cell r="I205">
            <v>-8521.9590000000007</v>
          </cell>
          <cell r="O205">
            <v>-11</v>
          </cell>
          <cell r="Q205">
            <v>-12262.165000000001</v>
          </cell>
          <cell r="S205">
            <v>0</v>
          </cell>
          <cell r="U205">
            <v>-12262.165000000001</v>
          </cell>
          <cell r="W205">
            <v>-290.5</v>
          </cell>
          <cell r="X205">
            <v>-290.5</v>
          </cell>
          <cell r="Z205">
            <v>0</v>
          </cell>
          <cell r="AB205">
            <v>0</v>
          </cell>
          <cell r="AD205">
            <v>-12843.165000000001</v>
          </cell>
          <cell r="AF205">
            <v>0</v>
          </cell>
          <cell r="AH205">
            <v>0</v>
          </cell>
          <cell r="AJ205">
            <v>0</v>
          </cell>
          <cell r="AL205">
            <v>-21110.527000000002</v>
          </cell>
          <cell r="AN205">
            <v>0</v>
          </cell>
          <cell r="AP205">
            <v>-21110.527000000002</v>
          </cell>
          <cell r="AR205">
            <v>0</v>
          </cell>
          <cell r="AT205">
            <v>-42486.650999999998</v>
          </cell>
          <cell r="AV205">
            <v>0</v>
          </cell>
          <cell r="AX205">
            <v>-42486.650999999998</v>
          </cell>
          <cell r="AZ205" t="str">
            <v>Total long term loans from banks</v>
          </cell>
          <cell r="BC205">
            <v>-35808.667999999998</v>
          </cell>
          <cell r="BE205">
            <v>0</v>
          </cell>
          <cell r="BG205">
            <v>0</v>
          </cell>
          <cell r="BI205">
            <v>-35808.667999999998</v>
          </cell>
          <cell r="BO205">
            <v>-46</v>
          </cell>
          <cell r="BQ205">
            <v>-51008.605000000003</v>
          </cell>
          <cell r="BS205">
            <v>0</v>
          </cell>
          <cell r="BU205">
            <v>-51008.605000000003</v>
          </cell>
          <cell r="BW205">
            <v>-1208.5</v>
          </cell>
          <cell r="BX205">
            <v>-1208.5</v>
          </cell>
          <cell r="BZ205">
            <v>0</v>
          </cell>
          <cell r="CB205">
            <v>0</v>
          </cell>
          <cell r="CD205">
            <v>-53425.605000000003</v>
          </cell>
          <cell r="CF205">
            <v>0</v>
          </cell>
          <cell r="CH205">
            <v>0</v>
          </cell>
          <cell r="CJ205">
            <v>0</v>
          </cell>
          <cell r="CL205">
            <v>-87821</v>
          </cell>
          <cell r="CN205">
            <v>0</v>
          </cell>
          <cell r="CP205">
            <v>-87821</v>
          </cell>
          <cell r="CR205">
            <v>0</v>
          </cell>
          <cell r="CT205">
            <v>-177101.27300000002</v>
          </cell>
          <cell r="CU205">
            <v>0</v>
          </cell>
          <cell r="CV205">
            <v>0</v>
          </cell>
          <cell r="CX205">
            <v>-177101.27300000002</v>
          </cell>
          <cell r="FC205">
            <v>-35451.348000000005</v>
          </cell>
          <cell r="FD205">
            <v>0</v>
          </cell>
          <cell r="FE205">
            <v>0</v>
          </cell>
          <cell r="FF205">
            <v>-35451.348000000005</v>
          </cell>
          <cell r="FG205">
            <v>0</v>
          </cell>
          <cell r="FH205">
            <v>-46</v>
          </cell>
          <cell r="FI205">
            <v>-51008.605000000003</v>
          </cell>
          <cell r="FJ205">
            <v>-1208.5</v>
          </cell>
          <cell r="FK205">
            <v>-1208.5</v>
          </cell>
          <cell r="FL205">
            <v>0</v>
          </cell>
          <cell r="FM205">
            <v>0</v>
          </cell>
          <cell r="FN205">
            <v>-53425.605000000003</v>
          </cell>
          <cell r="FO205">
            <v>0</v>
          </cell>
          <cell r="FP205">
            <v>-87821</v>
          </cell>
          <cell r="FQ205">
            <v>0</v>
          </cell>
          <cell r="FR205">
            <v>-87821</v>
          </cell>
          <cell r="FS205">
            <v>0</v>
          </cell>
          <cell r="FT205">
            <v>-176743.95300000004</v>
          </cell>
          <cell r="FU205">
            <v>0</v>
          </cell>
          <cell r="FV205">
            <v>-176743.95300000004</v>
          </cell>
          <cell r="FW205" t="str">
            <v>Total long term loans from banks</v>
          </cell>
          <cell r="FX205">
            <v>-53425.605000000003</v>
          </cell>
          <cell r="FY205">
            <v>-87821</v>
          </cell>
          <cell r="FZ205">
            <v>0</v>
          </cell>
          <cell r="GA205">
            <v>-141246.60500000001</v>
          </cell>
          <cell r="GB205">
            <v>-143140.65147714975</v>
          </cell>
          <cell r="GC205">
            <v>-176743.95300000004</v>
          </cell>
          <cell r="GD205">
            <v>-179114.00119717378</v>
          </cell>
          <cell r="GE205">
            <v>-35497.34800000002</v>
          </cell>
          <cell r="GF205">
            <v>4.1599878747797758</v>
          </cell>
          <cell r="GG205">
            <v>-151696.06950555192</v>
          </cell>
          <cell r="GH205">
            <v>0</v>
          </cell>
        </row>
        <row r="206">
          <cell r="A206" t="str">
            <v>RELATED LONG TERM LOANS</v>
          </cell>
          <cell r="AT206">
            <v>0</v>
          </cell>
          <cell r="AZ206" t="str">
            <v>RELATED LONG TERM LOANS</v>
          </cell>
          <cell r="BX206">
            <v>0</v>
          </cell>
          <cell r="CD206">
            <v>0</v>
          </cell>
          <cell r="CT206">
            <v>0</v>
          </cell>
          <cell r="CU206">
            <v>0</v>
          </cell>
          <cell r="FS206">
            <v>0</v>
          </cell>
          <cell r="FW206" t="str">
            <v>RELATED LONG TERM LOANS</v>
          </cell>
          <cell r="FX206">
            <v>0</v>
          </cell>
          <cell r="FY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 t="e">
            <v>#DIV/0!</v>
          </cell>
          <cell r="GH206">
            <v>0</v>
          </cell>
        </row>
        <row r="207">
          <cell r="A207" t="str">
            <v>AUREC</v>
          </cell>
          <cell r="C207">
            <v>-217.54699999999957</v>
          </cell>
          <cell r="G207">
            <v>-315.56</v>
          </cell>
          <cell r="I207">
            <v>-533.10699999999952</v>
          </cell>
          <cell r="U207">
            <v>0</v>
          </cell>
          <cell r="AD207">
            <v>0</v>
          </cell>
          <cell r="AJ207">
            <v>0</v>
          </cell>
          <cell r="AP207">
            <v>0</v>
          </cell>
          <cell r="AT207">
            <v>-533.10699999999952</v>
          </cell>
          <cell r="AX207">
            <v>-533.10699999999952</v>
          </cell>
          <cell r="AZ207" t="str">
            <v>AUREC</v>
          </cell>
          <cell r="BC207">
            <v>843.38299999999981</v>
          </cell>
          <cell r="BE207">
            <v>0</v>
          </cell>
          <cell r="BG207">
            <v>-3061.3550000000005</v>
          </cell>
          <cell r="BI207">
            <v>-2217.9720000000007</v>
          </cell>
          <cell r="BU207">
            <v>0</v>
          </cell>
          <cell r="BX207">
            <v>0</v>
          </cell>
          <cell r="CD207">
            <v>0</v>
          </cell>
          <cell r="CJ207">
            <v>0</v>
          </cell>
          <cell r="CP207">
            <v>0</v>
          </cell>
          <cell r="CT207">
            <v>-2217.9720000000007</v>
          </cell>
          <cell r="CU207">
            <v>0</v>
          </cell>
          <cell r="CV207">
            <v>0</v>
          </cell>
          <cell r="CX207">
            <v>-2217.9720000000007</v>
          </cell>
          <cell r="FC207">
            <v>-2217.9720000000016</v>
          </cell>
          <cell r="FF207">
            <v>-2217.9720000000016</v>
          </cell>
          <cell r="FN207">
            <v>0</v>
          </cell>
          <cell r="FO207">
            <v>0</v>
          </cell>
          <cell r="FR207">
            <v>0</v>
          </cell>
          <cell r="FS207">
            <v>0</v>
          </cell>
          <cell r="FT207">
            <v>-2217.9720000000016</v>
          </cell>
          <cell r="FU207">
            <v>0</v>
          </cell>
          <cell r="FV207">
            <v>-2217.9720000000016</v>
          </cell>
          <cell r="FW207" t="str">
            <v>AUREC</v>
          </cell>
          <cell r="FX207">
            <v>0</v>
          </cell>
          <cell r="FY207">
            <v>0</v>
          </cell>
          <cell r="GA207">
            <v>0</v>
          </cell>
          <cell r="GB207">
            <v>0</v>
          </cell>
          <cell r="GC207">
            <v>-2217.9720000000016</v>
          </cell>
          <cell r="GD207">
            <v>-2247.7138975345774</v>
          </cell>
          <cell r="GE207">
            <v>-2217.9720000000016</v>
          </cell>
          <cell r="GF207">
            <v>4.1604630965265956</v>
          </cell>
          <cell r="GG207">
            <v>-14798.536253429133</v>
          </cell>
          <cell r="GH207">
            <v>0</v>
          </cell>
        </row>
        <row r="208">
          <cell r="A208" t="str">
            <v>ELNET-CAP.NOTE</v>
          </cell>
          <cell r="C208">
            <v>-40384.614999999998</v>
          </cell>
          <cell r="I208">
            <v>-40384.614999999998</v>
          </cell>
          <cell r="U208">
            <v>0</v>
          </cell>
          <cell r="AD208">
            <v>0</v>
          </cell>
          <cell r="AJ208">
            <v>0</v>
          </cell>
          <cell r="AP208">
            <v>0</v>
          </cell>
          <cell r="AT208">
            <v>-40384.614999999998</v>
          </cell>
          <cell r="AV208">
            <v>0</v>
          </cell>
          <cell r="AX208">
            <v>-40384.614999999998</v>
          </cell>
          <cell r="AZ208" t="str">
            <v>ELNET-CAP.NOTE</v>
          </cell>
          <cell r="BC208">
            <v>-168000</v>
          </cell>
          <cell r="BE208">
            <v>0</v>
          </cell>
          <cell r="BI208">
            <v>-168000</v>
          </cell>
          <cell r="BU208">
            <v>0</v>
          </cell>
          <cell r="BX208">
            <v>0</v>
          </cell>
          <cell r="CD208">
            <v>0</v>
          </cell>
          <cell r="CJ208">
            <v>0</v>
          </cell>
          <cell r="CP208">
            <v>0</v>
          </cell>
          <cell r="CT208">
            <v>-168000</v>
          </cell>
          <cell r="CU208">
            <v>0</v>
          </cell>
          <cell r="CV208">
            <v>0</v>
          </cell>
          <cell r="CX208">
            <v>-168000</v>
          </cell>
          <cell r="FC208">
            <v>-168000</v>
          </cell>
          <cell r="FF208">
            <v>-168000</v>
          </cell>
          <cell r="FN208">
            <v>0</v>
          </cell>
          <cell r="FO208">
            <v>0</v>
          </cell>
          <cell r="FR208">
            <v>0</v>
          </cell>
          <cell r="FS208">
            <v>0</v>
          </cell>
          <cell r="FT208">
            <v>-168000</v>
          </cell>
          <cell r="FU208">
            <v>0</v>
          </cell>
          <cell r="FV208">
            <v>-168000</v>
          </cell>
          <cell r="FW208" t="str">
            <v>ELNET-CAP.NOTE</v>
          </cell>
          <cell r="FX208">
            <v>0</v>
          </cell>
          <cell r="FY208">
            <v>0</v>
          </cell>
          <cell r="GA208">
            <v>0</v>
          </cell>
          <cell r="GB208">
            <v>0</v>
          </cell>
          <cell r="GC208">
            <v>-168000</v>
          </cell>
          <cell r="GD208">
            <v>-170252.79615153337</v>
          </cell>
          <cell r="GE208">
            <v>-168000</v>
          </cell>
          <cell r="GF208">
            <v>4.1600000396190486</v>
          </cell>
          <cell r="GG208">
            <v>0</v>
          </cell>
          <cell r="GH208">
            <v>0</v>
          </cell>
        </row>
        <row r="209">
          <cell r="A209" t="str">
            <v>ELNET-LOANS</v>
          </cell>
          <cell r="C209">
            <v>-13293.025</v>
          </cell>
          <cell r="G209">
            <v>-1400.6289999999999</v>
          </cell>
          <cell r="I209">
            <v>-14693.653999999999</v>
          </cell>
          <cell r="U209">
            <v>0</v>
          </cell>
          <cell r="AD209">
            <v>0</v>
          </cell>
          <cell r="AJ209">
            <v>0</v>
          </cell>
          <cell r="AP209">
            <v>0</v>
          </cell>
          <cell r="AT209">
            <v>-14693.653999999999</v>
          </cell>
          <cell r="AV209">
            <v>0</v>
          </cell>
          <cell r="AX209">
            <v>-14693.653999999999</v>
          </cell>
          <cell r="AZ209" t="str">
            <v>ELNET-LOANS</v>
          </cell>
          <cell r="BC209">
            <v>-43783.964999999997</v>
          </cell>
          <cell r="BG209">
            <v>-17341.833999999999</v>
          </cell>
          <cell r="BI209">
            <v>-61125.798999999999</v>
          </cell>
          <cell r="BU209">
            <v>0</v>
          </cell>
          <cell r="BX209">
            <v>0</v>
          </cell>
          <cell r="CD209">
            <v>0</v>
          </cell>
          <cell r="CJ209">
            <v>0</v>
          </cell>
          <cell r="CP209">
            <v>0</v>
          </cell>
          <cell r="CT209">
            <v>-61125.798999999999</v>
          </cell>
          <cell r="CU209">
            <v>0</v>
          </cell>
          <cell r="CV209">
            <v>0</v>
          </cell>
          <cell r="CX209">
            <v>-61125.798999999999</v>
          </cell>
          <cell r="FC209">
            <v>-58400.798999999999</v>
          </cell>
          <cell r="FE209">
            <v>-2725</v>
          </cell>
          <cell r="FF209">
            <v>-61125.798999999999</v>
          </cell>
          <cell r="FN209">
            <v>0</v>
          </cell>
          <cell r="FO209">
            <v>0</v>
          </cell>
          <cell r="FR209">
            <v>0</v>
          </cell>
          <cell r="FS209">
            <v>0</v>
          </cell>
          <cell r="FT209">
            <v>-61125.798999999999</v>
          </cell>
          <cell r="FU209">
            <v>0</v>
          </cell>
          <cell r="FV209">
            <v>-61125.798999999999</v>
          </cell>
          <cell r="FW209" t="str">
            <v>ELNET-LOANS</v>
          </cell>
          <cell r="FX209">
            <v>0</v>
          </cell>
          <cell r="FY209">
            <v>0</v>
          </cell>
          <cell r="GA209">
            <v>0</v>
          </cell>
          <cell r="GB209">
            <v>0</v>
          </cell>
          <cell r="GC209">
            <v>-61125.798999999999</v>
          </cell>
          <cell r="GD209">
            <v>-61945.465456825012</v>
          </cell>
          <cell r="GE209">
            <v>-61125.798999999999</v>
          </cell>
          <cell r="GF209">
            <v>4.160013499705383</v>
          </cell>
          <cell r="GG209">
            <v>-118697.75140822993</v>
          </cell>
          <cell r="GH209">
            <v>0</v>
          </cell>
        </row>
        <row r="210">
          <cell r="A210" t="str">
            <v>ALIS</v>
          </cell>
          <cell r="I210">
            <v>0</v>
          </cell>
          <cell r="U210">
            <v>0</v>
          </cell>
          <cell r="AD210">
            <v>0</v>
          </cell>
          <cell r="AF210">
            <v>-260.149</v>
          </cell>
          <cell r="AJ210">
            <v>-260.149</v>
          </cell>
          <cell r="AP210">
            <v>-260.149</v>
          </cell>
          <cell r="AR210">
            <v>-15017.421</v>
          </cell>
          <cell r="AT210">
            <v>-15277.57</v>
          </cell>
          <cell r="AV210">
            <v>15277.57</v>
          </cell>
          <cell r="AX210">
            <v>0</v>
          </cell>
          <cell r="AZ210" t="str">
            <v>ALIS</v>
          </cell>
          <cell r="BE210">
            <v>0</v>
          </cell>
          <cell r="BI210">
            <v>0</v>
          </cell>
          <cell r="BU210">
            <v>0</v>
          </cell>
          <cell r="BX210">
            <v>0</v>
          </cell>
          <cell r="CD210">
            <v>0</v>
          </cell>
          <cell r="CF210">
            <v>-1082.2190000000001</v>
          </cell>
          <cell r="CJ210">
            <v>-1082.2190000000001</v>
          </cell>
          <cell r="CP210">
            <v>-1082.2190000000001</v>
          </cell>
          <cell r="CR210">
            <v>-62472.469000000005</v>
          </cell>
          <cell r="CT210">
            <v>-63554.688000000002</v>
          </cell>
          <cell r="CU210">
            <v>0</v>
          </cell>
          <cell r="CV210">
            <v>63554.688000000002</v>
          </cell>
          <cell r="CX210">
            <v>0</v>
          </cell>
          <cell r="FN210">
            <v>0</v>
          </cell>
          <cell r="FO210">
            <v>-1082.2190000000001</v>
          </cell>
          <cell r="FR210">
            <v>-1082.2190000000001</v>
          </cell>
          <cell r="FS210">
            <v>-62472.469000000005</v>
          </cell>
          <cell r="FT210">
            <v>-63554.688000000002</v>
          </cell>
          <cell r="FU210">
            <v>63554.688000000002</v>
          </cell>
          <cell r="FV210">
            <v>0</v>
          </cell>
          <cell r="FW210" t="str">
            <v>ALIS</v>
          </cell>
          <cell r="FX210">
            <v>0</v>
          </cell>
          <cell r="FY210">
            <v>-1082.2190000000001</v>
          </cell>
          <cell r="GA210">
            <v>-1082.2190000000001</v>
          </cell>
          <cell r="GB210">
            <v>-1096.7310166566444</v>
          </cell>
          <cell r="GC210">
            <v>0</v>
          </cell>
          <cell r="GD210">
            <v>0</v>
          </cell>
          <cell r="GE210">
            <v>1082.2190000000001</v>
          </cell>
          <cell r="GF210" t="e">
            <v>#DIV/0!</v>
          </cell>
          <cell r="GG210">
            <v>0</v>
          </cell>
          <cell r="GH210">
            <v>0</v>
          </cell>
        </row>
        <row r="211">
          <cell r="A211" t="str">
            <v>IEDIOT</v>
          </cell>
          <cell r="G211">
            <v>0</v>
          </cell>
          <cell r="I211">
            <v>0</v>
          </cell>
          <cell r="U211">
            <v>0</v>
          </cell>
          <cell r="AD211">
            <v>0</v>
          </cell>
          <cell r="AF211">
            <v>-118.869</v>
          </cell>
          <cell r="AJ211">
            <v>-118.869</v>
          </cell>
          <cell r="AP211">
            <v>-118.869</v>
          </cell>
          <cell r="AR211">
            <v>-6457.37</v>
          </cell>
          <cell r="AT211">
            <v>-6576.2389999999996</v>
          </cell>
          <cell r="AX211">
            <v>-6576.2389999999996</v>
          </cell>
          <cell r="AZ211" t="str">
            <v>IEDIOT</v>
          </cell>
          <cell r="BG211">
            <v>0</v>
          </cell>
          <cell r="BI211">
            <v>0</v>
          </cell>
          <cell r="BU211">
            <v>0</v>
          </cell>
          <cell r="BX211">
            <v>0</v>
          </cell>
          <cell r="CD211">
            <v>0</v>
          </cell>
          <cell r="CF211">
            <v>-494.495</v>
          </cell>
          <cell r="CJ211">
            <v>-494.495</v>
          </cell>
          <cell r="CP211">
            <v>-494.495</v>
          </cell>
          <cell r="CR211">
            <v>-26862.66</v>
          </cell>
          <cell r="CT211">
            <v>-27357.154999999999</v>
          </cell>
          <cell r="CU211">
            <v>0</v>
          </cell>
          <cell r="CV211">
            <v>0</v>
          </cell>
          <cell r="CX211">
            <v>-27357.154999999999</v>
          </cell>
          <cell r="FE211">
            <v>0</v>
          </cell>
          <cell r="FN211">
            <v>0</v>
          </cell>
          <cell r="FO211">
            <v>-494.495</v>
          </cell>
          <cell r="FR211">
            <v>-494.495</v>
          </cell>
          <cell r="FS211">
            <v>-26862.66</v>
          </cell>
          <cell r="FT211">
            <v>-27357.154999999999</v>
          </cell>
          <cell r="FU211">
            <v>0</v>
          </cell>
          <cell r="FV211">
            <v>-27357.154999999999</v>
          </cell>
          <cell r="FW211" t="str">
            <v>IEDIOT</v>
          </cell>
          <cell r="FX211">
            <v>0</v>
          </cell>
          <cell r="FY211">
            <v>-494.495</v>
          </cell>
          <cell r="GA211">
            <v>-494.495</v>
          </cell>
          <cell r="GB211">
            <v>-501.12593114852672</v>
          </cell>
          <cell r="GC211">
            <v>-27357.154999999999</v>
          </cell>
          <cell r="GD211">
            <v>-27724.000794648226</v>
          </cell>
          <cell r="GE211">
            <v>-26862.66</v>
          </cell>
          <cell r="GF211">
            <v>4.1600001155675761</v>
          </cell>
          <cell r="GG211">
            <v>-24617.503057822021</v>
          </cell>
          <cell r="GH211">
            <v>0</v>
          </cell>
        </row>
        <row r="212">
          <cell r="A212" t="str">
            <v>MONITIN</v>
          </cell>
          <cell r="G212">
            <v>0</v>
          </cell>
          <cell r="I212">
            <v>0</v>
          </cell>
          <cell r="U212">
            <v>0</v>
          </cell>
          <cell r="AD212">
            <v>0</v>
          </cell>
          <cell r="AJ212">
            <v>0</v>
          </cell>
          <cell r="AN212">
            <v>0</v>
          </cell>
          <cell r="AP212">
            <v>0</v>
          </cell>
          <cell r="AT212">
            <v>0</v>
          </cell>
          <cell r="AV212">
            <v>0</v>
          </cell>
          <cell r="AX212">
            <v>0</v>
          </cell>
          <cell r="AZ212" t="str">
            <v>MONITIN</v>
          </cell>
          <cell r="BE212">
            <v>0</v>
          </cell>
          <cell r="BG212">
            <v>0</v>
          </cell>
          <cell r="BI212">
            <v>0</v>
          </cell>
          <cell r="BU212">
            <v>0</v>
          </cell>
          <cell r="BX212">
            <v>0</v>
          </cell>
          <cell r="CD212">
            <v>0</v>
          </cell>
          <cell r="CJ212">
            <v>0</v>
          </cell>
          <cell r="CN212">
            <v>0</v>
          </cell>
          <cell r="CP212">
            <v>0</v>
          </cell>
          <cell r="CT212">
            <v>0</v>
          </cell>
          <cell r="CU212">
            <v>0</v>
          </cell>
          <cell r="CV212">
            <v>0</v>
          </cell>
          <cell r="CX212">
            <v>0</v>
          </cell>
          <cell r="FE212">
            <v>0</v>
          </cell>
          <cell r="FN212">
            <v>0</v>
          </cell>
          <cell r="FO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 t="str">
            <v>MONITIN</v>
          </cell>
          <cell r="FX212">
            <v>0</v>
          </cell>
          <cell r="FY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 t="e">
            <v>#DIV/0!</v>
          </cell>
          <cell r="GG212">
            <v>-2309.747325930764</v>
          </cell>
          <cell r="GH212">
            <v>0</v>
          </cell>
        </row>
        <row r="213">
          <cell r="A213" t="str">
            <v>G.C.&amp; CO.</v>
          </cell>
          <cell r="M213">
            <v>0</v>
          </cell>
          <cell r="Z213">
            <v>-1046.6179999999999</v>
          </cell>
          <cell r="AB213">
            <v>1046.6179999999999</v>
          </cell>
          <cell r="AD213">
            <v>0</v>
          </cell>
          <cell r="AJ213">
            <v>0</v>
          </cell>
          <cell r="AP213">
            <v>0</v>
          </cell>
          <cell r="AT213">
            <v>0</v>
          </cell>
          <cell r="AX213">
            <v>0</v>
          </cell>
          <cell r="AZ213" t="str">
            <v>G.C.&amp; CO.</v>
          </cell>
          <cell r="BX213">
            <v>0</v>
          </cell>
          <cell r="BZ213">
            <v>-4353.9319999999998</v>
          </cell>
          <cell r="CB213">
            <v>4353.9319999999998</v>
          </cell>
          <cell r="CD213">
            <v>0</v>
          </cell>
          <cell r="CJ213">
            <v>0</v>
          </cell>
          <cell r="CP213">
            <v>0</v>
          </cell>
          <cell r="CT213">
            <v>0</v>
          </cell>
          <cell r="CU213">
            <v>0</v>
          </cell>
          <cell r="CX213">
            <v>0</v>
          </cell>
          <cell r="FG213">
            <v>0</v>
          </cell>
          <cell r="FL213">
            <v>-4353.9319999999998</v>
          </cell>
          <cell r="FM213">
            <v>4353.9319999999998</v>
          </cell>
          <cell r="FN213">
            <v>0</v>
          </cell>
          <cell r="FO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 t="str">
            <v>G.C.&amp; CO.</v>
          </cell>
          <cell r="FX213">
            <v>0</v>
          </cell>
          <cell r="FY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 t="e">
            <v>#DIV/0!</v>
          </cell>
          <cell r="GG213">
            <v>0</v>
          </cell>
          <cell r="GH213">
            <v>0</v>
          </cell>
        </row>
        <row r="214">
          <cell r="A214" t="str">
            <v>SIGNAL</v>
          </cell>
          <cell r="W214">
            <v>-125.5</v>
          </cell>
          <cell r="X214">
            <v>-125.5</v>
          </cell>
          <cell r="Z214">
            <v>-448.55099999999999</v>
          </cell>
          <cell r="AD214">
            <v>-699.55099999999993</v>
          </cell>
          <cell r="AJ214">
            <v>0</v>
          </cell>
          <cell r="AP214">
            <v>0</v>
          </cell>
          <cell r="AT214">
            <v>-699.55099999999993</v>
          </cell>
          <cell r="AX214">
            <v>-699.55099999999993</v>
          </cell>
          <cell r="AZ214" t="str">
            <v>SIGNAL</v>
          </cell>
          <cell r="BW214">
            <v>-523</v>
          </cell>
          <cell r="BX214">
            <v>-523</v>
          </cell>
          <cell r="BZ214">
            <v>-1865.971</v>
          </cell>
          <cell r="CD214">
            <v>-2911.971</v>
          </cell>
          <cell r="CJ214">
            <v>0</v>
          </cell>
          <cell r="CP214">
            <v>0</v>
          </cell>
          <cell r="CT214">
            <v>-2911.971</v>
          </cell>
          <cell r="CU214">
            <v>0</v>
          </cell>
          <cell r="CX214">
            <v>-2911.971</v>
          </cell>
          <cell r="FJ214">
            <v>-523</v>
          </cell>
          <cell r="FK214">
            <v>-523</v>
          </cell>
          <cell r="FL214">
            <v>-1865.971</v>
          </cell>
          <cell r="FN214">
            <v>-2911.971</v>
          </cell>
          <cell r="FO214">
            <v>0</v>
          </cell>
          <cell r="FR214">
            <v>0</v>
          </cell>
          <cell r="FS214">
            <v>0</v>
          </cell>
          <cell r="FT214">
            <v>-2911.971</v>
          </cell>
          <cell r="FV214">
            <v>-2911.971</v>
          </cell>
          <cell r="FW214" t="str">
            <v>SIGNAL</v>
          </cell>
          <cell r="FX214">
            <v>-2911.971</v>
          </cell>
          <cell r="FY214">
            <v>0</v>
          </cell>
          <cell r="GA214">
            <v>-2911.971</v>
          </cell>
          <cell r="GB214">
            <v>-2951.0190777510525</v>
          </cell>
          <cell r="GC214">
            <v>-2911.971</v>
          </cell>
          <cell r="GD214">
            <v>-2951.0190777510525</v>
          </cell>
          <cell r="GE214">
            <v>0</v>
          </cell>
          <cell r="GF214">
            <v>4.1626286003450792</v>
          </cell>
          <cell r="GG214">
            <v>-1865.9359381131444</v>
          </cell>
          <cell r="GH214">
            <v>0</v>
          </cell>
        </row>
        <row r="215">
          <cell r="C215">
            <v>-53895.186999999998</v>
          </cell>
          <cell r="E215">
            <v>0</v>
          </cell>
          <cell r="G215">
            <v>-1716.1889999999999</v>
          </cell>
          <cell r="I215">
            <v>-55611.375999999989</v>
          </cell>
          <cell r="O215">
            <v>0</v>
          </cell>
          <cell r="Q215">
            <v>0</v>
          </cell>
          <cell r="S215">
            <v>0</v>
          </cell>
          <cell r="U215">
            <v>0</v>
          </cell>
          <cell r="W215">
            <v>-125.5</v>
          </cell>
          <cell r="X215">
            <v>-125.5</v>
          </cell>
          <cell r="Z215">
            <v>-1495.1689999999999</v>
          </cell>
          <cell r="AB215">
            <v>1046.6179999999999</v>
          </cell>
          <cell r="AD215">
            <v>-699.55099999999993</v>
          </cell>
          <cell r="AF215">
            <v>-379.01800000000003</v>
          </cell>
          <cell r="AH215">
            <v>0</v>
          </cell>
          <cell r="AJ215">
            <v>-379.01800000000003</v>
          </cell>
          <cell r="AL215">
            <v>0</v>
          </cell>
          <cell r="AN215">
            <v>0</v>
          </cell>
          <cell r="AP215">
            <v>-379.01800000000003</v>
          </cell>
          <cell r="AR215">
            <v>-21474.791000000001</v>
          </cell>
          <cell r="AT215">
            <v>-78164.736000000004</v>
          </cell>
          <cell r="AV215">
            <v>15277.57</v>
          </cell>
          <cell r="AX215">
            <v>-62887.16599999999</v>
          </cell>
          <cell r="BC215">
            <v>-210940.58199999999</v>
          </cell>
          <cell r="BE215">
            <v>0</v>
          </cell>
          <cell r="BG215">
            <v>-20403.188999999998</v>
          </cell>
          <cell r="BI215">
            <v>-231343.77100000001</v>
          </cell>
          <cell r="BM215">
            <v>0</v>
          </cell>
          <cell r="BO215">
            <v>0</v>
          </cell>
          <cell r="BQ215">
            <v>0</v>
          </cell>
          <cell r="BS215">
            <v>0</v>
          </cell>
          <cell r="BU215">
            <v>0</v>
          </cell>
          <cell r="BW215">
            <v>-523</v>
          </cell>
          <cell r="BX215">
            <v>-523</v>
          </cell>
          <cell r="BZ215">
            <v>-6219.9030000000002</v>
          </cell>
          <cell r="CB215">
            <v>4353.9319999999998</v>
          </cell>
          <cell r="CD215">
            <v>-2911.9710000000005</v>
          </cell>
          <cell r="CF215">
            <v>-1576.7139999999999</v>
          </cell>
          <cell r="CH215">
            <v>0</v>
          </cell>
          <cell r="CJ215">
            <v>-1576.7139999999999</v>
          </cell>
          <cell r="CL215">
            <v>0</v>
          </cell>
          <cell r="CN215">
            <v>0</v>
          </cell>
          <cell r="CO215">
            <v>0</v>
          </cell>
          <cell r="CP215">
            <v>-1576.7139999999999</v>
          </cell>
          <cell r="CQ215">
            <v>0</v>
          </cell>
          <cell r="CR215">
            <v>-89335.129000000001</v>
          </cell>
          <cell r="CS215">
            <v>0</v>
          </cell>
          <cell r="CT215">
            <v>-325167.58500000008</v>
          </cell>
          <cell r="CU215">
            <v>0</v>
          </cell>
          <cell r="CV215">
            <v>63554.688000000002</v>
          </cell>
          <cell r="CW215">
            <v>0</v>
          </cell>
          <cell r="CX215">
            <v>-261612.897</v>
          </cell>
          <cell r="FC215">
            <v>-228618.77100000001</v>
          </cell>
          <cell r="FD215">
            <v>0</v>
          </cell>
          <cell r="FE215">
            <v>-2725</v>
          </cell>
          <cell r="FF215">
            <v>-231343.77100000001</v>
          </cell>
          <cell r="FG215">
            <v>0</v>
          </cell>
          <cell r="FH215">
            <v>0</v>
          </cell>
          <cell r="FI215">
            <v>0</v>
          </cell>
          <cell r="FJ215">
            <v>-523</v>
          </cell>
          <cell r="FK215">
            <v>-523</v>
          </cell>
          <cell r="FL215">
            <v>-6219.9030000000002</v>
          </cell>
          <cell r="FM215">
            <v>4353.9319999999998</v>
          </cell>
          <cell r="FN215">
            <v>-2911.971</v>
          </cell>
          <cell r="FO215">
            <v>-1576.7139999999999</v>
          </cell>
          <cell r="FP215">
            <v>0</v>
          </cell>
          <cell r="FQ215">
            <v>0</v>
          </cell>
          <cell r="FR215">
            <v>-1576.7139999999999</v>
          </cell>
          <cell r="FS215">
            <v>-89335.129000000001</v>
          </cell>
          <cell r="FT215">
            <v>-325167.58500000008</v>
          </cell>
          <cell r="FU215">
            <v>63554.688000000002</v>
          </cell>
          <cell r="FV215">
            <v>-261612.897</v>
          </cell>
          <cell r="FX215">
            <v>-2911.971</v>
          </cell>
          <cell r="FY215">
            <v>-1576.7139999999999</v>
          </cell>
          <cell r="FZ215">
            <v>0</v>
          </cell>
          <cell r="GA215">
            <v>-4488.6849999999995</v>
          </cell>
          <cell r="GB215">
            <v>-4548.8760255562238</v>
          </cell>
          <cell r="GC215">
            <v>-261612.897</v>
          </cell>
          <cell r="GD215">
            <v>-265120.99537829222</v>
          </cell>
          <cell r="GE215">
            <v>-257124.212</v>
          </cell>
          <cell r="GF215">
            <v>4.1600363578158381</v>
          </cell>
          <cell r="GG215">
            <v>-162289.47398352501</v>
          </cell>
          <cell r="GH215">
            <v>0</v>
          </cell>
        </row>
        <row r="216">
          <cell r="A216" t="str">
            <v>ADVANCES</v>
          </cell>
          <cell r="B216" t="str">
            <v>deposits</v>
          </cell>
          <cell r="C216">
            <v>0</v>
          </cell>
          <cell r="E216">
            <v>0</v>
          </cell>
          <cell r="G216">
            <v>0</v>
          </cell>
          <cell r="I216">
            <v>0</v>
          </cell>
          <cell r="M216">
            <v>0</v>
          </cell>
          <cell r="Q216">
            <v>-2945.299</v>
          </cell>
          <cell r="U216">
            <v>-2945.299</v>
          </cell>
          <cell r="W216">
            <v>-312</v>
          </cell>
          <cell r="X216">
            <v>-312</v>
          </cell>
          <cell r="Z216">
            <v>-36.557000000000002</v>
          </cell>
          <cell r="AD216">
            <v>-3605.8559999999998</v>
          </cell>
          <cell r="AH216">
            <v>0</v>
          </cell>
          <cell r="AJ216">
            <v>0</v>
          </cell>
          <cell r="AL216">
            <v>-2485</v>
          </cell>
          <cell r="AP216">
            <v>-2485</v>
          </cell>
          <cell r="AR216">
            <v>0</v>
          </cell>
          <cell r="AT216">
            <v>-6090.8559999999998</v>
          </cell>
          <cell r="AV216">
            <v>0</v>
          </cell>
          <cell r="AX216">
            <v>-6090.8559999999998</v>
          </cell>
          <cell r="AZ216" t="str">
            <v>ADVANCES</v>
          </cell>
          <cell r="BA216" t="str">
            <v>deposits</v>
          </cell>
          <cell r="BC216">
            <v>0</v>
          </cell>
          <cell r="BE216">
            <v>0</v>
          </cell>
          <cell r="BG216">
            <v>0</v>
          </cell>
          <cell r="BI216">
            <v>0</v>
          </cell>
          <cell r="BQ216">
            <v>-12252.442999999999</v>
          </cell>
          <cell r="BU216">
            <v>-12252.442999999999</v>
          </cell>
          <cell r="BW216">
            <v>-1259.5</v>
          </cell>
          <cell r="BX216">
            <v>-1259.5</v>
          </cell>
          <cell r="BZ216">
            <v>-152.07599999999999</v>
          </cell>
          <cell r="CD216">
            <v>-14923.518999999998</v>
          </cell>
          <cell r="CH216">
            <v>0</v>
          </cell>
          <cell r="CJ216">
            <v>0</v>
          </cell>
          <cell r="CL216">
            <v>-10339</v>
          </cell>
          <cell r="CP216">
            <v>-10339</v>
          </cell>
          <cell r="CR216">
            <v>0</v>
          </cell>
          <cell r="CT216">
            <v>-25262.519</v>
          </cell>
          <cell r="CU216">
            <v>0</v>
          </cell>
          <cell r="CV216">
            <v>0</v>
          </cell>
          <cell r="CX216">
            <v>-25262.519</v>
          </cell>
          <cell r="FE216">
            <v>0</v>
          </cell>
          <cell r="FG216">
            <v>0</v>
          </cell>
          <cell r="FI216">
            <v>-12252.442999999999</v>
          </cell>
          <cell r="FJ216">
            <v>-1314</v>
          </cell>
          <cell r="FK216">
            <v>-1314</v>
          </cell>
          <cell r="FL216">
            <v>-152.077</v>
          </cell>
          <cell r="FN216">
            <v>-15032.52</v>
          </cell>
          <cell r="FO216">
            <v>0</v>
          </cell>
          <cell r="FP216">
            <v>-10339</v>
          </cell>
          <cell r="FR216">
            <v>-10339</v>
          </cell>
          <cell r="FS216">
            <v>0</v>
          </cell>
          <cell r="FT216">
            <v>-25371.52</v>
          </cell>
          <cell r="FU216">
            <v>0</v>
          </cell>
          <cell r="FV216">
            <v>-25371.52</v>
          </cell>
          <cell r="FW216" t="str">
            <v>ADVANCES</v>
          </cell>
          <cell r="FX216">
            <v>-15032.52</v>
          </cell>
          <cell r="FY216">
            <v>-10339</v>
          </cell>
          <cell r="GA216">
            <v>-25371.52</v>
          </cell>
          <cell r="GB216">
            <v>-25711.739420324709</v>
          </cell>
          <cell r="GC216">
            <v>-25371.52</v>
          </cell>
          <cell r="GD216">
            <v>-25711.739420324709</v>
          </cell>
          <cell r="GE216">
            <v>0</v>
          </cell>
          <cell r="GF216">
            <v>4.1655097411595348</v>
          </cell>
          <cell r="GG216">
            <v>-24686.713865334536</v>
          </cell>
          <cell r="GH216">
            <v>0</v>
          </cell>
        </row>
        <row r="217">
          <cell r="C217">
            <v>0</v>
          </cell>
          <cell r="E217">
            <v>0</v>
          </cell>
          <cell r="G217">
            <v>0</v>
          </cell>
          <cell r="I217">
            <v>0</v>
          </cell>
          <cell r="U217">
            <v>0</v>
          </cell>
          <cell r="AD217">
            <v>0</v>
          </cell>
          <cell r="AH217">
            <v>0</v>
          </cell>
          <cell r="AJ217">
            <v>0</v>
          </cell>
          <cell r="AP217">
            <v>0</v>
          </cell>
          <cell r="AR217">
            <v>0</v>
          </cell>
          <cell r="AT217">
            <v>0</v>
          </cell>
          <cell r="AV217">
            <v>0</v>
          </cell>
          <cell r="AX217">
            <v>0</v>
          </cell>
          <cell r="BC217">
            <v>0</v>
          </cell>
          <cell r="BE217">
            <v>0</v>
          </cell>
          <cell r="BG217">
            <v>0</v>
          </cell>
          <cell r="BI217">
            <v>0</v>
          </cell>
          <cell r="BU217">
            <v>0</v>
          </cell>
          <cell r="BX217">
            <v>0</v>
          </cell>
          <cell r="CD217">
            <v>0</v>
          </cell>
          <cell r="CH217">
            <v>0</v>
          </cell>
          <cell r="CJ217">
            <v>0</v>
          </cell>
          <cell r="CL217">
            <v>0</v>
          </cell>
          <cell r="CP217">
            <v>0</v>
          </cell>
          <cell r="CR217">
            <v>0</v>
          </cell>
          <cell r="CT217">
            <v>0</v>
          </cell>
          <cell r="CU217">
            <v>0</v>
          </cell>
          <cell r="CV217">
            <v>0</v>
          </cell>
          <cell r="CX217">
            <v>0</v>
          </cell>
          <cell r="FE217">
            <v>0</v>
          </cell>
          <cell r="FN217">
            <v>0</v>
          </cell>
          <cell r="FO217">
            <v>0</v>
          </cell>
          <cell r="FR217">
            <v>0</v>
          </cell>
          <cell r="FS217">
            <v>0</v>
          </cell>
          <cell r="FT217">
            <v>0</v>
          </cell>
          <cell r="FU217">
            <v>0</v>
          </cell>
          <cell r="FV217">
            <v>0</v>
          </cell>
          <cell r="FX217">
            <v>0</v>
          </cell>
          <cell r="FY217">
            <v>0</v>
          </cell>
          <cell r="GA217">
            <v>0</v>
          </cell>
          <cell r="GB217">
            <v>0</v>
          </cell>
          <cell r="GC217">
            <v>0</v>
          </cell>
          <cell r="GD217">
            <v>0</v>
          </cell>
          <cell r="GE217">
            <v>0</v>
          </cell>
          <cell r="GF217" t="e">
            <v>#DIV/0!</v>
          </cell>
          <cell r="GG217">
            <v>0</v>
          </cell>
          <cell r="GH217">
            <v>0</v>
          </cell>
        </row>
        <row r="218">
          <cell r="C218">
            <v>0</v>
          </cell>
          <cell r="E218">
            <v>0</v>
          </cell>
          <cell r="G218">
            <v>0</v>
          </cell>
          <cell r="I218">
            <v>0</v>
          </cell>
          <cell r="O218">
            <v>0</v>
          </cell>
          <cell r="Q218">
            <v>-2945.299</v>
          </cell>
          <cell r="S218">
            <v>0</v>
          </cell>
          <cell r="U218">
            <v>-2945.299</v>
          </cell>
          <cell r="W218">
            <v>-312</v>
          </cell>
          <cell r="X218">
            <v>-312</v>
          </cell>
          <cell r="Z218">
            <v>-36.557000000000002</v>
          </cell>
          <cell r="AB218">
            <v>0</v>
          </cell>
          <cell r="AD218">
            <v>-3605.8559999999998</v>
          </cell>
          <cell r="AF218">
            <v>0</v>
          </cell>
          <cell r="AH218">
            <v>0</v>
          </cell>
          <cell r="AJ218">
            <v>0</v>
          </cell>
          <cell r="AL218">
            <v>-2485</v>
          </cell>
          <cell r="AN218">
            <v>0</v>
          </cell>
          <cell r="AP218">
            <v>-2485</v>
          </cell>
          <cell r="AR218">
            <v>0</v>
          </cell>
          <cell r="AT218">
            <v>-6090.8559999999998</v>
          </cell>
          <cell r="AV218">
            <v>0</v>
          </cell>
          <cell r="AX218">
            <v>-6090.8559999999998</v>
          </cell>
          <cell r="BC218">
            <v>0</v>
          </cell>
          <cell r="BE218">
            <v>0</v>
          </cell>
          <cell r="BG218">
            <v>0</v>
          </cell>
          <cell r="BI218">
            <v>0</v>
          </cell>
          <cell r="BO218">
            <v>0</v>
          </cell>
          <cell r="BQ218">
            <v>-12252.442999999999</v>
          </cell>
          <cell r="BS218">
            <v>0</v>
          </cell>
          <cell r="BU218">
            <v>-12252.442999999999</v>
          </cell>
          <cell r="BW218">
            <v>-1259.5</v>
          </cell>
          <cell r="BX218">
            <v>-1259.5</v>
          </cell>
          <cell r="BZ218">
            <v>-152.07599999999999</v>
          </cell>
          <cell r="CB218">
            <v>0</v>
          </cell>
          <cell r="CD218">
            <v>-14923.518999999998</v>
          </cell>
          <cell r="CF218">
            <v>0</v>
          </cell>
          <cell r="CH218">
            <v>0</v>
          </cell>
          <cell r="CJ218">
            <v>0</v>
          </cell>
          <cell r="CL218">
            <v>-10339</v>
          </cell>
          <cell r="CN218">
            <v>0</v>
          </cell>
          <cell r="CP218">
            <v>-10339</v>
          </cell>
          <cell r="CR218">
            <v>0</v>
          </cell>
          <cell r="CT218">
            <v>-25262.519</v>
          </cell>
          <cell r="CU218">
            <v>0</v>
          </cell>
          <cell r="CV218">
            <v>0</v>
          </cell>
          <cell r="CX218">
            <v>-25262.519</v>
          </cell>
          <cell r="FC218">
            <v>0</v>
          </cell>
          <cell r="FE218">
            <v>0</v>
          </cell>
          <cell r="FH218">
            <v>0</v>
          </cell>
          <cell r="FI218">
            <v>-12252.442999999999</v>
          </cell>
          <cell r="FJ218">
            <v>-1314</v>
          </cell>
          <cell r="FK218">
            <v>-1314</v>
          </cell>
          <cell r="FL218">
            <v>-152.077</v>
          </cell>
          <cell r="FM218">
            <v>0</v>
          </cell>
          <cell r="FN218">
            <v>-15032.52</v>
          </cell>
          <cell r="FO218">
            <v>0</v>
          </cell>
          <cell r="FP218">
            <v>-10339</v>
          </cell>
          <cell r="FQ218">
            <v>0</v>
          </cell>
          <cell r="FR218">
            <v>-10339</v>
          </cell>
          <cell r="FS218">
            <v>0</v>
          </cell>
          <cell r="FT218">
            <v>-25371.52</v>
          </cell>
          <cell r="FU218">
            <v>0</v>
          </cell>
          <cell r="FV218">
            <v>-25371.52</v>
          </cell>
          <cell r="FX218">
            <v>-15032.52</v>
          </cell>
          <cell r="FY218">
            <v>-10339</v>
          </cell>
          <cell r="FZ218">
            <v>0</v>
          </cell>
          <cell r="GA218">
            <v>-25371.52</v>
          </cell>
          <cell r="GB218">
            <v>-25711.739420324709</v>
          </cell>
          <cell r="GC218">
            <v>-25371.52</v>
          </cell>
          <cell r="GD218">
            <v>-25711.739420324709</v>
          </cell>
          <cell r="GE218">
            <v>0</v>
          </cell>
          <cell r="GF218">
            <v>4.1655097411595348</v>
          </cell>
          <cell r="GG218">
            <v>-24686.713865334536</v>
          </cell>
          <cell r="GH218">
            <v>0</v>
          </cell>
        </row>
        <row r="219">
          <cell r="A219" t="str">
            <v>CURR.LIABILITIES</v>
          </cell>
          <cell r="AZ219" t="str">
            <v>CURR.LIABILITIES</v>
          </cell>
          <cell r="BX219">
            <v>0</v>
          </cell>
          <cell r="CD219">
            <v>0</v>
          </cell>
          <cell r="CU219">
            <v>0</v>
          </cell>
          <cell r="FS219">
            <v>0</v>
          </cell>
          <cell r="FW219" t="str">
            <v>CURR.LIABILITIES</v>
          </cell>
          <cell r="FX219">
            <v>0</v>
          </cell>
          <cell r="FY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 t="e">
            <v>#DIV/0!</v>
          </cell>
          <cell r="GH219">
            <v>0</v>
          </cell>
        </row>
        <row r="220">
          <cell r="A220" t="str">
            <v>Banks</v>
          </cell>
          <cell r="AZ220" t="str">
            <v>Banks</v>
          </cell>
          <cell r="BX220">
            <v>0</v>
          </cell>
          <cell r="CD220">
            <v>0</v>
          </cell>
          <cell r="CU220">
            <v>0</v>
          </cell>
          <cell r="FS220">
            <v>0</v>
          </cell>
          <cell r="FW220" t="str">
            <v>Banks</v>
          </cell>
          <cell r="FX220">
            <v>0</v>
          </cell>
          <cell r="FY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 t="e">
            <v>#DIV/0!</v>
          </cell>
          <cell r="GH220">
            <v>0</v>
          </cell>
        </row>
        <row r="221">
          <cell r="A221" t="str">
            <v>Current Maturities</v>
          </cell>
          <cell r="C221">
            <v>-704.9</v>
          </cell>
          <cell r="G221">
            <v>0</v>
          </cell>
          <cell r="I221">
            <v>-704.9</v>
          </cell>
          <cell r="O221">
            <v>-22</v>
          </cell>
          <cell r="Q221">
            <v>-1743.2809999999999</v>
          </cell>
          <cell r="U221">
            <v>-1743.2809999999999</v>
          </cell>
          <cell r="W221">
            <v>-1808.5</v>
          </cell>
          <cell r="X221">
            <v>-1808.5</v>
          </cell>
          <cell r="AD221">
            <v>-5360.2809999999999</v>
          </cell>
          <cell r="AJ221">
            <v>0</v>
          </cell>
          <cell r="AL221">
            <v>-6067.473</v>
          </cell>
          <cell r="AP221">
            <v>-6067.473</v>
          </cell>
          <cell r="AT221">
            <v>-12154.653999999999</v>
          </cell>
          <cell r="AX221">
            <v>-12154.653999999999</v>
          </cell>
          <cell r="AZ221" t="str">
            <v>Current Maturities</v>
          </cell>
          <cell r="BC221">
            <v>-2575.0320000000002</v>
          </cell>
          <cell r="BI221">
            <v>-2575.0320000000002</v>
          </cell>
          <cell r="BO221">
            <v>-90.5</v>
          </cell>
          <cell r="BQ221">
            <v>-7252.0470000000005</v>
          </cell>
          <cell r="BU221">
            <v>-7252.0470000000005</v>
          </cell>
          <cell r="BW221">
            <v>-7523</v>
          </cell>
          <cell r="BX221">
            <v>-7523</v>
          </cell>
          <cell r="CD221">
            <v>-22298.046999999999</v>
          </cell>
          <cell r="CJ221">
            <v>0</v>
          </cell>
          <cell r="CL221">
            <v>-25241</v>
          </cell>
          <cell r="CP221">
            <v>-25241</v>
          </cell>
          <cell r="CT221">
            <v>-50204.578999999998</v>
          </cell>
          <cell r="CU221">
            <v>0</v>
          </cell>
          <cell r="CX221">
            <v>-50204.578999999998</v>
          </cell>
          <cell r="FC221">
            <v>-2932.384</v>
          </cell>
          <cell r="FE221">
            <v>0</v>
          </cell>
          <cell r="FF221">
            <v>-2932.384</v>
          </cell>
          <cell r="FG221">
            <v>0</v>
          </cell>
          <cell r="FH221">
            <v>-90.5</v>
          </cell>
          <cell r="FI221">
            <v>-7252.0470000000005</v>
          </cell>
          <cell r="FJ221">
            <v>-7523</v>
          </cell>
          <cell r="FK221">
            <v>-7523</v>
          </cell>
          <cell r="FN221">
            <v>-22298.046999999999</v>
          </cell>
          <cell r="FO221">
            <v>0</v>
          </cell>
          <cell r="FP221">
            <v>-25241</v>
          </cell>
          <cell r="FR221">
            <v>-25241</v>
          </cell>
          <cell r="FS221">
            <v>0</v>
          </cell>
          <cell r="FT221">
            <v>-50561.930999999997</v>
          </cell>
          <cell r="FV221">
            <v>-50561.930999999997</v>
          </cell>
          <cell r="FW221" t="str">
            <v>Current Maturities</v>
          </cell>
          <cell r="FX221">
            <v>-22298.046999999999</v>
          </cell>
          <cell r="FY221">
            <v>-25241</v>
          </cell>
          <cell r="GA221">
            <v>-47539.046999999999</v>
          </cell>
          <cell r="GB221">
            <v>-48176.52189362597</v>
          </cell>
          <cell r="GC221">
            <v>-50561.930999999997</v>
          </cell>
          <cell r="GD221">
            <v>-51239.941259350569</v>
          </cell>
          <cell r="GE221">
            <v>-3022.8839999999982</v>
          </cell>
          <cell r="GF221">
            <v>4.1598823792104653</v>
          </cell>
          <cell r="GG221">
            <v>-27337.758290006532</v>
          </cell>
          <cell r="GH221">
            <v>0</v>
          </cell>
        </row>
        <row r="222">
          <cell r="A222" t="str">
            <v>Bank overdrafts</v>
          </cell>
          <cell r="G222">
            <v>0</v>
          </cell>
          <cell r="I222">
            <v>0</v>
          </cell>
          <cell r="O222">
            <v>-1220.5</v>
          </cell>
          <cell r="Q222">
            <v>-61492.355000000003</v>
          </cell>
          <cell r="U222">
            <v>-61492.355000000003</v>
          </cell>
          <cell r="W222">
            <v>-12612.5</v>
          </cell>
          <cell r="X222">
            <v>-12612.5</v>
          </cell>
          <cell r="AD222">
            <v>-86717.35500000001</v>
          </cell>
          <cell r="AH222">
            <v>0</v>
          </cell>
          <cell r="AJ222">
            <v>0</v>
          </cell>
          <cell r="AL222">
            <v>-22.951000000000001</v>
          </cell>
          <cell r="AP222">
            <v>-22.951000000000001</v>
          </cell>
          <cell r="AT222">
            <v>-87960.806000000011</v>
          </cell>
          <cell r="AX222">
            <v>-87960.806000000011</v>
          </cell>
          <cell r="AZ222" t="str">
            <v>Bank overdrafts</v>
          </cell>
          <cell r="BG222">
            <v>0</v>
          </cell>
          <cell r="BI222">
            <v>0</v>
          </cell>
          <cell r="BO222">
            <v>-5079</v>
          </cell>
          <cell r="BQ222">
            <v>-255810.19899999999</v>
          </cell>
          <cell r="BU222">
            <v>-255810.19899999999</v>
          </cell>
          <cell r="BW222">
            <v>-52468</v>
          </cell>
          <cell r="BX222">
            <v>-52468</v>
          </cell>
          <cell r="CD222">
            <v>-360746.19900000002</v>
          </cell>
          <cell r="CH222">
            <v>0</v>
          </cell>
          <cell r="CJ222">
            <v>0</v>
          </cell>
          <cell r="CL222">
            <v>-95</v>
          </cell>
          <cell r="CP222">
            <v>-95</v>
          </cell>
          <cell r="CR222">
            <v>0</v>
          </cell>
          <cell r="CT222">
            <v>-365920.19900000002</v>
          </cell>
          <cell r="CU222">
            <v>0</v>
          </cell>
          <cell r="CV222">
            <v>0</v>
          </cell>
          <cell r="CX222">
            <v>-365920.19900000002</v>
          </cell>
          <cell r="FE222">
            <v>0</v>
          </cell>
          <cell r="FH222">
            <v>-5079</v>
          </cell>
          <cell r="FI222">
            <v>-255810.19899999999</v>
          </cell>
          <cell r="FJ222">
            <v>-52468</v>
          </cell>
          <cell r="FK222">
            <v>-52468</v>
          </cell>
          <cell r="FN222">
            <v>-360746.19900000002</v>
          </cell>
          <cell r="FO222">
            <v>0</v>
          </cell>
          <cell r="FP222">
            <v>-95</v>
          </cell>
          <cell r="FR222">
            <v>-95</v>
          </cell>
          <cell r="FS222">
            <v>0</v>
          </cell>
          <cell r="FT222">
            <v>-365920.19900000002</v>
          </cell>
          <cell r="FU222">
            <v>0</v>
          </cell>
          <cell r="FV222">
            <v>-365920.19900000002</v>
          </cell>
          <cell r="FW222" t="str">
            <v>Bank overdrafts</v>
          </cell>
          <cell r="FX222">
            <v>-360746.19900000002</v>
          </cell>
          <cell r="FY222">
            <v>-95</v>
          </cell>
          <cell r="GA222">
            <v>-360841.19900000002</v>
          </cell>
          <cell r="GB222">
            <v>-365679.89938346361</v>
          </cell>
          <cell r="GC222">
            <v>-365920.19900000002</v>
          </cell>
          <cell r="GD222">
            <v>-370827.00623854483</v>
          </cell>
          <cell r="GE222">
            <v>-5079</v>
          </cell>
          <cell r="GF222">
            <v>4.1600369032543876</v>
          </cell>
          <cell r="GG222">
            <v>-2182.5935421293279</v>
          </cell>
          <cell r="GH222">
            <v>0</v>
          </cell>
        </row>
        <row r="223">
          <cell r="A223" t="str">
            <v>Total Banks</v>
          </cell>
          <cell r="C223">
            <v>-704.9</v>
          </cell>
          <cell r="E223">
            <v>0</v>
          </cell>
          <cell r="G223">
            <v>0</v>
          </cell>
          <cell r="I223">
            <v>-704.9</v>
          </cell>
          <cell r="O223">
            <v>-1243</v>
          </cell>
          <cell r="Q223">
            <v>-63235.636000000006</v>
          </cell>
          <cell r="S223">
            <v>0</v>
          </cell>
          <cell r="U223">
            <v>-63235.636000000006</v>
          </cell>
          <cell r="W223">
            <v>-14421</v>
          </cell>
          <cell r="X223">
            <v>-14421</v>
          </cell>
          <cell r="Z223">
            <v>0</v>
          </cell>
          <cell r="AB223">
            <v>0</v>
          </cell>
          <cell r="AD223">
            <v>-92077.636000000013</v>
          </cell>
          <cell r="AF223">
            <v>0</v>
          </cell>
          <cell r="AH223">
            <v>0</v>
          </cell>
          <cell r="AJ223">
            <v>0</v>
          </cell>
          <cell r="AL223">
            <v>-6090.424</v>
          </cell>
          <cell r="AN223">
            <v>0</v>
          </cell>
          <cell r="AP223">
            <v>-6090.424</v>
          </cell>
          <cell r="AR223">
            <v>0</v>
          </cell>
          <cell r="AT223">
            <v>-100115.46</v>
          </cell>
          <cell r="AV223">
            <v>0</v>
          </cell>
          <cell r="AX223">
            <v>-100115.46</v>
          </cell>
          <cell r="AZ223" t="str">
            <v>Total Banks</v>
          </cell>
          <cell r="BC223">
            <v>-2575.0320000000002</v>
          </cell>
          <cell r="BE223">
            <v>0</v>
          </cell>
          <cell r="BG223">
            <v>0</v>
          </cell>
          <cell r="BI223">
            <v>-2575.0320000000002</v>
          </cell>
          <cell r="BO223">
            <v>-5169.5</v>
          </cell>
          <cell r="BQ223">
            <v>-263062.24599999998</v>
          </cell>
          <cell r="BS223">
            <v>0</v>
          </cell>
          <cell r="BU223">
            <v>-263062.24599999998</v>
          </cell>
          <cell r="BW223">
            <v>-59991</v>
          </cell>
          <cell r="BX223">
            <v>-59991</v>
          </cell>
          <cell r="BZ223">
            <v>0</v>
          </cell>
          <cell r="CB223">
            <v>0</v>
          </cell>
          <cell r="CD223">
            <v>-383044.24599999998</v>
          </cell>
          <cell r="CF223">
            <v>0</v>
          </cell>
          <cell r="CH223">
            <v>0</v>
          </cell>
          <cell r="CJ223">
            <v>0</v>
          </cell>
          <cell r="CL223">
            <v>-25336</v>
          </cell>
          <cell r="CN223">
            <v>0</v>
          </cell>
          <cell r="CP223">
            <v>-25336</v>
          </cell>
          <cell r="CR223">
            <v>0</v>
          </cell>
          <cell r="CT223">
            <v>-416124.77800000005</v>
          </cell>
          <cell r="CU223">
            <v>0</v>
          </cell>
          <cell r="CV223">
            <v>0</v>
          </cell>
          <cell r="CX223">
            <v>-416124.77800000005</v>
          </cell>
          <cell r="FC223">
            <v>-2932.384</v>
          </cell>
          <cell r="FD223">
            <v>0</v>
          </cell>
          <cell r="FE223">
            <v>0</v>
          </cell>
          <cell r="FF223">
            <v>-2932.384</v>
          </cell>
          <cell r="FG223">
            <v>0</v>
          </cell>
          <cell r="FH223">
            <v>-5169.5</v>
          </cell>
          <cell r="FI223">
            <v>-263062.24599999998</v>
          </cell>
          <cell r="FJ223">
            <v>-59991</v>
          </cell>
          <cell r="FK223">
            <v>-59991</v>
          </cell>
          <cell r="FL223">
            <v>0</v>
          </cell>
          <cell r="FM223">
            <v>0</v>
          </cell>
          <cell r="FN223">
            <v>-383044.24600000004</v>
          </cell>
          <cell r="FO223">
            <v>0</v>
          </cell>
          <cell r="FP223">
            <v>-25336</v>
          </cell>
          <cell r="FQ223">
            <v>0</v>
          </cell>
          <cell r="FR223">
            <v>-25336</v>
          </cell>
          <cell r="FS223">
            <v>0</v>
          </cell>
          <cell r="FT223">
            <v>-416482.13</v>
          </cell>
          <cell r="FU223">
            <v>0</v>
          </cell>
          <cell r="FV223">
            <v>-416482.13</v>
          </cell>
          <cell r="FW223" t="str">
            <v>Total Banks</v>
          </cell>
          <cell r="FX223">
            <v>-383044.24600000004</v>
          </cell>
          <cell r="FY223">
            <v>-25336</v>
          </cell>
          <cell r="FZ223">
            <v>0</v>
          </cell>
          <cell r="GA223">
            <v>-408380.24600000004</v>
          </cell>
          <cell r="GB223">
            <v>-413856.42127708957</v>
          </cell>
          <cell r="GC223">
            <v>-416482.13</v>
          </cell>
          <cell r="GD223">
            <v>-422066.94749789539</v>
          </cell>
          <cell r="GE223">
            <v>-8101.8839999999982</v>
          </cell>
          <cell r="GF223">
            <v>4.1600181430520315</v>
          </cell>
          <cell r="GG223">
            <v>-29520.351832135861</v>
          </cell>
          <cell r="GH223">
            <v>0</v>
          </cell>
        </row>
        <row r="224">
          <cell r="A224" t="str">
            <v>Creditors</v>
          </cell>
          <cell r="AT224">
            <v>0</v>
          </cell>
          <cell r="AZ224" t="str">
            <v>Creditors</v>
          </cell>
          <cell r="BX224">
            <v>0</v>
          </cell>
          <cell r="CD224">
            <v>0</v>
          </cell>
          <cell r="CT224">
            <v>0</v>
          </cell>
          <cell r="CU224">
            <v>0</v>
          </cell>
          <cell r="FW224" t="str">
            <v>Creditors</v>
          </cell>
          <cell r="FX224">
            <v>0</v>
          </cell>
          <cell r="FY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 t="e">
            <v>#DIV/0!</v>
          </cell>
          <cell r="GH224">
            <v>0</v>
          </cell>
        </row>
        <row r="225">
          <cell r="A225" t="str">
            <v>suppliers-n.i.s.</v>
          </cell>
          <cell r="I225">
            <v>0</v>
          </cell>
          <cell r="M225" t="str">
            <v xml:space="preserve"> </v>
          </cell>
          <cell r="O225">
            <v>-1856.5</v>
          </cell>
          <cell r="Q225">
            <v>-6638.6909999999998</v>
          </cell>
          <cell r="U225">
            <v>-6638.6909999999998</v>
          </cell>
          <cell r="W225">
            <v>-639.5</v>
          </cell>
          <cell r="X225">
            <v>-639.5</v>
          </cell>
          <cell r="Z225">
            <v>-18.946000000000002</v>
          </cell>
          <cell r="AD225">
            <v>-7936.6369999999997</v>
          </cell>
          <cell r="AJ225">
            <v>0</v>
          </cell>
          <cell r="AL225">
            <v>-1182.865</v>
          </cell>
          <cell r="AP225">
            <v>-1182.865</v>
          </cell>
          <cell r="AR225">
            <v>-37.225999999999999</v>
          </cell>
          <cell r="AT225">
            <v>-11013.227999999999</v>
          </cell>
          <cell r="AV225">
            <v>0</v>
          </cell>
          <cell r="AX225">
            <v>-11013.227999999999</v>
          </cell>
          <cell r="AZ225" t="str">
            <v>suppliers-n.i.s.</v>
          </cell>
          <cell r="BI225">
            <v>0</v>
          </cell>
          <cell r="BO225">
            <v>-7713</v>
          </cell>
          <cell r="BQ225">
            <v>-27616.954000000002</v>
          </cell>
          <cell r="BU225">
            <v>-27616.954000000002</v>
          </cell>
          <cell r="BW225">
            <v>-2660.5</v>
          </cell>
          <cell r="BX225">
            <v>-2660.5</v>
          </cell>
          <cell r="BZ225">
            <v>-78.816999999999993</v>
          </cell>
          <cell r="CD225">
            <v>-33016.771000000001</v>
          </cell>
          <cell r="CJ225">
            <v>0</v>
          </cell>
          <cell r="CL225">
            <v>-4797</v>
          </cell>
          <cell r="CP225">
            <v>-4797</v>
          </cell>
          <cell r="CR225">
            <v>-154.90899999999999</v>
          </cell>
          <cell r="CT225">
            <v>-45681.68</v>
          </cell>
          <cell r="CU225">
            <v>0</v>
          </cell>
          <cell r="CX225">
            <v>-45681.68</v>
          </cell>
          <cell r="FH225">
            <v>-7713</v>
          </cell>
          <cell r="FI225">
            <v>-27616.954000000002</v>
          </cell>
          <cell r="FJ225">
            <v>-2660.5</v>
          </cell>
          <cell r="FK225">
            <v>-2660.5</v>
          </cell>
          <cell r="FL225">
            <v>-78.816999999999993</v>
          </cell>
          <cell r="FN225">
            <v>-33016.771000000001</v>
          </cell>
          <cell r="FO225">
            <v>0</v>
          </cell>
          <cell r="FP225">
            <v>-4908</v>
          </cell>
          <cell r="FR225">
            <v>-4908</v>
          </cell>
          <cell r="FS225">
            <v>-154.86000000000001</v>
          </cell>
          <cell r="FT225">
            <v>-45792.631000000001</v>
          </cell>
          <cell r="FV225">
            <v>-45792.631000000001</v>
          </cell>
          <cell r="FW225" t="str">
            <v>suppliers-n.i.s.</v>
          </cell>
          <cell r="FX225">
            <v>-33016.771000000001</v>
          </cell>
          <cell r="FY225">
            <v>-4908</v>
          </cell>
          <cell r="GA225">
            <v>-37924.771000000001</v>
          </cell>
          <cell r="GB225">
            <v>-38433.323250932051</v>
          </cell>
          <cell r="GC225">
            <v>-45792.631000000001</v>
          </cell>
          <cell r="GD225">
            <v>-46406.687326698731</v>
          </cell>
          <cell r="GE225">
            <v>-7867.86</v>
          </cell>
          <cell r="GF225">
            <v>4.1579663110579395</v>
          </cell>
          <cell r="GG225">
            <v>-32227.76773960104</v>
          </cell>
          <cell r="GH225">
            <v>0</v>
          </cell>
        </row>
        <row r="226">
          <cell r="A226" t="str">
            <v>suppliers-f.c.</v>
          </cell>
          <cell r="M226" t="str">
            <v xml:space="preserve"> </v>
          </cell>
          <cell r="Q226">
            <v>-474.85500000000002</v>
          </cell>
          <cell r="U226">
            <v>-474.85500000000002</v>
          </cell>
          <cell r="AD226">
            <v>-474.85500000000002</v>
          </cell>
          <cell r="AJ226">
            <v>0</v>
          </cell>
          <cell r="AP226">
            <v>0</v>
          </cell>
          <cell r="AT226">
            <v>-474.85500000000002</v>
          </cell>
          <cell r="AX226">
            <v>-474.85500000000002</v>
          </cell>
          <cell r="AZ226" t="str">
            <v>suppliers-f.c.</v>
          </cell>
          <cell r="BI226">
            <v>0</v>
          </cell>
          <cell r="BQ226">
            <v>-1975.568</v>
          </cell>
          <cell r="BU226">
            <v>-1975.568</v>
          </cell>
          <cell r="BX226">
            <v>0</v>
          </cell>
          <cell r="CD226">
            <v>-1975.568</v>
          </cell>
          <cell r="CJ226">
            <v>0</v>
          </cell>
          <cell r="CP226">
            <v>0</v>
          </cell>
          <cell r="CT226">
            <v>-1975.568</v>
          </cell>
          <cell r="CU226">
            <v>0</v>
          </cell>
          <cell r="CX226">
            <v>-1975.568</v>
          </cell>
          <cell r="FI226">
            <v>-1975.568</v>
          </cell>
          <cell r="FN226">
            <v>-1975.568</v>
          </cell>
          <cell r="FO226">
            <v>0</v>
          </cell>
          <cell r="FR226">
            <v>0</v>
          </cell>
          <cell r="FS226">
            <v>0</v>
          </cell>
          <cell r="FT226">
            <v>-1975.568</v>
          </cell>
          <cell r="FV226">
            <v>-1975.568</v>
          </cell>
          <cell r="FW226" t="str">
            <v>suppliers-f.c.</v>
          </cell>
          <cell r="FX226">
            <v>-1975.568</v>
          </cell>
          <cell r="FY226">
            <v>0</v>
          </cell>
          <cell r="GA226">
            <v>-1975.568</v>
          </cell>
          <cell r="GB226">
            <v>-2002.0593808779313</v>
          </cell>
          <cell r="GC226">
            <v>-1975.568</v>
          </cell>
          <cell r="GD226">
            <v>-2002.0593808779313</v>
          </cell>
          <cell r="GE226">
            <v>0</v>
          </cell>
          <cell r="GF226">
            <v>4.1603605311094967</v>
          </cell>
          <cell r="GG226">
            <v>-285.23712596883757</v>
          </cell>
          <cell r="GH226">
            <v>0</v>
          </cell>
        </row>
        <row r="227">
          <cell r="A227" t="str">
            <v>checks payable</v>
          </cell>
          <cell r="E227">
            <v>0</v>
          </cell>
          <cell r="I227">
            <v>0</v>
          </cell>
          <cell r="M227" t="str">
            <v xml:space="preserve"> </v>
          </cell>
          <cell r="O227">
            <v>-99.5</v>
          </cell>
          <cell r="Q227">
            <v>-270.67399999999998</v>
          </cell>
          <cell r="U227">
            <v>-270.67399999999998</v>
          </cell>
          <cell r="W227">
            <v>-415</v>
          </cell>
          <cell r="X227">
            <v>-415</v>
          </cell>
          <cell r="AD227">
            <v>-1100.674</v>
          </cell>
          <cell r="AJ227">
            <v>0</v>
          </cell>
          <cell r="AP227">
            <v>0</v>
          </cell>
          <cell r="AR227">
            <v>-161.352</v>
          </cell>
          <cell r="AT227">
            <v>-1361.5260000000001</v>
          </cell>
          <cell r="AV227">
            <v>0</v>
          </cell>
          <cell r="AX227">
            <v>-1361.5260000000001</v>
          </cell>
          <cell r="AZ227" t="str">
            <v>checks payable</v>
          </cell>
          <cell r="BI227">
            <v>0</v>
          </cell>
          <cell r="BO227">
            <v>-412.5</v>
          </cell>
          <cell r="BQ227">
            <v>-1126.0050000000001</v>
          </cell>
          <cell r="BU227">
            <v>-1126.0050000000001</v>
          </cell>
          <cell r="BW227">
            <v>-1726.5</v>
          </cell>
          <cell r="BX227">
            <v>-1726.5</v>
          </cell>
          <cell r="CD227">
            <v>-4579.0050000000001</v>
          </cell>
          <cell r="CJ227">
            <v>0</v>
          </cell>
          <cell r="CL227">
            <v>-111</v>
          </cell>
          <cell r="CP227">
            <v>-111</v>
          </cell>
          <cell r="CR227">
            <v>-671.226</v>
          </cell>
          <cell r="CT227">
            <v>-5773.7309999999998</v>
          </cell>
          <cell r="CU227">
            <v>0</v>
          </cell>
          <cell r="CX227">
            <v>-5773.7309999999998</v>
          </cell>
          <cell r="FH227">
            <v>-412.5</v>
          </cell>
          <cell r="FI227">
            <v>-1126.0050000000001</v>
          </cell>
          <cell r="FJ227">
            <v>-1726.5</v>
          </cell>
          <cell r="FK227">
            <v>-1726.5</v>
          </cell>
          <cell r="FN227">
            <v>-4579.0050000000001</v>
          </cell>
          <cell r="FO227">
            <v>0</v>
          </cell>
          <cell r="FS227">
            <v>-671.226</v>
          </cell>
          <cell r="FT227">
            <v>-5662.7309999999998</v>
          </cell>
          <cell r="FV227">
            <v>-5662.7309999999998</v>
          </cell>
          <cell r="FW227" t="str">
            <v>checks payable</v>
          </cell>
          <cell r="FX227">
            <v>-4579.0050000000001</v>
          </cell>
          <cell r="FY227">
            <v>0</v>
          </cell>
          <cell r="GA227">
            <v>-4579.0050000000001</v>
          </cell>
          <cell r="GB227">
            <v>-4640.4071716776907</v>
          </cell>
          <cell r="GC227">
            <v>-5662.7309999999998</v>
          </cell>
          <cell r="GD227">
            <v>-5738.6653964521938</v>
          </cell>
          <cell r="GE227">
            <v>-1083.7259999999997</v>
          </cell>
          <cell r="GF227">
            <v>4.1591060324958899</v>
          </cell>
          <cell r="GG227">
            <v>-877.88480481621548</v>
          </cell>
          <cell r="GH227">
            <v>0</v>
          </cell>
        </row>
        <row r="228">
          <cell r="A228" t="str">
            <v>DAPIM/OTHER RELATED</v>
          </cell>
          <cell r="I228">
            <v>0</v>
          </cell>
          <cell r="M228" t="str">
            <v xml:space="preserve"> </v>
          </cell>
          <cell r="O228">
            <v>-62.402999999999999</v>
          </cell>
          <cell r="Q228">
            <v>-1277.8699999999999</v>
          </cell>
          <cell r="U228">
            <v>-1277.8699999999999</v>
          </cell>
          <cell r="W228">
            <v>-1659.5</v>
          </cell>
          <cell r="X228">
            <v>-1847.5</v>
          </cell>
          <cell r="Z228">
            <v>-75.697999999999993</v>
          </cell>
          <cell r="AD228">
            <v>-4860.5680000000002</v>
          </cell>
          <cell r="AJ228">
            <v>0</v>
          </cell>
          <cell r="AL228">
            <v>-2816.7959999999998</v>
          </cell>
          <cell r="AN228">
            <v>26.103999999999999</v>
          </cell>
          <cell r="AP228">
            <v>-2790.692</v>
          </cell>
          <cell r="AT228">
            <v>-7713.6630000000005</v>
          </cell>
          <cell r="AV228">
            <v>6767.4670000000006</v>
          </cell>
          <cell r="AX228">
            <v>-946.19599999999991</v>
          </cell>
          <cell r="AZ228" t="str">
            <v>DAPIM/OTHER RELATED</v>
          </cell>
          <cell r="BC228">
            <v>1109.6199999999999</v>
          </cell>
          <cell r="BI228">
            <v>1109.6199999999999</v>
          </cell>
          <cell r="BQ228">
            <v>-8970.9490000000005</v>
          </cell>
          <cell r="BU228">
            <v>-8970.9490000000005</v>
          </cell>
          <cell r="BW228">
            <v>-6902.5</v>
          </cell>
          <cell r="BX228">
            <v>-7686.5</v>
          </cell>
          <cell r="BZ228">
            <v>-314.90499999999997</v>
          </cell>
          <cell r="CD228">
            <v>-23874.853999999999</v>
          </cell>
          <cell r="CJ228">
            <v>0</v>
          </cell>
          <cell r="CL228">
            <v>-11718</v>
          </cell>
          <cell r="CN228">
            <v>108.59399999999999</v>
          </cell>
          <cell r="CP228">
            <v>-11609.406000000001</v>
          </cell>
          <cell r="CT228">
            <v>-34374.639999999999</v>
          </cell>
          <cell r="CU228">
            <v>0</v>
          </cell>
          <cell r="CV228">
            <v>27160.095000000001</v>
          </cell>
          <cell r="CX228">
            <v>-7214.5449999999983</v>
          </cell>
          <cell r="FC228">
            <v>1109.6199999999999</v>
          </cell>
          <cell r="FE228">
            <v>-1109.6199999999999</v>
          </cell>
          <cell r="FF228">
            <v>0</v>
          </cell>
          <cell r="FH228">
            <v>-271</v>
          </cell>
          <cell r="FI228">
            <v>-5340.5609999999997</v>
          </cell>
          <cell r="FJ228">
            <v>-6901.5</v>
          </cell>
          <cell r="FK228">
            <v>-7686.5</v>
          </cell>
          <cell r="FL228">
            <v>-314.90499999999997</v>
          </cell>
          <cell r="FN228">
            <v>-20243.466</v>
          </cell>
          <cell r="FO228">
            <v>0</v>
          </cell>
          <cell r="FP228">
            <v>-11718</v>
          </cell>
          <cell r="FR228">
            <v>-11718</v>
          </cell>
          <cell r="FS228">
            <v>0</v>
          </cell>
          <cell r="FT228">
            <v>-32232.466</v>
          </cell>
          <cell r="FU228">
            <v>28256.663400000001</v>
          </cell>
          <cell r="FV228">
            <v>-3975.8025999999991</v>
          </cell>
          <cell r="FW228" t="str">
            <v>DAPIM/OTHER RELATED</v>
          </cell>
          <cell r="FX228">
            <v>-20243.466</v>
          </cell>
          <cell r="FY228">
            <v>-11718</v>
          </cell>
          <cell r="GA228">
            <v>-31961.466</v>
          </cell>
          <cell r="GB228">
            <v>-32390.05330715574</v>
          </cell>
          <cell r="GC228">
            <v>-3975.8025999999991</v>
          </cell>
          <cell r="GD228">
            <v>-4029.1161285508106</v>
          </cell>
          <cell r="GE228">
            <v>27985.663400000001</v>
          </cell>
          <cell r="GF228">
            <v>4.2018805828813477</v>
          </cell>
          <cell r="GG228">
            <v>693.84403758002293</v>
          </cell>
          <cell r="GH228">
            <v>0</v>
          </cell>
        </row>
        <row r="229">
          <cell r="A229" t="str">
            <v>BALANCE IN RESPECT OF SUBSIDIARY</v>
          </cell>
          <cell r="I229">
            <v>0</v>
          </cell>
          <cell r="Q229">
            <v>-872.68899999999996</v>
          </cell>
          <cell r="U229">
            <v>-872.68899999999996</v>
          </cell>
          <cell r="AD229">
            <v>-872.68899999999996</v>
          </cell>
          <cell r="AJ229">
            <v>0</v>
          </cell>
          <cell r="AP229">
            <v>0</v>
          </cell>
          <cell r="AT229">
            <v>-872.68899999999996</v>
          </cell>
          <cell r="AX229">
            <v>-872.68899999999996</v>
          </cell>
          <cell r="AZ229" t="str">
            <v>BALANCE IN RESPECT OF SUBSIDIARY</v>
          </cell>
          <cell r="FI229">
            <v>-3630.3879999999999</v>
          </cell>
          <cell r="FN229">
            <v>-3630.3879999999999</v>
          </cell>
          <cell r="FT229">
            <v>-3630.3879999999999</v>
          </cell>
          <cell r="FV229">
            <v>-3630.3879999999999</v>
          </cell>
          <cell r="FX229">
            <v>-3630.3879999999999</v>
          </cell>
          <cell r="FY229">
            <v>0</v>
          </cell>
          <cell r="GA229">
            <v>-3630.3879999999999</v>
          </cell>
          <cell r="GB229">
            <v>-3679.0696911605528</v>
          </cell>
          <cell r="GC229">
            <v>-3630.3879999999999</v>
          </cell>
          <cell r="GD229">
            <v>-3679.0696911605528</v>
          </cell>
          <cell r="GE229">
            <v>0</v>
          </cell>
          <cell r="GF229">
            <v>4.1600020167551097</v>
          </cell>
        </row>
        <row r="230">
          <cell r="A230" t="str">
            <v>ORUM</v>
          </cell>
          <cell r="I230">
            <v>0</v>
          </cell>
          <cell r="M230" t="str">
            <v xml:space="preserve"> </v>
          </cell>
          <cell r="U230">
            <v>0</v>
          </cell>
          <cell r="AD230">
            <v>0</v>
          </cell>
          <cell r="AJ230">
            <v>0</v>
          </cell>
          <cell r="AP230">
            <v>0</v>
          </cell>
          <cell r="AT230">
            <v>0</v>
          </cell>
          <cell r="AX230">
            <v>0</v>
          </cell>
          <cell r="AZ230" t="str">
            <v>ORUM</v>
          </cell>
          <cell r="BI230">
            <v>0</v>
          </cell>
          <cell r="BU230">
            <v>0</v>
          </cell>
          <cell r="BX230">
            <v>0</v>
          </cell>
          <cell r="CD230">
            <v>0</v>
          </cell>
          <cell r="CJ230">
            <v>0</v>
          </cell>
          <cell r="CP230">
            <v>0</v>
          </cell>
          <cell r="CT230">
            <v>0</v>
          </cell>
          <cell r="CU230">
            <v>0</v>
          </cell>
          <cell r="CX230">
            <v>0</v>
          </cell>
          <cell r="FN230">
            <v>0</v>
          </cell>
          <cell r="FO230">
            <v>0</v>
          </cell>
          <cell r="FR230">
            <v>0</v>
          </cell>
          <cell r="FS230">
            <v>0</v>
          </cell>
          <cell r="FT230">
            <v>0</v>
          </cell>
          <cell r="FV230">
            <v>0</v>
          </cell>
          <cell r="FW230" t="str">
            <v>ORUM</v>
          </cell>
          <cell r="FX230">
            <v>0</v>
          </cell>
          <cell r="FY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 t="e">
            <v>#DIV/0!</v>
          </cell>
          <cell r="GG230">
            <v>0.32322073039878285</v>
          </cell>
          <cell r="GH230">
            <v>0</v>
          </cell>
        </row>
        <row r="231">
          <cell r="A231" t="str">
            <v>Unearned income</v>
          </cell>
          <cell r="I231">
            <v>0</v>
          </cell>
          <cell r="M231">
            <v>-9.530528846153846</v>
          </cell>
          <cell r="O231">
            <v>-206.5</v>
          </cell>
          <cell r="U231">
            <v>0</v>
          </cell>
          <cell r="AD231">
            <v>0</v>
          </cell>
          <cell r="AJ231">
            <v>0</v>
          </cell>
          <cell r="AP231">
            <v>0</v>
          </cell>
          <cell r="AT231">
            <v>-216.03052884615386</v>
          </cell>
          <cell r="AX231">
            <v>-216.03052884615386</v>
          </cell>
          <cell r="AZ231" t="str">
            <v>Unearned income</v>
          </cell>
          <cell r="BI231">
            <v>0</v>
          </cell>
          <cell r="BM231">
            <v>-29.942</v>
          </cell>
          <cell r="BO231">
            <v>-783</v>
          </cell>
          <cell r="BU231">
            <v>0</v>
          </cell>
          <cell r="BX231">
            <v>0</v>
          </cell>
          <cell r="CD231">
            <v>0</v>
          </cell>
          <cell r="CJ231">
            <v>0</v>
          </cell>
          <cell r="CP231">
            <v>0</v>
          </cell>
          <cell r="CT231">
            <v>-812.94200000000001</v>
          </cell>
          <cell r="CU231">
            <v>0</v>
          </cell>
          <cell r="CX231">
            <v>-812.94200000000001</v>
          </cell>
          <cell r="FG231">
            <v>-39.646999999999998</v>
          </cell>
          <cell r="FH231">
            <v>-828.5</v>
          </cell>
          <cell r="FN231">
            <v>0</v>
          </cell>
          <cell r="FO231">
            <v>0</v>
          </cell>
          <cell r="FR231">
            <v>0</v>
          </cell>
          <cell r="FS231">
            <v>0</v>
          </cell>
          <cell r="FT231">
            <v>-868.14700000000005</v>
          </cell>
          <cell r="FV231">
            <v>-868.14700000000005</v>
          </cell>
          <cell r="FW231" t="str">
            <v>Unearned income</v>
          </cell>
          <cell r="FX231">
            <v>0</v>
          </cell>
          <cell r="FY231">
            <v>0</v>
          </cell>
          <cell r="GA231">
            <v>0</v>
          </cell>
          <cell r="GB231">
            <v>0</v>
          </cell>
          <cell r="GC231">
            <v>-868.14700000000005</v>
          </cell>
          <cell r="GD231">
            <v>-879.78841797955499</v>
          </cell>
          <cell r="GE231">
            <v>-868.14700000000005</v>
          </cell>
          <cell r="GF231">
            <v>4.0186310918039316</v>
          </cell>
          <cell r="GG231">
            <v>-1462.049640757675</v>
          </cell>
          <cell r="GH231">
            <v>0</v>
          </cell>
        </row>
        <row r="232">
          <cell r="A232" t="str">
            <v xml:space="preserve">Royalties-other </v>
          </cell>
          <cell r="I232">
            <v>0</v>
          </cell>
          <cell r="M232" t="str">
            <v xml:space="preserve"> </v>
          </cell>
          <cell r="U232">
            <v>0</v>
          </cell>
          <cell r="AD232">
            <v>0</v>
          </cell>
          <cell r="AJ232">
            <v>0</v>
          </cell>
          <cell r="AP232">
            <v>0</v>
          </cell>
          <cell r="AT232">
            <v>0</v>
          </cell>
          <cell r="AV232">
            <v>-2480</v>
          </cell>
          <cell r="AX232">
            <v>-2480</v>
          </cell>
          <cell r="AZ232" t="str">
            <v xml:space="preserve">Royalties-other </v>
          </cell>
          <cell r="BI232">
            <v>0</v>
          </cell>
          <cell r="BU232">
            <v>0</v>
          </cell>
          <cell r="BX232">
            <v>0</v>
          </cell>
          <cell r="CD232">
            <v>0</v>
          </cell>
          <cell r="CJ232">
            <v>0</v>
          </cell>
          <cell r="CP232">
            <v>0</v>
          </cell>
          <cell r="CT232">
            <v>0</v>
          </cell>
          <cell r="CU232">
            <v>0</v>
          </cell>
          <cell r="CX232">
            <v>0</v>
          </cell>
          <cell r="FN232">
            <v>0</v>
          </cell>
          <cell r="FO232">
            <v>0</v>
          </cell>
          <cell r="FS232">
            <v>0</v>
          </cell>
          <cell r="FT232">
            <v>0</v>
          </cell>
          <cell r="FV232">
            <v>0</v>
          </cell>
          <cell r="FW232" t="str">
            <v xml:space="preserve">Royalties-other </v>
          </cell>
          <cell r="FX232">
            <v>0</v>
          </cell>
          <cell r="FY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-4684.0972905137205</v>
          </cell>
          <cell r="GH232">
            <v>0</v>
          </cell>
        </row>
        <row r="233">
          <cell r="A233" t="str">
            <v>STLM</v>
          </cell>
          <cell r="C233">
            <v>-79.906999999999996</v>
          </cell>
          <cell r="I233">
            <v>-79.906999999999996</v>
          </cell>
          <cell r="M233" t="str">
            <v xml:space="preserve"> </v>
          </cell>
          <cell r="Q233">
            <v>-8.5229999999999997</v>
          </cell>
          <cell r="U233">
            <v>-8.5229999999999997</v>
          </cell>
          <cell r="AD233">
            <v>-8.5229999999999997</v>
          </cell>
          <cell r="AJ233">
            <v>0</v>
          </cell>
          <cell r="AP233">
            <v>0</v>
          </cell>
          <cell r="AT233">
            <v>-88.43</v>
          </cell>
          <cell r="AX233">
            <v>-88.43</v>
          </cell>
          <cell r="AZ233" t="str">
            <v>STLM</v>
          </cell>
          <cell r="BC233">
            <v>-332.41300000000001</v>
          </cell>
          <cell r="BE233">
            <v>0</v>
          </cell>
          <cell r="BG233">
            <v>0</v>
          </cell>
          <cell r="BI233">
            <v>-332.41300000000001</v>
          </cell>
          <cell r="BQ233">
            <v>-35.454000000000001</v>
          </cell>
          <cell r="BU233">
            <v>-35.454000000000001</v>
          </cell>
          <cell r="BX233">
            <v>0</v>
          </cell>
          <cell r="CD233">
            <v>-35.454000000000001</v>
          </cell>
          <cell r="CJ233">
            <v>0</v>
          </cell>
          <cell r="CP233">
            <v>0</v>
          </cell>
          <cell r="CT233">
            <v>-367.86700000000002</v>
          </cell>
          <cell r="CU233">
            <v>0</v>
          </cell>
          <cell r="CX233">
            <v>-367.86700000000002</v>
          </cell>
          <cell r="FC233">
            <v>-332.41300000000001</v>
          </cell>
          <cell r="FF233">
            <v>-332.41300000000001</v>
          </cell>
          <cell r="FI233">
            <v>-35.454000000000001</v>
          </cell>
          <cell r="FN233">
            <v>-35.454000000000001</v>
          </cell>
          <cell r="FO233">
            <v>0</v>
          </cell>
          <cell r="FR233">
            <v>0</v>
          </cell>
          <cell r="FS233">
            <v>0</v>
          </cell>
          <cell r="FT233">
            <v>-367.86700000000002</v>
          </cell>
          <cell r="FV233">
            <v>-367.86700000000002</v>
          </cell>
          <cell r="FW233" t="str">
            <v>STLM</v>
          </cell>
          <cell r="FX233">
            <v>-35.454000000000001</v>
          </cell>
          <cell r="FY233">
            <v>0</v>
          </cell>
          <cell r="GA233">
            <v>-35.454000000000001</v>
          </cell>
          <cell r="GB233">
            <v>-35.929420444978952</v>
          </cell>
          <cell r="GC233">
            <v>-367.86700000000002</v>
          </cell>
          <cell r="GD233">
            <v>-372.79991286831029</v>
          </cell>
          <cell r="GE233">
            <v>-332.41300000000001</v>
          </cell>
          <cell r="GF233">
            <v>4.1599796449168842</v>
          </cell>
          <cell r="GG233">
            <v>-13.198355443153776</v>
          </cell>
          <cell r="GH233">
            <v>0</v>
          </cell>
        </row>
        <row r="234">
          <cell r="A234" t="str">
            <v>ICP</v>
          </cell>
          <cell r="I234">
            <v>0</v>
          </cell>
          <cell r="M234" t="str">
            <v xml:space="preserve"> </v>
          </cell>
          <cell r="U234">
            <v>0</v>
          </cell>
          <cell r="AD234">
            <v>0</v>
          </cell>
          <cell r="AJ234">
            <v>0</v>
          </cell>
          <cell r="AP234">
            <v>0</v>
          </cell>
          <cell r="AT234">
            <v>0</v>
          </cell>
          <cell r="AX234">
            <v>0</v>
          </cell>
          <cell r="AZ234" t="str">
            <v>i.c.p.</v>
          </cell>
          <cell r="BE234">
            <v>0</v>
          </cell>
          <cell r="BG234">
            <v>0</v>
          </cell>
          <cell r="BI234">
            <v>0</v>
          </cell>
          <cell r="BU234">
            <v>0</v>
          </cell>
          <cell r="BX234">
            <v>0</v>
          </cell>
          <cell r="CD234">
            <v>0</v>
          </cell>
          <cell r="CJ234">
            <v>0</v>
          </cell>
          <cell r="CP234">
            <v>0</v>
          </cell>
          <cell r="CT234">
            <v>0</v>
          </cell>
          <cell r="CU234">
            <v>0</v>
          </cell>
          <cell r="CV234">
            <v>0</v>
          </cell>
          <cell r="CX234">
            <v>0</v>
          </cell>
          <cell r="FN234">
            <v>0</v>
          </cell>
          <cell r="FO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 t="str">
            <v>ICP</v>
          </cell>
          <cell r="FX234">
            <v>0</v>
          </cell>
          <cell r="FY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 t="e">
            <v>#DIV/0!</v>
          </cell>
          <cell r="GG234">
            <v>0</v>
          </cell>
          <cell r="GH234">
            <v>0</v>
          </cell>
        </row>
        <row r="235">
          <cell r="A235" t="str">
            <v>Iediot-current maturity</v>
          </cell>
          <cell r="I235">
            <v>0</v>
          </cell>
          <cell r="M235" t="str">
            <v xml:space="preserve"> </v>
          </cell>
          <cell r="U235">
            <v>0</v>
          </cell>
          <cell r="AD235">
            <v>0</v>
          </cell>
          <cell r="AJ235">
            <v>0</v>
          </cell>
          <cell r="AP235">
            <v>0</v>
          </cell>
          <cell r="AT235">
            <v>0</v>
          </cell>
          <cell r="AX235">
            <v>0</v>
          </cell>
          <cell r="AZ235" t="str">
            <v xml:space="preserve">    iediot</v>
          </cell>
          <cell r="BI235">
            <v>0</v>
          </cell>
          <cell r="BU235">
            <v>0</v>
          </cell>
          <cell r="BX235">
            <v>0</v>
          </cell>
          <cell r="CD235">
            <v>0</v>
          </cell>
          <cell r="CJ235">
            <v>0</v>
          </cell>
          <cell r="CP235">
            <v>0</v>
          </cell>
          <cell r="CT235">
            <v>0</v>
          </cell>
          <cell r="CU235">
            <v>0</v>
          </cell>
          <cell r="CV235">
            <v>0</v>
          </cell>
          <cell r="CX235">
            <v>0</v>
          </cell>
          <cell r="FN235">
            <v>0</v>
          </cell>
          <cell r="FO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 t="str">
            <v>Iediot-current maturity</v>
          </cell>
          <cell r="FX235">
            <v>0</v>
          </cell>
          <cell r="FY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 t="e">
            <v>#DIV/0!</v>
          </cell>
          <cell r="GG235">
            <v>0</v>
          </cell>
          <cell r="GH235">
            <v>0</v>
          </cell>
        </row>
        <row r="236">
          <cell r="A236" t="str">
            <v>AUREC</v>
          </cell>
          <cell r="I236">
            <v>0</v>
          </cell>
          <cell r="M236" t="str">
            <v xml:space="preserve"> </v>
          </cell>
          <cell r="Q236">
            <v>-12.007999999999999</v>
          </cell>
          <cell r="U236">
            <v>-12.007999999999999</v>
          </cell>
          <cell r="AD236">
            <v>-12.007999999999999</v>
          </cell>
          <cell r="AJ236">
            <v>0</v>
          </cell>
          <cell r="AP236">
            <v>0</v>
          </cell>
          <cell r="AT236">
            <v>-12.007999999999999</v>
          </cell>
          <cell r="AX236">
            <v>-12.007999999999999</v>
          </cell>
          <cell r="AZ236" t="str">
            <v>aurec</v>
          </cell>
          <cell r="BE236">
            <v>0</v>
          </cell>
          <cell r="BG236">
            <v>0</v>
          </cell>
          <cell r="BI236">
            <v>0</v>
          </cell>
          <cell r="BQ236">
            <v>-49.956000000000003</v>
          </cell>
          <cell r="BU236">
            <v>-49.956000000000003</v>
          </cell>
          <cell r="BX236">
            <v>0</v>
          </cell>
          <cell r="CD236">
            <v>-49.956000000000003</v>
          </cell>
          <cell r="CJ236">
            <v>0</v>
          </cell>
          <cell r="CP236">
            <v>0</v>
          </cell>
          <cell r="CT236">
            <v>-49.956000000000003</v>
          </cell>
          <cell r="CU236">
            <v>0</v>
          </cell>
          <cell r="CV236">
            <v>0</v>
          </cell>
          <cell r="CX236">
            <v>-49.956000000000003</v>
          </cell>
          <cell r="FI236">
            <v>-49.956000000000003</v>
          </cell>
          <cell r="FN236">
            <v>-49.956000000000003</v>
          </cell>
          <cell r="FO236">
            <v>0</v>
          </cell>
          <cell r="FR236">
            <v>0</v>
          </cell>
          <cell r="FS236">
            <v>0</v>
          </cell>
          <cell r="FT236">
            <v>-49.956000000000003</v>
          </cell>
          <cell r="FU236">
            <v>0</v>
          </cell>
          <cell r="FV236">
            <v>-49.956000000000003</v>
          </cell>
          <cell r="FW236" t="str">
            <v>AUREC</v>
          </cell>
          <cell r="FX236">
            <v>-49.956000000000003</v>
          </cell>
          <cell r="FY236">
            <v>0</v>
          </cell>
          <cell r="GA236">
            <v>-49.956000000000003</v>
          </cell>
          <cell r="GB236">
            <v>-50.625885027059525</v>
          </cell>
          <cell r="GC236">
            <v>-49.956000000000003</v>
          </cell>
          <cell r="GD236">
            <v>-50.625885027059525</v>
          </cell>
          <cell r="GE236">
            <v>0</v>
          </cell>
          <cell r="GF236">
            <v>4.1602265156562295</v>
          </cell>
          <cell r="GG236">
            <v>-25.128374639294808</v>
          </cell>
          <cell r="GH236">
            <v>0</v>
          </cell>
        </row>
        <row r="237">
          <cell r="A237" t="str">
            <v>VACATION PROV.</v>
          </cell>
          <cell r="I237">
            <v>0</v>
          </cell>
          <cell r="M237">
            <v>-21.186538461538461</v>
          </cell>
          <cell r="Q237">
            <v>-675.90523076923068</v>
          </cell>
          <cell r="U237">
            <v>-675.90523076923068</v>
          </cell>
          <cell r="W237">
            <v>-48.5</v>
          </cell>
          <cell r="X237">
            <v>-48.5</v>
          </cell>
          <cell r="AD237">
            <v>-772.90523076923068</v>
          </cell>
          <cell r="AJ237">
            <v>0</v>
          </cell>
          <cell r="AL237">
            <v>-6.4690000000000003</v>
          </cell>
          <cell r="AP237">
            <v>-6.4690000000000003</v>
          </cell>
          <cell r="AR237">
            <v>-8.4809999999999999</v>
          </cell>
          <cell r="AT237">
            <v>-809.04176923076921</v>
          </cell>
          <cell r="AX237">
            <v>-809.04176923076921</v>
          </cell>
          <cell r="AZ237" t="str">
            <v>VACATION PROV.</v>
          </cell>
          <cell r="BG237">
            <v>0</v>
          </cell>
          <cell r="BI237">
            <v>0</v>
          </cell>
          <cell r="BM237">
            <v>-88.135999999999996</v>
          </cell>
          <cell r="BQ237">
            <v>-2811.7669999999998</v>
          </cell>
          <cell r="BU237">
            <v>-2811.7669999999998</v>
          </cell>
          <cell r="BW237">
            <v>-201.5</v>
          </cell>
          <cell r="BX237">
            <v>-201.5</v>
          </cell>
          <cell r="CD237">
            <v>-3214.7669999999998</v>
          </cell>
          <cell r="CJ237">
            <v>0</v>
          </cell>
          <cell r="CL237">
            <v>-18</v>
          </cell>
          <cell r="CP237">
            <v>-18</v>
          </cell>
          <cell r="CR237">
            <v>-26.4</v>
          </cell>
          <cell r="CT237">
            <v>-3347.3029999999999</v>
          </cell>
          <cell r="CU237">
            <v>0</v>
          </cell>
          <cell r="CV237">
            <v>0</v>
          </cell>
          <cell r="CX237">
            <v>-3347.3029999999999</v>
          </cell>
          <cell r="FG237">
            <v>-88.135999999999996</v>
          </cell>
          <cell r="FI237">
            <v>-2811.7669999999998</v>
          </cell>
          <cell r="FJ237">
            <v>-201.5</v>
          </cell>
          <cell r="FK237">
            <v>-201.5</v>
          </cell>
          <cell r="FN237">
            <v>-3214.7669999999998</v>
          </cell>
          <cell r="FO237">
            <v>0</v>
          </cell>
          <cell r="FP237">
            <v>-18</v>
          </cell>
          <cell r="FR237">
            <v>-18</v>
          </cell>
          <cell r="FS237">
            <v>-35.28</v>
          </cell>
          <cell r="FT237">
            <v>-3356.183</v>
          </cell>
          <cell r="FU237">
            <v>0</v>
          </cell>
          <cell r="FV237">
            <v>-3356.183</v>
          </cell>
          <cell r="FW237" t="str">
            <v>VACATION PROV.</v>
          </cell>
          <cell r="FX237">
            <v>-3214.7669999999998</v>
          </cell>
          <cell r="FY237">
            <v>-18</v>
          </cell>
          <cell r="GA237">
            <v>-3232.7669999999998</v>
          </cell>
          <cell r="GB237">
            <v>-3276.116792002405</v>
          </cell>
          <cell r="GC237">
            <v>-3356.183</v>
          </cell>
          <cell r="GD237">
            <v>-3401.1877389657243</v>
          </cell>
          <cell r="GE237">
            <v>-123.41600000000017</v>
          </cell>
          <cell r="GF237">
            <v>4.1483432965284761</v>
          </cell>
          <cell r="GG237">
            <v>-3577.9038352319135</v>
          </cell>
          <cell r="GH237">
            <v>0</v>
          </cell>
        </row>
        <row r="238">
          <cell r="A238" t="str">
            <v>inCOME tax</v>
          </cell>
          <cell r="C238">
            <v>-1.714</v>
          </cell>
          <cell r="I238">
            <v>-1.714</v>
          </cell>
          <cell r="M238" t="str">
            <v xml:space="preserve"> </v>
          </cell>
          <cell r="Z238">
            <v>-92.307692307692307</v>
          </cell>
          <cell r="AD238">
            <v>-92.307692307692307</v>
          </cell>
          <cell r="AP238">
            <v>0</v>
          </cell>
          <cell r="AT238">
            <v>-94.021692307692305</v>
          </cell>
          <cell r="AV238">
            <v>94.021692307692305</v>
          </cell>
          <cell r="AX238">
            <v>0</v>
          </cell>
          <cell r="AZ238" t="str">
            <v>inCOME tax</v>
          </cell>
          <cell r="BC238">
            <v>-7.13</v>
          </cell>
          <cell r="BI238">
            <v>-7.13</v>
          </cell>
          <cell r="BX238">
            <v>0</v>
          </cell>
          <cell r="BZ238">
            <v>-384</v>
          </cell>
          <cell r="CD238">
            <v>-384</v>
          </cell>
          <cell r="CL238">
            <v>-8637</v>
          </cell>
          <cell r="CP238">
            <v>-8637</v>
          </cell>
          <cell r="CT238">
            <v>-9028.1299999999992</v>
          </cell>
          <cell r="CU238">
            <v>0</v>
          </cell>
          <cell r="CX238">
            <v>-9028.1299999999992</v>
          </cell>
          <cell r="FC238">
            <v>-7.13</v>
          </cell>
          <cell r="FF238">
            <v>-7.13</v>
          </cell>
          <cell r="FL238">
            <v>-170.37299999999999</v>
          </cell>
          <cell r="FN238">
            <v>-170.37299999999999</v>
          </cell>
          <cell r="FR238">
            <v>0</v>
          </cell>
          <cell r="FS238">
            <v>0</v>
          </cell>
          <cell r="FT238">
            <v>-177.50299999999999</v>
          </cell>
          <cell r="FV238">
            <v>-177.50299999999999</v>
          </cell>
          <cell r="FW238" t="str">
            <v>inCOME tax</v>
          </cell>
          <cell r="FX238">
            <v>-170.37299999999999</v>
          </cell>
          <cell r="FY238">
            <v>0</v>
          </cell>
          <cell r="GA238">
            <v>-170.37299999999999</v>
          </cell>
          <cell r="GB238">
            <v>-172.65761689717377</v>
          </cell>
          <cell r="GC238">
            <v>-177.50299999999999</v>
          </cell>
          <cell r="GD238">
            <v>-179.8832266386049</v>
          </cell>
          <cell r="GE238">
            <v>-7.13</v>
          </cell>
          <cell r="GF238" t="e">
            <v>#DIV/0!</v>
          </cell>
        </row>
        <row r="239">
          <cell r="A239" t="str">
            <v>V.A.T.</v>
          </cell>
          <cell r="I239">
            <v>0</v>
          </cell>
          <cell r="M239" t="str">
            <v xml:space="preserve"> </v>
          </cell>
          <cell r="O239">
            <v>-88</v>
          </cell>
          <cell r="Q239">
            <v>-588.82600000000002</v>
          </cell>
          <cell r="U239">
            <v>-588.82600000000002</v>
          </cell>
          <cell r="Z239">
            <v>-5.6859999999999999</v>
          </cell>
          <cell r="AD239">
            <v>-594.51200000000006</v>
          </cell>
          <cell r="AF239">
            <v>-16.751000000000001</v>
          </cell>
          <cell r="AJ239">
            <v>-16.751000000000001</v>
          </cell>
          <cell r="AP239">
            <v>-16.751000000000001</v>
          </cell>
          <cell r="AR239">
            <v>49.791000000000004</v>
          </cell>
          <cell r="AT239">
            <v>-649.47199999999998</v>
          </cell>
          <cell r="AX239">
            <v>-649.47199999999998</v>
          </cell>
          <cell r="AZ239" t="str">
            <v>V.A.T.</v>
          </cell>
          <cell r="BI239">
            <v>0</v>
          </cell>
          <cell r="BO239">
            <v>-365</v>
          </cell>
          <cell r="BQ239">
            <v>-2449.5149999999999</v>
          </cell>
          <cell r="BU239">
            <v>-2449.5149999999999</v>
          </cell>
          <cell r="BX239">
            <v>0</v>
          </cell>
          <cell r="BZ239">
            <v>-23.655000000000001</v>
          </cell>
          <cell r="CD239">
            <v>-2473.17</v>
          </cell>
          <cell r="CF239">
            <v>-69.685000000000002</v>
          </cell>
          <cell r="CH239">
            <v>0</v>
          </cell>
          <cell r="CJ239">
            <v>-69.685000000000002</v>
          </cell>
          <cell r="CP239">
            <v>-69.685000000000002</v>
          </cell>
          <cell r="CR239">
            <v>207.14200000000002</v>
          </cell>
          <cell r="CT239">
            <v>-2700.7130000000002</v>
          </cell>
          <cell r="CU239">
            <v>0</v>
          </cell>
          <cell r="CV239">
            <v>0</v>
          </cell>
          <cell r="CX239">
            <v>-2700.7130000000002</v>
          </cell>
          <cell r="FH239">
            <v>-365</v>
          </cell>
          <cell r="FI239">
            <v>-2449.5149999999999</v>
          </cell>
          <cell r="FL239">
            <v>-23.655000000000001</v>
          </cell>
          <cell r="FN239">
            <v>-2473.17</v>
          </cell>
          <cell r="FO239">
            <v>-69.685000000000002</v>
          </cell>
          <cell r="FR239">
            <v>-69.685000000000002</v>
          </cell>
          <cell r="FS239">
            <v>207.14200000000002</v>
          </cell>
          <cell r="FT239">
            <v>-2700.7130000000002</v>
          </cell>
          <cell r="FU239">
            <v>0</v>
          </cell>
          <cell r="FV239">
            <v>-2700.7130000000002</v>
          </cell>
          <cell r="FW239" t="str">
            <v>V.A.T.</v>
          </cell>
          <cell r="FX239">
            <v>-2473.17</v>
          </cell>
          <cell r="FY239">
            <v>-69.685000000000002</v>
          </cell>
          <cell r="GA239">
            <v>-2542.855</v>
          </cell>
          <cell r="GB239">
            <v>-2576.953416416115</v>
          </cell>
          <cell r="GC239">
            <v>-2700.7130000000002</v>
          </cell>
          <cell r="GD239">
            <v>-2736.928213409501</v>
          </cell>
          <cell r="GE239">
            <v>-157.85800000000017</v>
          </cell>
          <cell r="GF239">
            <v>4.1583209129877812</v>
          </cell>
          <cell r="GG239">
            <v>-1318.6903257350327</v>
          </cell>
          <cell r="GH239">
            <v>0</v>
          </cell>
        </row>
        <row r="240">
          <cell r="A240" t="str">
            <v>OTHER CREDITORS</v>
          </cell>
          <cell r="I240">
            <v>0</v>
          </cell>
          <cell r="M240">
            <v>-15.419711538461538</v>
          </cell>
          <cell r="O240">
            <v>-334.29899999999998</v>
          </cell>
          <cell r="Q240">
            <v>-626.53600000000006</v>
          </cell>
          <cell r="U240">
            <v>-626.53600000000006</v>
          </cell>
          <cell r="W240">
            <v>-137.5</v>
          </cell>
          <cell r="X240">
            <v>-137.5</v>
          </cell>
          <cell r="Z240">
            <v>-10.138</v>
          </cell>
          <cell r="AD240">
            <v>-911.67400000000009</v>
          </cell>
          <cell r="AJ240">
            <v>0</v>
          </cell>
          <cell r="AL240">
            <v>-2126.8049999999998</v>
          </cell>
          <cell r="AP240">
            <v>-2126.8049999999998</v>
          </cell>
          <cell r="AR240">
            <v>-16.023</v>
          </cell>
          <cell r="AT240">
            <v>-3404.2207115384617</v>
          </cell>
          <cell r="AX240">
            <v>-3404.2207115384617</v>
          </cell>
          <cell r="AZ240" t="str">
            <v>OTHER CREDITORS</v>
          </cell>
          <cell r="BI240">
            <v>0</v>
          </cell>
          <cell r="BM240">
            <v>-64.146000000000001</v>
          </cell>
          <cell r="BO240">
            <v>-1663</v>
          </cell>
          <cell r="BQ240">
            <v>-2606.3940000000002</v>
          </cell>
          <cell r="BU240">
            <v>-2606.3940000000002</v>
          </cell>
          <cell r="BW240">
            <v>-570.5</v>
          </cell>
          <cell r="BX240">
            <v>-570.5</v>
          </cell>
          <cell r="BZ240">
            <v>-42.173000000000002</v>
          </cell>
          <cell r="CD240">
            <v>-3789.567</v>
          </cell>
          <cell r="CJ240">
            <v>0</v>
          </cell>
          <cell r="CL240">
            <v>-218</v>
          </cell>
          <cell r="CP240">
            <v>-218</v>
          </cell>
          <cell r="CR240">
            <v>-66.534999999999997</v>
          </cell>
          <cell r="CT240">
            <v>-5801.2479999999996</v>
          </cell>
          <cell r="CU240">
            <v>0</v>
          </cell>
          <cell r="CX240">
            <v>-5801.2479999999996</v>
          </cell>
          <cell r="FG240">
            <v>-64.146000000000001</v>
          </cell>
          <cell r="FH240">
            <v>-1392</v>
          </cell>
          <cell r="FI240">
            <v>-2606.3940000000002</v>
          </cell>
          <cell r="FJ240">
            <v>-570.5</v>
          </cell>
          <cell r="FK240">
            <v>-570.5</v>
          </cell>
          <cell r="FL240">
            <v>-42.173999999999999</v>
          </cell>
          <cell r="FN240">
            <v>-3789.5680000000002</v>
          </cell>
          <cell r="FO240">
            <v>0</v>
          </cell>
          <cell r="FP240">
            <v>-8855</v>
          </cell>
          <cell r="FR240">
            <v>-8855</v>
          </cell>
          <cell r="FS240">
            <v>-66.534999999999997</v>
          </cell>
          <cell r="FT240">
            <v>-14167.249</v>
          </cell>
          <cell r="FV240">
            <v>-14167.249</v>
          </cell>
          <cell r="FW240" t="str">
            <v>OTHER CREDITORS</v>
          </cell>
          <cell r="FX240">
            <v>-3789.5680000000002</v>
          </cell>
          <cell r="FY240">
            <v>-8855</v>
          </cell>
          <cell r="GA240">
            <v>-12644.567999999999</v>
          </cell>
          <cell r="GB240">
            <v>-12814.125346001201</v>
          </cell>
          <cell r="GC240">
            <v>-14167.249</v>
          </cell>
          <cell r="GD240">
            <v>-14357.224738244136</v>
          </cell>
          <cell r="GE240">
            <v>-1522.6810000000005</v>
          </cell>
          <cell r="GF240">
            <v>4.1616717012444902</v>
          </cell>
          <cell r="GG240">
            <v>-7340.1590054508006</v>
          </cell>
          <cell r="GH240">
            <v>0</v>
          </cell>
        </row>
        <row r="241">
          <cell r="A241" t="str">
            <v>ACCRUED EXPENSES</v>
          </cell>
          <cell r="C241">
            <v>-60.730199999999996</v>
          </cell>
          <cell r="I241">
            <v>-60.730199999999996</v>
          </cell>
          <cell r="M241">
            <v>-35.075600961538463</v>
          </cell>
          <cell r="O241">
            <v>-10</v>
          </cell>
          <cell r="Q241">
            <v>-1679.1679999999999</v>
          </cell>
          <cell r="U241">
            <v>-1679.1679999999999</v>
          </cell>
          <cell r="W241">
            <v>-734</v>
          </cell>
          <cell r="X241">
            <v>-734</v>
          </cell>
          <cell r="Z241">
            <v>-9.375</v>
          </cell>
          <cell r="AD241">
            <v>-3156.5429999999997</v>
          </cell>
          <cell r="AF241">
            <v>-8</v>
          </cell>
          <cell r="AJ241">
            <v>-8</v>
          </cell>
          <cell r="AL241">
            <v>-1380.5340000000001</v>
          </cell>
          <cell r="AP241">
            <v>-1388.5340000000001</v>
          </cell>
          <cell r="AR241">
            <v>-322.04899999999998</v>
          </cell>
          <cell r="AT241">
            <v>-4972.931800961539</v>
          </cell>
          <cell r="AV241">
            <v>2480</v>
          </cell>
          <cell r="AX241">
            <v>-2492.931800961539</v>
          </cell>
          <cell r="AZ241" t="str">
            <v>ACCRUED EXPENSES</v>
          </cell>
          <cell r="BC241">
            <v>-252.636</v>
          </cell>
          <cell r="BI241">
            <v>-252.636</v>
          </cell>
          <cell r="BM241">
            <v>-145.9145</v>
          </cell>
          <cell r="BO241">
            <v>-41</v>
          </cell>
          <cell r="BQ241">
            <v>-6985.3389999999999</v>
          </cell>
          <cell r="BU241">
            <v>-6985.3389999999999</v>
          </cell>
          <cell r="BW241">
            <v>-3055.5</v>
          </cell>
          <cell r="BX241">
            <v>-3055.5</v>
          </cell>
          <cell r="BZ241">
            <v>-40</v>
          </cell>
          <cell r="CD241">
            <v>-13136.339</v>
          </cell>
          <cell r="CF241">
            <v>-34</v>
          </cell>
          <cell r="CJ241">
            <v>-34</v>
          </cell>
          <cell r="CL241">
            <v>-5743</v>
          </cell>
          <cell r="CP241">
            <v>-5777</v>
          </cell>
          <cell r="CR241">
            <v>-1339.7249999999999</v>
          </cell>
          <cell r="CT241">
            <v>-20692.6145</v>
          </cell>
          <cell r="CU241">
            <v>0</v>
          </cell>
          <cell r="CX241">
            <v>-20692.6145</v>
          </cell>
          <cell r="FC241">
            <v>-251.636</v>
          </cell>
          <cell r="FF241">
            <v>-251.636</v>
          </cell>
          <cell r="FG241">
            <v>-145.9145</v>
          </cell>
          <cell r="FH241">
            <v>-41</v>
          </cell>
          <cell r="FI241">
            <v>-6985.3389999999999</v>
          </cell>
          <cell r="FJ241">
            <v>-3055.5</v>
          </cell>
          <cell r="FK241">
            <v>-3055.5</v>
          </cell>
          <cell r="FL241">
            <v>-39</v>
          </cell>
          <cell r="FN241">
            <v>-13135.339</v>
          </cell>
          <cell r="FO241">
            <v>-34</v>
          </cell>
          <cell r="FP241">
            <v>-5743</v>
          </cell>
          <cell r="FR241">
            <v>-5777</v>
          </cell>
          <cell r="FS241">
            <v>-1343.049</v>
          </cell>
          <cell r="FT241">
            <v>-20693.938499999997</v>
          </cell>
          <cell r="FV241">
            <v>-20693.938499999997</v>
          </cell>
          <cell r="FW241" t="str">
            <v>ACCRUED EXPENSES</v>
          </cell>
          <cell r="FX241">
            <v>-13135.339</v>
          </cell>
          <cell r="FY241">
            <v>-5777</v>
          </cell>
          <cell r="GA241">
            <v>-18912.339</v>
          </cell>
          <cell r="GB241">
            <v>-19165.944026879133</v>
          </cell>
          <cell r="GC241">
            <v>-20693.938499999997</v>
          </cell>
          <cell r="GD241">
            <v>-20971.433886981355</v>
          </cell>
          <cell r="GE241">
            <v>-1781.5994999999966</v>
          </cell>
          <cell r="GF241">
            <v>8.3010447746778393</v>
          </cell>
          <cell r="GG241">
            <v>-5925.8333515891745</v>
          </cell>
          <cell r="GH241">
            <v>0</v>
          </cell>
        </row>
        <row r="242">
          <cell r="A242" t="str">
            <v>Total creditors</v>
          </cell>
          <cell r="C242">
            <v>-142.35120000000001</v>
          </cell>
          <cell r="E242">
            <v>0</v>
          </cell>
          <cell r="G242">
            <v>0</v>
          </cell>
          <cell r="I242">
            <v>-142.35120000000001</v>
          </cell>
          <cell r="M242">
            <v>-81</v>
          </cell>
          <cell r="O242">
            <v>-2657</v>
          </cell>
          <cell r="Q242">
            <v>-13125.745230769231</v>
          </cell>
          <cell r="S242">
            <v>0</v>
          </cell>
          <cell r="U242">
            <v>-13125.745230769231</v>
          </cell>
          <cell r="W242">
            <v>-3634</v>
          </cell>
          <cell r="X242">
            <v>-3822</v>
          </cell>
          <cell r="Z242">
            <v>-212.15069230769231</v>
          </cell>
          <cell r="AB242">
            <v>0</v>
          </cell>
          <cell r="AD242">
            <v>-20793.895923076918</v>
          </cell>
          <cell r="AF242">
            <v>-24.751000000000001</v>
          </cell>
          <cell r="AH242">
            <v>0</v>
          </cell>
          <cell r="AJ242">
            <v>-24.751000000000001</v>
          </cell>
          <cell r="AL242">
            <v>-7513.469000000001</v>
          </cell>
          <cell r="AN242">
            <v>26.103999999999999</v>
          </cell>
          <cell r="AP242">
            <v>-7512.116</v>
          </cell>
          <cell r="AR242">
            <v>-495</v>
          </cell>
          <cell r="AT242">
            <v>-31682.117502884612</v>
          </cell>
          <cell r="AV242">
            <v>6861.4886923076929</v>
          </cell>
          <cell r="AX242">
            <v>-24820.628810576924</v>
          </cell>
          <cell r="AZ242" t="str">
            <v>Total creditors</v>
          </cell>
          <cell r="BC242">
            <v>517.44099999999992</v>
          </cell>
          <cell r="BE242">
            <v>0</v>
          </cell>
          <cell r="BG242">
            <v>0</v>
          </cell>
          <cell r="BI242">
            <v>517.44099999999992</v>
          </cell>
          <cell r="BM242">
            <v>-328.13850000000002</v>
          </cell>
          <cell r="BO242">
            <v>-10977.5</v>
          </cell>
          <cell r="BQ242">
            <v>-54627.900999999998</v>
          </cell>
          <cell r="BS242">
            <v>0</v>
          </cell>
          <cell r="BU242">
            <v>-54627.900999999998</v>
          </cell>
          <cell r="BW242">
            <v>-15117</v>
          </cell>
          <cell r="BX242">
            <v>-15901</v>
          </cell>
          <cell r="BZ242">
            <v>-883.55</v>
          </cell>
          <cell r="CB242">
            <v>0</v>
          </cell>
          <cell r="CD242">
            <v>-86529.451000000001</v>
          </cell>
          <cell r="CF242">
            <v>-103.685</v>
          </cell>
          <cell r="CH242">
            <v>0</v>
          </cell>
          <cell r="CJ242">
            <v>-103.685</v>
          </cell>
          <cell r="CL242">
            <v>-31242</v>
          </cell>
          <cell r="CN242">
            <v>108.59399999999999</v>
          </cell>
          <cell r="CP242">
            <v>-31237.091000000004</v>
          </cell>
          <cell r="CR242">
            <v>-2051.6530000000002</v>
          </cell>
          <cell r="CT242">
            <v>-130606.39250000002</v>
          </cell>
          <cell r="CU242">
            <v>0</v>
          </cell>
          <cell r="CV242">
            <v>27160.095000000001</v>
          </cell>
          <cell r="CX242">
            <v>-103446.29749999999</v>
          </cell>
          <cell r="FC242">
            <v>518.44099999999992</v>
          </cell>
          <cell r="FD242">
            <v>0</v>
          </cell>
          <cell r="FE242">
            <v>-1109.6199999999999</v>
          </cell>
          <cell r="FF242">
            <v>-591.17899999999997</v>
          </cell>
          <cell r="FG242">
            <v>-337.84349999999995</v>
          </cell>
          <cell r="FH242">
            <v>-11023</v>
          </cell>
          <cell r="FI242">
            <v>-54627.900999999998</v>
          </cell>
          <cell r="FJ242">
            <v>-15116</v>
          </cell>
          <cell r="FK242">
            <v>-15901</v>
          </cell>
          <cell r="FL242">
            <v>-668.92399999999998</v>
          </cell>
          <cell r="FM242">
            <v>0</v>
          </cell>
          <cell r="FN242">
            <v>-86313.825000000012</v>
          </cell>
          <cell r="FO242">
            <v>-103.685</v>
          </cell>
          <cell r="FP242">
            <v>-31242</v>
          </cell>
          <cell r="FQ242">
            <v>0</v>
          </cell>
          <cell r="FR242">
            <v>-31345.685000000001</v>
          </cell>
          <cell r="FS242">
            <v>-2063.808</v>
          </cell>
          <cell r="FT242">
            <v>-131675.34050000002</v>
          </cell>
          <cell r="FU242">
            <v>28256.663400000001</v>
          </cell>
          <cell r="FV242">
            <v>-103418.6771</v>
          </cell>
          <cell r="FW242" t="str">
            <v>Total creditors</v>
          </cell>
          <cell r="FX242">
            <v>-86313.825000000012</v>
          </cell>
          <cell r="FY242">
            <v>-31345.685000000001</v>
          </cell>
          <cell r="FZ242">
            <v>0</v>
          </cell>
          <cell r="GA242">
            <v>-117659.51</v>
          </cell>
          <cell r="GB242">
            <v>-119237.26530547203</v>
          </cell>
          <cell r="GC242">
            <v>-103418.6771</v>
          </cell>
          <cell r="GD242">
            <v>-104805.46994385448</v>
          </cell>
          <cell r="GE242">
            <v>14240.832900000001</v>
          </cell>
          <cell r="GF242">
            <v>4.166642106018271</v>
          </cell>
          <cell r="GG242">
            <v>-57043.782591436429</v>
          </cell>
          <cell r="GH242">
            <v>0</v>
          </cell>
        </row>
        <row r="243">
          <cell r="A243" t="str">
            <v>Total curr. liabil.</v>
          </cell>
          <cell r="C243">
            <v>-847.25119999999993</v>
          </cell>
          <cell r="E243">
            <v>0</v>
          </cell>
          <cell r="G243">
            <v>0</v>
          </cell>
          <cell r="I243">
            <v>-847.25119999999993</v>
          </cell>
          <cell r="M243">
            <v>-81</v>
          </cell>
          <cell r="O243">
            <v>-3900</v>
          </cell>
          <cell r="Q243">
            <v>-76361.381230769242</v>
          </cell>
          <cell r="S243">
            <v>0</v>
          </cell>
          <cell r="U243">
            <v>-76361.381230769242</v>
          </cell>
          <cell r="W243">
            <v>-18055</v>
          </cell>
          <cell r="X243">
            <v>-18243</v>
          </cell>
          <cell r="Z243">
            <v>-212.15069230769231</v>
          </cell>
          <cell r="AB243">
            <v>0</v>
          </cell>
          <cell r="AD243">
            <v>-112871.53192307692</v>
          </cell>
          <cell r="AF243">
            <v>-24.751000000000001</v>
          </cell>
          <cell r="AH243">
            <v>0</v>
          </cell>
          <cell r="AJ243">
            <v>-24.751000000000001</v>
          </cell>
          <cell r="AL243">
            <v>-13603.893</v>
          </cell>
          <cell r="AN243">
            <v>26.103999999999999</v>
          </cell>
          <cell r="AP243">
            <v>-13602.54</v>
          </cell>
          <cell r="AR243">
            <v>-495</v>
          </cell>
          <cell r="AT243">
            <v>-131797.57750288461</v>
          </cell>
          <cell r="AV243">
            <v>6861.4886923076929</v>
          </cell>
          <cell r="AX243">
            <v>-124936.08881057693</v>
          </cell>
          <cell r="AZ243" t="str">
            <v>Total curr. liabil.</v>
          </cell>
          <cell r="BC243">
            <v>-2057.5910000000003</v>
          </cell>
          <cell r="BE243">
            <v>0</v>
          </cell>
          <cell r="BG243">
            <v>0</v>
          </cell>
          <cell r="BI243">
            <v>-2057.5910000000003</v>
          </cell>
          <cell r="BM243">
            <v>-328.13850000000002</v>
          </cell>
          <cell r="BO243">
            <v>-16147</v>
          </cell>
          <cell r="BQ243">
            <v>-317690.147</v>
          </cell>
          <cell r="BS243">
            <v>0</v>
          </cell>
          <cell r="BU243">
            <v>-317690.147</v>
          </cell>
          <cell r="BW243">
            <v>-75108</v>
          </cell>
          <cell r="BX243">
            <v>-75892</v>
          </cell>
          <cell r="BZ243">
            <v>-883.55</v>
          </cell>
          <cell r="CB243">
            <v>0</v>
          </cell>
          <cell r="CD243">
            <v>-469573.69699999999</v>
          </cell>
          <cell r="CF243">
            <v>-103.685</v>
          </cell>
          <cell r="CH243">
            <v>0</v>
          </cell>
          <cell r="CJ243">
            <v>-103.685</v>
          </cell>
          <cell r="CL243">
            <v>-56578</v>
          </cell>
          <cell r="CN243">
            <v>108.59399999999999</v>
          </cell>
          <cell r="CP243">
            <v>-56573.091</v>
          </cell>
          <cell r="CR243">
            <v>-2051.6530000000002</v>
          </cell>
          <cell r="CT243">
            <v>-546731.17050000001</v>
          </cell>
          <cell r="CU243">
            <v>0</v>
          </cell>
          <cell r="CV243">
            <v>27160.095000000001</v>
          </cell>
          <cell r="CX243">
            <v>-519571.07550000004</v>
          </cell>
          <cell r="FC243">
            <v>-2413.9430000000002</v>
          </cell>
          <cell r="FD243">
            <v>0</v>
          </cell>
          <cell r="FE243">
            <v>-1109.6199999999999</v>
          </cell>
          <cell r="FF243">
            <v>-3523.5630000000001</v>
          </cell>
          <cell r="FG243">
            <v>-337.84349999999995</v>
          </cell>
          <cell r="FH243">
            <v>-16192.5</v>
          </cell>
          <cell r="FI243">
            <v>-317690.147</v>
          </cell>
          <cell r="FJ243">
            <v>-75107</v>
          </cell>
          <cell r="FK243">
            <v>-75892</v>
          </cell>
          <cell r="FL243">
            <v>-668.92399999999998</v>
          </cell>
          <cell r="FM243">
            <v>0</v>
          </cell>
          <cell r="FN243">
            <v>-469358.07100000005</v>
          </cell>
          <cell r="FO243">
            <v>-103.685</v>
          </cell>
          <cell r="FP243">
            <v>-56578</v>
          </cell>
          <cell r="FQ243">
            <v>0</v>
          </cell>
          <cell r="FR243">
            <v>-56681.684999999998</v>
          </cell>
          <cell r="FS243">
            <v>-2063.808</v>
          </cell>
          <cell r="FT243">
            <v>-548157.47050000005</v>
          </cell>
          <cell r="FU243">
            <v>28256.663400000001</v>
          </cell>
          <cell r="FV243">
            <v>-519900.80709999998</v>
          </cell>
          <cell r="FW243" t="str">
            <v>Total curr. liabil.</v>
          </cell>
          <cell r="FX243">
            <v>-469358.07100000005</v>
          </cell>
          <cell r="FY243">
            <v>-56681.684999999998</v>
          </cell>
          <cell r="FZ243">
            <v>0</v>
          </cell>
          <cell r="GA243">
            <v>-526039.75600000005</v>
          </cell>
          <cell r="GB243">
            <v>-533093.68658256158</v>
          </cell>
          <cell r="GC243">
            <v>-519900.80709999998</v>
          </cell>
          <cell r="GD243">
            <v>-526872.41744174983</v>
          </cell>
          <cell r="GE243">
            <v>6138.9489000000031</v>
          </cell>
          <cell r="GF243">
            <v>4.1613341032970279</v>
          </cell>
          <cell r="GG243">
            <v>-86564.134423572294</v>
          </cell>
          <cell r="GH243">
            <v>0</v>
          </cell>
        </row>
        <row r="244">
          <cell r="BX244">
            <v>0</v>
          </cell>
          <cell r="CD244">
            <v>0</v>
          </cell>
          <cell r="CU244">
            <v>0</v>
          </cell>
          <cell r="FI244">
            <v>0</v>
          </cell>
          <cell r="FL244">
            <v>0</v>
          </cell>
          <cell r="FN244">
            <v>0</v>
          </cell>
          <cell r="FS244">
            <v>0</v>
          </cell>
          <cell r="FT244">
            <v>0</v>
          </cell>
          <cell r="FX244">
            <v>0</v>
          </cell>
          <cell r="FY244">
            <v>0</v>
          </cell>
          <cell r="GA244">
            <v>0</v>
          </cell>
          <cell r="GB244">
            <v>0</v>
          </cell>
          <cell r="GC244">
            <v>0</v>
          </cell>
          <cell r="GD244">
            <v>0</v>
          </cell>
          <cell r="GE244">
            <v>0</v>
          </cell>
          <cell r="GF244" t="e">
            <v>#DIV/0!</v>
          </cell>
          <cell r="GH244">
            <v>0</v>
          </cell>
        </row>
        <row r="245">
          <cell r="A245" t="str">
            <v>TOTAL PASSIV</v>
          </cell>
          <cell r="C245">
            <v>-86312.356199999995</v>
          </cell>
          <cell r="E245">
            <v>-18208.287</v>
          </cell>
          <cell r="G245">
            <v>174.43051381755731</v>
          </cell>
          <cell r="I245">
            <v>-104346.21268618244</v>
          </cell>
          <cell r="M245">
            <v>-185.49753365384601</v>
          </cell>
          <cell r="O245">
            <v>-7354</v>
          </cell>
          <cell r="Q245">
            <v>-160729.12781538462</v>
          </cell>
          <cell r="S245">
            <v>202.167</v>
          </cell>
          <cell r="U245">
            <v>-160526.96081538463</v>
          </cell>
          <cell r="W245">
            <v>-17221.5</v>
          </cell>
          <cell r="X245">
            <v>-22748</v>
          </cell>
          <cell r="Z245">
            <v>-2208.4229999999998</v>
          </cell>
          <cell r="AB245">
            <v>1331.346</v>
          </cell>
          <cell r="AD245">
            <v>-201338.21181538465</v>
          </cell>
          <cell r="AF245">
            <v>-8766.7520000000022</v>
          </cell>
          <cell r="AH245">
            <v>-2329.5149999999999</v>
          </cell>
          <cell r="AJ245">
            <v>-11096.267000000002</v>
          </cell>
          <cell r="AL245">
            <v>-54085.543999999994</v>
          </cell>
          <cell r="AN245">
            <v>10926.715</v>
          </cell>
          <cell r="AP245">
            <v>-54255.095999999998</v>
          </cell>
          <cell r="AR245">
            <v>-23069.841348416292</v>
          </cell>
          <cell r="AT245">
            <v>-390549.11376344506</v>
          </cell>
          <cell r="AV245">
            <v>82287.526153846149</v>
          </cell>
          <cell r="AX245">
            <v>-308261.58760959876</v>
          </cell>
          <cell r="AZ245" t="str">
            <v>TOTAL PASSIV</v>
          </cell>
          <cell r="BA245">
            <v>0.22499999999854481</v>
          </cell>
          <cell r="BC245">
            <v>-246675.06013</v>
          </cell>
          <cell r="BE245">
            <v>-67407.641000000003</v>
          </cell>
          <cell r="BG245">
            <v>-4683.6854635847176</v>
          </cell>
          <cell r="BI245">
            <v>-318766.38659358473</v>
          </cell>
          <cell r="BM245">
            <v>-769.16449999999963</v>
          </cell>
          <cell r="BO245">
            <v>-30098.775000000001</v>
          </cell>
          <cell r="BQ245">
            <v>-579574.90399999998</v>
          </cell>
          <cell r="BS245">
            <v>0</v>
          </cell>
          <cell r="BU245">
            <v>-579574.90399999998</v>
          </cell>
          <cell r="BW245">
            <v>-84288.5</v>
          </cell>
          <cell r="BX245">
            <v>-70026</v>
          </cell>
          <cell r="BZ245">
            <v>-7725.1710000000021</v>
          </cell>
          <cell r="CB245">
            <v>4892.9960000000001</v>
          </cell>
          <cell r="CD245">
            <v>-736721.57899999991</v>
          </cell>
          <cell r="CF245">
            <v>-5484.4809999999998</v>
          </cell>
          <cell r="CH245">
            <v>-1948.2059999999983</v>
          </cell>
          <cell r="CJ245">
            <v>-7432.686999999999</v>
          </cell>
          <cell r="CL245">
            <v>-167842.1</v>
          </cell>
          <cell r="CN245">
            <v>6972.8</v>
          </cell>
          <cell r="CP245">
            <v>-168301.98699999999</v>
          </cell>
          <cell r="CR245">
            <v>-82090.601999999999</v>
          </cell>
          <cell r="CT245">
            <v>-1336748.6760935849</v>
          </cell>
          <cell r="CU245">
            <v>0.18200000049546361</v>
          </cell>
          <cell r="CV245">
            <v>241246.30690000003</v>
          </cell>
          <cell r="CX245">
            <v>-1095502.3691935847</v>
          </cell>
          <cell r="FC245">
            <v>-361862.60800000001</v>
          </cell>
          <cell r="FD245">
            <v>-67407.860472</v>
          </cell>
          <cell r="FE245">
            <v>17479.519406415286</v>
          </cell>
          <cell r="FF245">
            <v>-411790.94906558469</v>
          </cell>
          <cell r="FG245">
            <v>-771.43600000000049</v>
          </cell>
          <cell r="FH245">
            <v>-30294.5</v>
          </cell>
          <cell r="FI245">
            <v>-652430.36599999992</v>
          </cell>
          <cell r="FJ245">
            <v>-71643.5</v>
          </cell>
          <cell r="FK245">
            <v>-96114</v>
          </cell>
          <cell r="FL245">
            <v>-8499.7179999999989</v>
          </cell>
          <cell r="FM245">
            <v>5338.4879999999994</v>
          </cell>
          <cell r="FN245">
            <v>-823349.09600000014</v>
          </cell>
          <cell r="FO245">
            <v>-46846.699219000002</v>
          </cell>
          <cell r="FP245">
            <v>-227212.26199999999</v>
          </cell>
          <cell r="FQ245">
            <v>45995.595218999995</v>
          </cell>
          <cell r="FR245">
            <v>-228063.36600000001</v>
          </cell>
          <cell r="FS245">
            <v>-89217.838000000003</v>
          </cell>
          <cell r="FT245">
            <v>-1583487.1850655845</v>
          </cell>
          <cell r="FU245">
            <v>326620.5264160767</v>
          </cell>
          <cell r="FV245">
            <v>-1256866.6586495077</v>
          </cell>
          <cell r="FW245" t="str">
            <v>TOTAL PASSIVE</v>
          </cell>
          <cell r="FX245">
            <v>-823349.09600000014</v>
          </cell>
          <cell r="FY245">
            <v>-228063.36600000001</v>
          </cell>
          <cell r="FZ245">
            <v>-0.43684500000381377</v>
          </cell>
          <cell r="GA245">
            <v>-1051412.8988450002</v>
          </cell>
          <cell r="GB245">
            <v>-1065511.8210604198</v>
          </cell>
          <cell r="GC245">
            <v>-1256866.6586495077</v>
          </cell>
          <cell r="GD245">
            <v>-1273720.6132423426</v>
          </cell>
          <cell r="GE245">
            <v>-251331.67290450804</v>
          </cell>
          <cell r="GF245">
            <v>4.0772730342298766</v>
          </cell>
          <cell r="GG245">
            <v>-616372.35683731572</v>
          </cell>
          <cell r="GH245">
            <v>0</v>
          </cell>
        </row>
        <row r="246">
          <cell r="Z246" t="str">
            <v xml:space="preserve"> </v>
          </cell>
          <cell r="AT246">
            <v>0.25437980779679492</v>
          </cell>
          <cell r="BQ246" t="str">
            <v xml:space="preserve">   </v>
          </cell>
          <cell r="CD246">
            <v>0</v>
          </cell>
          <cell r="CT246">
            <v>0.18200000040087616</v>
          </cell>
          <cell r="CU246">
            <v>-0.18200000040087616</v>
          </cell>
        </row>
        <row r="247">
          <cell r="I247">
            <v>0</v>
          </cell>
          <cell r="U247">
            <v>0</v>
          </cell>
          <cell r="AD247">
            <v>-35.326000000000931</v>
          </cell>
          <cell r="AJ247">
            <v>0</v>
          </cell>
          <cell r="AP247">
            <v>0</v>
          </cell>
          <cell r="CD247">
            <v>0</v>
          </cell>
          <cell r="HJ247" t="str">
            <v>/rv{esc}{r 2}~~{r 2}+{l 4}+{L 2}~{D}{l 2}</v>
          </cell>
        </row>
        <row r="248">
          <cell r="CD248">
            <v>0</v>
          </cell>
        </row>
        <row r="249">
          <cell r="CD249">
            <v>0</v>
          </cell>
        </row>
        <row r="250">
          <cell r="A250">
            <v>0</v>
          </cell>
          <cell r="E250" t="str">
            <v>CONSOLIDATED STATEMENTS</v>
          </cell>
          <cell r="M250" t="str">
            <v>Pnai Plus</v>
          </cell>
          <cell r="Q250" t="str">
            <v xml:space="preserve"> AS AT </v>
          </cell>
          <cell r="AF250" t="str">
            <v xml:space="preserve"> AS AT </v>
          </cell>
          <cell r="AP250">
            <v>0</v>
          </cell>
          <cell r="AZ250">
            <v>0</v>
          </cell>
          <cell r="BG250" t="str">
            <v>CONSOLIDATED STATEMENTS</v>
          </cell>
          <cell r="BS250" t="str">
            <v xml:space="preserve"> AS AT </v>
          </cell>
          <cell r="BW250" t="str">
            <v>IDAN</v>
          </cell>
          <cell r="CD250">
            <v>0</v>
          </cell>
          <cell r="CF250" t="str">
            <v xml:space="preserve"> AS AT </v>
          </cell>
          <cell r="CP250">
            <v>0</v>
          </cell>
          <cell r="CU250">
            <v>0</v>
          </cell>
          <cell r="FH250" t="str">
            <v>Netcom</v>
          </cell>
          <cell r="FJ250" t="str">
            <v>IDAN</v>
          </cell>
          <cell r="FL250" t="str">
            <v>EDOM</v>
          </cell>
          <cell r="FN250">
            <v>0</v>
          </cell>
          <cell r="FS250">
            <v>0</v>
          </cell>
          <cell r="FT250" t="str">
            <v>TOTAL</v>
          </cell>
          <cell r="FU250" t="str">
            <v>J.ENTRIES</v>
          </cell>
          <cell r="FV250" t="str">
            <v>TOTAL</v>
          </cell>
          <cell r="FW250" t="str">
            <v>T.L.M</v>
          </cell>
          <cell r="FX250">
            <v>0</v>
          </cell>
          <cell r="FY250">
            <v>0</v>
          </cell>
          <cell r="GA250">
            <v>0</v>
          </cell>
          <cell r="GB250">
            <v>0</v>
          </cell>
          <cell r="GD250">
            <v>0</v>
          </cell>
          <cell r="GE250">
            <v>0</v>
          </cell>
          <cell r="GF250" t="e">
            <v>#DIV/0!</v>
          </cell>
          <cell r="GG250" t="str">
            <v>TOTAL</v>
          </cell>
          <cell r="GH250">
            <v>0</v>
          </cell>
        </row>
        <row r="251">
          <cell r="G251" t="str">
            <v>A.C.T.V.</v>
          </cell>
          <cell r="S251" t="str">
            <v>G.C.&amp; CO.</v>
          </cell>
          <cell r="Z251" t="str">
            <v>G.C.&amp; CO. CONSOLIDATED</v>
          </cell>
          <cell r="AF251" t="str">
            <v>SOUTH SHARON COMM.</v>
          </cell>
          <cell r="AL251" t="str">
            <v>T.L.M</v>
          </cell>
          <cell r="AN251" t="str">
            <v>S.S.C.-CONSOLIDATED</v>
          </cell>
          <cell r="AR251" t="str">
            <v>MERCAZ</v>
          </cell>
          <cell r="AV251" t="str">
            <v xml:space="preserve">A.L.I.S-CONSOLIDATED </v>
          </cell>
          <cell r="BG251" t="str">
            <v>A.C.T.V.</v>
          </cell>
          <cell r="BZ251" t="str">
            <v>G.C.&amp; CO. CONSOLIDATED</v>
          </cell>
          <cell r="CD251">
            <v>0</v>
          </cell>
          <cell r="CF251" t="str">
            <v>SOUTH SHARON COMM.</v>
          </cell>
          <cell r="CL251" t="str">
            <v>T.L.M</v>
          </cell>
          <cell r="CN251" t="str">
            <v>S.S.C.-CONSOLIDATED</v>
          </cell>
          <cell r="CR251" t="str">
            <v>MERCAZ</v>
          </cell>
          <cell r="CU251">
            <v>0</v>
          </cell>
          <cell r="CV251" t="str">
            <v xml:space="preserve">CONSOLIDATED </v>
          </cell>
          <cell r="FE251" t="str">
            <v>A.C.T.V.</v>
          </cell>
          <cell r="FN251">
            <v>0</v>
          </cell>
          <cell r="FP251" t="str">
            <v>T.L.M</v>
          </cell>
          <cell r="FQ251" t="str">
            <v>S.S.C.-CONSOLIDATED</v>
          </cell>
          <cell r="FS251">
            <v>0</v>
          </cell>
          <cell r="FT251" t="str">
            <v>"31/12/98</v>
          </cell>
          <cell r="FV251" t="str">
            <v>"31/12/98</v>
          </cell>
          <cell r="FX251">
            <v>0</v>
          </cell>
          <cell r="FY251">
            <v>0</v>
          </cell>
          <cell r="GA251">
            <v>0</v>
          </cell>
          <cell r="GB251">
            <v>0</v>
          </cell>
          <cell r="GD251">
            <v>0</v>
          </cell>
          <cell r="GE251">
            <v>0</v>
          </cell>
          <cell r="GF251" t="e">
            <v>#DIV/0!</v>
          </cell>
          <cell r="GG251" t="str">
            <v>31/12/97</v>
          </cell>
          <cell r="GH251">
            <v>0</v>
          </cell>
        </row>
        <row r="252">
          <cell r="A252">
            <v>36661.599853703701</v>
          </cell>
          <cell r="B252">
            <v>36661.599853703701</v>
          </cell>
          <cell r="C252" t="str">
            <v>A.C.T.V.</v>
          </cell>
          <cell r="E252" t="str">
            <v>A.L.I.S</v>
          </cell>
          <cell r="G252" t="str">
            <v>J.ENTRIES</v>
          </cell>
          <cell r="I252" t="str">
            <v>TOTAL</v>
          </cell>
          <cell r="O252" t="str">
            <v>Netcom</v>
          </cell>
          <cell r="Q252" t="str">
            <v>G.C.&amp; CO.</v>
          </cell>
          <cell r="S252" t="str">
            <v>J.ENTRIES</v>
          </cell>
          <cell r="U252" t="str">
            <v>TOTAL</v>
          </cell>
          <cell r="W252" t="str">
            <v>עידן</v>
          </cell>
          <cell r="X252" t="str">
            <v>רוו"ה</v>
          </cell>
          <cell r="Z252" t="str">
            <v>A. EDOM</v>
          </cell>
          <cell r="AB252" t="str">
            <v>J.ENTRIES</v>
          </cell>
          <cell r="AD252" t="str">
            <v>TOTAL</v>
          </cell>
          <cell r="AF252" t="str">
            <v>S.S.C.</v>
          </cell>
          <cell r="AH252" t="str">
            <v>J.ENTRIES</v>
          </cell>
          <cell r="AJ252" t="str">
            <v>TOTAL</v>
          </cell>
          <cell r="AL252" t="str">
            <v>T.L.M</v>
          </cell>
          <cell r="AN252" t="str">
            <v>J.ENTRIES</v>
          </cell>
          <cell r="AP252" t="str">
            <v>TOTAL</v>
          </cell>
          <cell r="AR252" t="str">
            <v>MERCAZ</v>
          </cell>
          <cell r="AT252" t="str">
            <v>TOTAL</v>
          </cell>
          <cell r="AV252" t="str">
            <v>J.ENTRIES</v>
          </cell>
          <cell r="AX252" t="str">
            <v>TOTAL</v>
          </cell>
          <cell r="AZ252">
            <v>36661.599853703701</v>
          </cell>
          <cell r="BC252" t="str">
            <v>A.C.T.V.</v>
          </cell>
          <cell r="BE252" t="str">
            <v>A.L.I.S</v>
          </cell>
          <cell r="BG252" t="str">
            <v>J.ENTRIES</v>
          </cell>
          <cell r="BI252" t="str">
            <v>TOTAL</v>
          </cell>
          <cell r="BM252" t="str">
            <v>Pnai Plus</v>
          </cell>
          <cell r="BQ252" t="str">
            <v>G.C.&amp; CO.</v>
          </cell>
          <cell r="BS252" t="str">
            <v>J.ENTRIES</v>
          </cell>
          <cell r="BU252" t="str">
            <v>TOTAL</v>
          </cell>
          <cell r="BW252" t="str">
            <v>IDAN</v>
          </cell>
          <cell r="BX252" t="str">
            <v>IDAN (PR&amp;L)</v>
          </cell>
          <cell r="BZ252" t="str">
            <v>A. EDOM</v>
          </cell>
          <cell r="CB252" t="str">
            <v>J.ENTRIES</v>
          </cell>
          <cell r="CD252">
            <v>0</v>
          </cell>
          <cell r="CF252" t="str">
            <v>S.S.C.</v>
          </cell>
          <cell r="CH252" t="str">
            <v>J.ENTRIES</v>
          </cell>
          <cell r="CJ252" t="str">
            <v>TOTAL</v>
          </cell>
          <cell r="CL252" t="str">
            <v>T.L.M</v>
          </cell>
          <cell r="CN252" t="str">
            <v>J.ENTRIES</v>
          </cell>
          <cell r="CP252" t="str">
            <v>TOTAL</v>
          </cell>
          <cell r="CR252" t="str">
            <v>MERCAZ</v>
          </cell>
          <cell r="CT252" t="str">
            <v>TOTAL</v>
          </cell>
          <cell r="CU252">
            <v>0</v>
          </cell>
          <cell r="CV252" t="str">
            <v>J.ENTRIES</v>
          </cell>
          <cell r="CX252" t="str">
            <v>TOTAL</v>
          </cell>
          <cell r="FE252" t="str">
            <v>J.ENTRIES</v>
          </cell>
          <cell r="FL252" t="str">
            <v>G.C.&amp; CO. CONSOLIDATED</v>
          </cell>
          <cell r="FM252" t="str">
            <v>J.ENTRIES</v>
          </cell>
          <cell r="FN252">
            <v>0</v>
          </cell>
          <cell r="FO252" t="str">
            <v>TOTAL</v>
          </cell>
          <cell r="FP252" t="str">
            <v>T.L.M</v>
          </cell>
          <cell r="FQ252" t="str">
            <v>J.ENTRIES</v>
          </cell>
          <cell r="FR252" t="str">
            <v>TOTAL</v>
          </cell>
          <cell r="FS252">
            <v>0</v>
          </cell>
          <cell r="FU252" t="str">
            <v xml:space="preserve">A.L.I.S-CONSOLIDATED </v>
          </cell>
          <cell r="FW252">
            <v>36661.599853703701</v>
          </cell>
          <cell r="FX252">
            <v>0</v>
          </cell>
          <cell r="FY252" t="str">
            <v>TOTAL</v>
          </cell>
          <cell r="GA252">
            <v>0</v>
          </cell>
          <cell r="GB252">
            <v>0</v>
          </cell>
          <cell r="GD252">
            <v>0</v>
          </cell>
          <cell r="GE252">
            <v>0</v>
          </cell>
          <cell r="GF252" t="e">
            <v>#DIV/0!</v>
          </cell>
          <cell r="GH252">
            <v>0</v>
          </cell>
        </row>
        <row r="253">
          <cell r="C253" t="str">
            <v>000$</v>
          </cell>
          <cell r="E253" t="str">
            <v>000$</v>
          </cell>
          <cell r="G253" t="str">
            <v>000$</v>
          </cell>
          <cell r="I253" t="str">
            <v>000$</v>
          </cell>
          <cell r="Q253" t="str">
            <v>000$</v>
          </cell>
          <cell r="S253" t="str">
            <v>000$</v>
          </cell>
          <cell r="U253" t="str">
            <v>000$</v>
          </cell>
          <cell r="W253" t="str">
            <v>000$</v>
          </cell>
          <cell r="X253" t="str">
            <v>000$</v>
          </cell>
          <cell r="Z253" t="str">
            <v>000$</v>
          </cell>
          <cell r="AB253" t="str">
            <v>000$</v>
          </cell>
          <cell r="AD253" t="str">
            <v>000$</v>
          </cell>
          <cell r="AF253" t="str">
            <v>000$</v>
          </cell>
          <cell r="AH253" t="str">
            <v>000$</v>
          </cell>
          <cell r="AJ253" t="str">
            <v>000$</v>
          </cell>
          <cell r="AP253" t="str">
            <v>000$</v>
          </cell>
          <cell r="AR253" t="str">
            <v>000$</v>
          </cell>
          <cell r="AT253" t="str">
            <v>000$</v>
          </cell>
          <cell r="AV253" t="str">
            <v>000$</v>
          </cell>
          <cell r="AX253" t="str">
            <v>000$</v>
          </cell>
          <cell r="BC253" t="str">
            <v>000NIS</v>
          </cell>
          <cell r="BE253" t="str">
            <v>000NIS</v>
          </cell>
          <cell r="BG253" t="str">
            <v>000NIS</v>
          </cell>
          <cell r="BI253" t="str">
            <v>000NIS</v>
          </cell>
          <cell r="BM253" t="str">
            <v>000NIS</v>
          </cell>
          <cell r="BQ253" t="str">
            <v>000NIS</v>
          </cell>
          <cell r="BS253" t="str">
            <v>000NIS</v>
          </cell>
          <cell r="BU253" t="str">
            <v>000NIS</v>
          </cell>
          <cell r="BW253" t="str">
            <v>000NIS</v>
          </cell>
          <cell r="BX253" t="str">
            <v>000NIS</v>
          </cell>
          <cell r="BZ253" t="str">
            <v>000NIS</v>
          </cell>
          <cell r="CB253" t="str">
            <v>000NIS</v>
          </cell>
          <cell r="CD253">
            <v>0</v>
          </cell>
          <cell r="CF253" t="str">
            <v>000NIS</v>
          </cell>
          <cell r="CH253" t="str">
            <v>000NIS</v>
          </cell>
          <cell r="CJ253" t="str">
            <v>000NIS</v>
          </cell>
          <cell r="CL253" t="str">
            <v>000NIS</v>
          </cell>
          <cell r="CN253" t="str">
            <v>000NIS</v>
          </cell>
          <cell r="CP253" t="str">
            <v>000NIS</v>
          </cell>
          <cell r="CR253" t="str">
            <v>000NIS</v>
          </cell>
          <cell r="CT253" t="str">
            <v>000$</v>
          </cell>
          <cell r="CU253">
            <v>0</v>
          </cell>
          <cell r="CV253" t="str">
            <v>000NIS</v>
          </cell>
          <cell r="CX253" t="str">
            <v>000NIS</v>
          </cell>
          <cell r="FE253" t="str">
            <v>000$</v>
          </cell>
          <cell r="FM253" t="str">
            <v>000NIS</v>
          </cell>
          <cell r="FN253">
            <v>0</v>
          </cell>
          <cell r="FO253" t="str">
            <v>000NIS</v>
          </cell>
          <cell r="FR253" t="str">
            <v>000NIS</v>
          </cell>
          <cell r="FS253">
            <v>0</v>
          </cell>
          <cell r="FX253">
            <v>0</v>
          </cell>
          <cell r="FY253" t="str">
            <v>000NIS</v>
          </cell>
          <cell r="GA253">
            <v>0</v>
          </cell>
          <cell r="GB253">
            <v>0</v>
          </cell>
          <cell r="GD253">
            <v>0</v>
          </cell>
          <cell r="GE253">
            <v>0</v>
          </cell>
          <cell r="GF253" t="e">
            <v>#DIV/0!</v>
          </cell>
          <cell r="GH253">
            <v>0</v>
          </cell>
        </row>
        <row r="254">
          <cell r="A254" t="str">
            <v>INCOME\ subscribers fees</v>
          </cell>
          <cell r="I254">
            <v>0</v>
          </cell>
          <cell r="Q254">
            <v>-75668.119000000006</v>
          </cell>
          <cell r="U254">
            <v>-75668.119000000006</v>
          </cell>
          <cell r="X254">
            <v>-15254</v>
          </cell>
          <cell r="Z254">
            <v>-1518.3140000000001</v>
          </cell>
          <cell r="AD254">
            <v>-92440.433000000005</v>
          </cell>
          <cell r="AJ254">
            <v>0</v>
          </cell>
          <cell r="AL254">
            <v>-42317.017</v>
          </cell>
          <cell r="AP254">
            <v>-42317.017</v>
          </cell>
          <cell r="AT254">
            <v>-134757.45000000001</v>
          </cell>
          <cell r="AX254">
            <v>-134757.45000000001</v>
          </cell>
          <cell r="AZ254" t="str">
            <v>INCOME</v>
          </cell>
          <cell r="BI254">
            <v>0</v>
          </cell>
          <cell r="BQ254">
            <v>-286051.68199999997</v>
          </cell>
          <cell r="BU254">
            <v>-286051.68199999997</v>
          </cell>
          <cell r="BZ254">
            <v>-5734.06</v>
          </cell>
          <cell r="CD254">
            <v>-291785.74199999997</v>
          </cell>
          <cell r="CJ254">
            <v>0</v>
          </cell>
          <cell r="CL254">
            <v>-158720</v>
          </cell>
          <cell r="CP254">
            <v>-158720</v>
          </cell>
          <cell r="CQ254">
            <v>0</v>
          </cell>
          <cell r="CT254">
            <v>-450505.74199999997</v>
          </cell>
          <cell r="CU254">
            <v>0</v>
          </cell>
          <cell r="CX254">
            <v>-450505.74199999997</v>
          </cell>
          <cell r="FI254">
            <v>-300753.03200000001</v>
          </cell>
          <cell r="FK254">
            <v>-62980</v>
          </cell>
          <cell r="FL254">
            <v>-6023.0940000000001</v>
          </cell>
          <cell r="FN254">
            <v>-369756.12599999999</v>
          </cell>
          <cell r="FO254">
            <v>0</v>
          </cell>
          <cell r="FP254">
            <v>-167741</v>
          </cell>
          <cell r="FR254">
            <v>-167741</v>
          </cell>
          <cell r="FS254">
            <v>0</v>
          </cell>
          <cell r="FT254">
            <v>-537497.12599999993</v>
          </cell>
          <cell r="FV254">
            <v>-537497.12599999993</v>
          </cell>
          <cell r="FW254" t="str">
            <v>INCOME\ subscribers fees</v>
          </cell>
          <cell r="FX254">
            <v>-369756.12599999999</v>
          </cell>
          <cell r="FY254">
            <v>-167741</v>
          </cell>
          <cell r="GA254">
            <v>-537497.12599999993</v>
          </cell>
          <cell r="GB254">
            <v>-544704.69419591094</v>
          </cell>
          <cell r="GC254">
            <v>0</v>
          </cell>
          <cell r="GD254">
            <v>0</v>
          </cell>
          <cell r="GE254">
            <v>0</v>
          </cell>
          <cell r="GF254">
            <v>3.9886264247357004</v>
          </cell>
          <cell r="GG254">
            <v>-443872.54765055527</v>
          </cell>
          <cell r="GH254">
            <v>0</v>
          </cell>
        </row>
        <row r="255">
          <cell r="A255" t="str">
            <v>income from related parties</v>
          </cell>
          <cell r="M255" t="str">
            <v xml:space="preserve"> </v>
          </cell>
          <cell r="U255">
            <v>0</v>
          </cell>
          <cell r="AJ255">
            <v>0</v>
          </cell>
          <cell r="AP255">
            <v>0</v>
          </cell>
          <cell r="AT255">
            <v>0</v>
          </cell>
          <cell r="AX255">
            <v>0</v>
          </cell>
          <cell r="CJ255">
            <v>0</v>
          </cell>
          <cell r="CL255">
            <v>-5106</v>
          </cell>
          <cell r="CP255">
            <v>-5106</v>
          </cell>
          <cell r="CQ255">
            <v>0</v>
          </cell>
          <cell r="CT255">
            <v>-5106</v>
          </cell>
          <cell r="CU255">
            <v>0</v>
          </cell>
          <cell r="CX255">
            <v>-5106</v>
          </cell>
          <cell r="FN255">
            <v>0</v>
          </cell>
          <cell r="FR255">
            <v>0</v>
          </cell>
          <cell r="FT255">
            <v>0</v>
          </cell>
          <cell r="FW255" t="str">
            <v>income from related parties</v>
          </cell>
          <cell r="FX255">
            <v>0</v>
          </cell>
          <cell r="FY255">
            <v>0</v>
          </cell>
          <cell r="GA255">
            <v>0</v>
          </cell>
          <cell r="GB255">
            <v>0</v>
          </cell>
          <cell r="GC255">
            <v>0</v>
          </cell>
          <cell r="GD255">
            <v>0</v>
          </cell>
          <cell r="GE255">
            <v>0</v>
          </cell>
          <cell r="GF255" t="e">
            <v>#DIV/0!</v>
          </cell>
        </row>
        <row r="256">
          <cell r="A256" t="str">
            <v>other than subscribers\installation</v>
          </cell>
          <cell r="I256">
            <v>0</v>
          </cell>
          <cell r="M256" t="str">
            <v xml:space="preserve"> </v>
          </cell>
          <cell r="Q256">
            <v>-567.25199999999995</v>
          </cell>
          <cell r="U256">
            <v>-567.25199999999995</v>
          </cell>
          <cell r="X256">
            <v>-248.5</v>
          </cell>
          <cell r="Z256">
            <v>-9.0299999999999994</v>
          </cell>
          <cell r="AD256">
            <v>-824.78199999999993</v>
          </cell>
          <cell r="AJ256">
            <v>0</v>
          </cell>
          <cell r="AL256">
            <v>-1723.6110000000001</v>
          </cell>
          <cell r="AP256">
            <v>-1723.6110000000001</v>
          </cell>
          <cell r="AT256">
            <v>-2548.393</v>
          </cell>
          <cell r="AV256">
            <v>-1963.3520000000003</v>
          </cell>
          <cell r="AX256">
            <v>-4511.7450000000008</v>
          </cell>
          <cell r="AZ256" t="str">
            <v>other from subscribers</v>
          </cell>
          <cell r="BI256">
            <v>0</v>
          </cell>
          <cell r="BQ256">
            <v>-2276.9290000000001</v>
          </cell>
          <cell r="BU256">
            <v>-2276.9290000000001</v>
          </cell>
          <cell r="BZ256">
            <v>-38.411000000000001</v>
          </cell>
          <cell r="CD256">
            <v>-2315.34</v>
          </cell>
          <cell r="CJ256">
            <v>0</v>
          </cell>
          <cell r="CP256">
            <v>0</v>
          </cell>
          <cell r="CQ256">
            <v>0</v>
          </cell>
          <cell r="CT256">
            <v>-2315.34</v>
          </cell>
          <cell r="CU256">
            <v>0</v>
          </cell>
          <cell r="CV256">
            <v>-66062.256999999998</v>
          </cell>
          <cell r="CX256">
            <v>-68377.596999999994</v>
          </cell>
          <cell r="FI256">
            <v>-2319.9209999999998</v>
          </cell>
          <cell r="FK256">
            <v>-1028</v>
          </cell>
          <cell r="FL256">
            <v>-38.012</v>
          </cell>
          <cell r="FN256">
            <v>-3385.933</v>
          </cell>
          <cell r="FO256">
            <v>0</v>
          </cell>
          <cell r="FP256">
            <v>-6131</v>
          </cell>
          <cell r="FR256">
            <v>-6131</v>
          </cell>
          <cell r="FS256">
            <v>0</v>
          </cell>
          <cell r="FT256">
            <v>-9516.9330000000009</v>
          </cell>
          <cell r="FV256">
            <v>-9516.9330000000009</v>
          </cell>
          <cell r="FW256" t="str">
            <v>other than subscribers\installation</v>
          </cell>
          <cell r="FX256">
            <v>-3385.933</v>
          </cell>
          <cell r="FY256">
            <v>-6131</v>
          </cell>
          <cell r="GA256">
            <v>-9516.9330000000009</v>
          </cell>
          <cell r="GB256">
            <v>-9644.5503216476245</v>
          </cell>
          <cell r="GC256">
            <v>0</v>
          </cell>
          <cell r="GD256">
            <v>0</v>
          </cell>
          <cell r="GE256">
            <v>0</v>
          </cell>
          <cell r="GF256">
            <v>2.1093685480894862</v>
          </cell>
          <cell r="GG256">
            <v>-12724.068125408232</v>
          </cell>
          <cell r="GH256">
            <v>0</v>
          </cell>
        </row>
        <row r="257">
          <cell r="A257" t="str">
            <v>publishing\deposits</v>
          </cell>
          <cell r="I257">
            <v>0</v>
          </cell>
          <cell r="M257" t="str">
            <v xml:space="preserve"> </v>
          </cell>
          <cell r="Q257">
            <v>-1112.4390000000001</v>
          </cell>
          <cell r="U257">
            <v>-1112.4390000000001</v>
          </cell>
          <cell r="Z257">
            <v>-11.737</v>
          </cell>
          <cell r="AD257">
            <v>-1124.1760000000002</v>
          </cell>
          <cell r="AH257">
            <v>0</v>
          </cell>
          <cell r="AJ257">
            <v>0</v>
          </cell>
          <cell r="AP257">
            <v>0</v>
          </cell>
          <cell r="AT257">
            <v>-1124.1760000000002</v>
          </cell>
          <cell r="AV257">
            <v>1124.1760000000002</v>
          </cell>
          <cell r="AX257">
            <v>0</v>
          </cell>
          <cell r="AZ257" t="str">
            <v>publishing</v>
          </cell>
          <cell r="BI257">
            <v>0</v>
          </cell>
          <cell r="BQ257">
            <v>-2475.7150000000001</v>
          </cell>
          <cell r="BU257">
            <v>-2475.7150000000001</v>
          </cell>
          <cell r="BZ257">
            <v>-26.46</v>
          </cell>
          <cell r="CD257">
            <v>-2502.1750000000002</v>
          </cell>
          <cell r="CH257">
            <v>0</v>
          </cell>
          <cell r="CJ257">
            <v>0</v>
          </cell>
          <cell r="CP257">
            <v>0</v>
          </cell>
          <cell r="CQ257">
            <v>0</v>
          </cell>
          <cell r="CT257">
            <v>-2502.1750000000002</v>
          </cell>
          <cell r="CU257">
            <v>0</v>
          </cell>
          <cell r="CV257">
            <v>2502.1750000000002</v>
          </cell>
          <cell r="CX257">
            <v>0</v>
          </cell>
          <cell r="FI257">
            <v>-3517.7739999999999</v>
          </cell>
          <cell r="FL257">
            <v>-37.137</v>
          </cell>
          <cell r="FN257">
            <v>-3554.9110000000001</v>
          </cell>
          <cell r="FO257">
            <v>0</v>
          </cell>
          <cell r="FR257">
            <v>0</v>
          </cell>
          <cell r="FS257">
            <v>0</v>
          </cell>
          <cell r="FT257">
            <v>-3554.9110000000001</v>
          </cell>
          <cell r="FV257">
            <v>-3554.9110000000001</v>
          </cell>
          <cell r="FW257" t="str">
            <v>publishing\deposits</v>
          </cell>
          <cell r="FX257">
            <v>-3554.9110000000001</v>
          </cell>
          <cell r="FY257">
            <v>0</v>
          </cell>
          <cell r="GA257">
            <v>-3554.9110000000001</v>
          </cell>
          <cell r="GB257">
            <v>-3602.5805822609741</v>
          </cell>
          <cell r="GC257">
            <v>0</v>
          </cell>
          <cell r="GD257">
            <v>0</v>
          </cell>
          <cell r="GE257">
            <v>0</v>
          </cell>
          <cell r="GF257" t="e">
            <v>#DIV/0!</v>
          </cell>
          <cell r="GG257">
            <v>-10.344055519268453</v>
          </cell>
          <cell r="GH257">
            <v>0</v>
          </cell>
        </row>
        <row r="258">
          <cell r="A258" t="str">
            <v>management fees-from GC&amp;co</v>
          </cell>
          <cell r="C258">
            <v>-2389.4520000000002</v>
          </cell>
          <cell r="G258">
            <v>-1009.615</v>
          </cell>
          <cell r="I258">
            <v>-3399.067</v>
          </cell>
          <cell r="U258">
            <v>0</v>
          </cell>
          <cell r="AD258">
            <v>0</v>
          </cell>
          <cell r="AF258">
            <v>-26.103999999999999</v>
          </cell>
          <cell r="AJ258">
            <v>-26.103999999999999</v>
          </cell>
          <cell r="AN258">
            <v>26.103999999999999</v>
          </cell>
          <cell r="AP258">
            <v>0</v>
          </cell>
          <cell r="AT258">
            <v>-3399.067</v>
          </cell>
          <cell r="AV258">
            <v>3399.067</v>
          </cell>
          <cell r="AX258">
            <v>0</v>
          </cell>
          <cell r="AZ258" t="str">
            <v>management fees-from GC&amp;co</v>
          </cell>
          <cell r="BC258">
            <v>-9941.6869999999999</v>
          </cell>
          <cell r="BG258">
            <v>-4200</v>
          </cell>
          <cell r="BI258">
            <v>-14141.687</v>
          </cell>
          <cell r="BM258">
            <v>-11553.8285</v>
          </cell>
          <cell r="BU258">
            <v>0</v>
          </cell>
          <cell r="CD258">
            <v>0</v>
          </cell>
          <cell r="CQ258">
            <v>0</v>
          </cell>
          <cell r="CT258">
            <v>-25695.515500000001</v>
          </cell>
          <cell r="CU258">
            <v>0</v>
          </cell>
          <cell r="CV258">
            <v>25695.515500000001</v>
          </cell>
          <cell r="CX258">
            <v>0</v>
          </cell>
          <cell r="FC258">
            <v>-14141.687</v>
          </cell>
          <cell r="FF258">
            <v>-14141.687</v>
          </cell>
          <cell r="FN258">
            <v>0</v>
          </cell>
          <cell r="FO258">
            <v>-108.59399999999999</v>
          </cell>
          <cell r="FR258">
            <v>-108.59399999999999</v>
          </cell>
          <cell r="FS258">
            <v>0</v>
          </cell>
          <cell r="FT258">
            <v>-14250.280999999999</v>
          </cell>
          <cell r="FU258">
            <v>14250.280999999999</v>
          </cell>
          <cell r="FV258">
            <v>0</v>
          </cell>
          <cell r="FW258" t="str">
            <v>management fees-from GC&amp;co</v>
          </cell>
          <cell r="FX258">
            <v>0</v>
          </cell>
          <cell r="FY258">
            <v>-108.59399999999999</v>
          </cell>
          <cell r="FZ258">
            <v>14250.280999999999</v>
          </cell>
          <cell r="GA258">
            <v>14141.687</v>
          </cell>
          <cell r="GB258">
            <v>14331.319964582081</v>
          </cell>
          <cell r="GC258">
            <v>-14141.687</v>
          </cell>
          <cell r="GD258">
            <v>-14331.319964582081</v>
          </cell>
          <cell r="GE258">
            <v>-14141.687</v>
          </cell>
          <cell r="GF258" t="e">
            <v>#DIV/0!</v>
          </cell>
          <cell r="GG258">
            <v>0</v>
          </cell>
          <cell r="GH258">
            <v>0</v>
          </cell>
        </row>
        <row r="259">
          <cell r="A259" t="str">
            <v>management fees-from others</v>
          </cell>
          <cell r="C259">
            <v>-909.452</v>
          </cell>
          <cell r="E259">
            <v>-104.727</v>
          </cell>
          <cell r="G259">
            <v>0</v>
          </cell>
          <cell r="I259">
            <v>-1014.179</v>
          </cell>
          <cell r="M259" t="str">
            <v xml:space="preserve"> </v>
          </cell>
          <cell r="U259">
            <v>0</v>
          </cell>
          <cell r="AD259">
            <v>0</v>
          </cell>
          <cell r="AJ259">
            <v>0</v>
          </cell>
          <cell r="AP259">
            <v>0</v>
          </cell>
          <cell r="AT259">
            <v>-1014.179</v>
          </cell>
          <cell r="AV259">
            <v>1014.179</v>
          </cell>
          <cell r="AX259">
            <v>0</v>
          </cell>
          <cell r="AZ259" t="str">
            <v>management fees-from others</v>
          </cell>
          <cell r="BC259">
            <v>-3783.3209999999999</v>
          </cell>
          <cell r="BE259">
            <v>-367</v>
          </cell>
          <cell r="BI259">
            <v>-4150.3209999999999</v>
          </cell>
          <cell r="BU259">
            <v>0</v>
          </cell>
          <cell r="CD259">
            <v>0</v>
          </cell>
          <cell r="CF259">
            <v>-108.59399999999999</v>
          </cell>
          <cell r="CJ259">
            <v>-108.59399999999999</v>
          </cell>
          <cell r="CN259">
            <v>108.59399999999999</v>
          </cell>
          <cell r="CP259">
            <v>0</v>
          </cell>
          <cell r="CQ259">
            <v>0</v>
          </cell>
          <cell r="CT259">
            <v>-4150.3209999999999</v>
          </cell>
          <cell r="CU259">
            <v>0</v>
          </cell>
          <cell r="CV259">
            <v>4150.3209999999999</v>
          </cell>
          <cell r="CX259">
            <v>0</v>
          </cell>
          <cell r="FC259">
            <v>-3783.3209999999999</v>
          </cell>
          <cell r="FD259">
            <v>-397.33695539999997</v>
          </cell>
          <cell r="FE259">
            <v>0</v>
          </cell>
          <cell r="FF259">
            <v>-4180.6579554</v>
          </cell>
          <cell r="FN259">
            <v>0</v>
          </cell>
          <cell r="FQ259">
            <v>108.59399999999999</v>
          </cell>
          <cell r="FR259">
            <v>108.59399999999999</v>
          </cell>
          <cell r="FS259">
            <v>0</v>
          </cell>
          <cell r="FT259">
            <v>-4072.0639553999999</v>
          </cell>
          <cell r="FU259">
            <v>4072.0639553999999</v>
          </cell>
          <cell r="FV259">
            <v>0</v>
          </cell>
          <cell r="FW259" t="str">
            <v>management fees-from others</v>
          </cell>
          <cell r="FX259">
            <v>0</v>
          </cell>
          <cell r="FY259">
            <v>108.59399999999999</v>
          </cell>
          <cell r="FZ259">
            <v>4072.0639553999999</v>
          </cell>
          <cell r="GA259">
            <v>4180.6579554</v>
          </cell>
          <cell r="GB259">
            <v>4236.7184920238242</v>
          </cell>
          <cell r="GC259">
            <v>-4180.6579554</v>
          </cell>
          <cell r="GD259">
            <v>-4236.7184920238242</v>
          </cell>
          <cell r="GE259">
            <v>-4180.6579554</v>
          </cell>
          <cell r="GF259" t="e">
            <v>#DIV/0!</v>
          </cell>
          <cell r="GG259">
            <v>0</v>
          </cell>
          <cell r="GH259">
            <v>0</v>
          </cell>
        </row>
        <row r="260">
          <cell r="A260" t="str">
            <v>CATV guides</v>
          </cell>
          <cell r="M260">
            <v>-2920.330408653846</v>
          </cell>
          <cell r="AT260">
            <v>-2920.330408653846</v>
          </cell>
          <cell r="AX260">
            <v>-2920.330408653846</v>
          </cell>
          <cell r="FG260">
            <v>-12148.574500000001</v>
          </cell>
          <cell r="FT260">
            <v>-12148.574500000001</v>
          </cell>
          <cell r="FV260">
            <v>-12148.574500000001</v>
          </cell>
          <cell r="FX260">
            <v>0</v>
          </cell>
          <cell r="FY260">
            <v>0</v>
          </cell>
          <cell r="GA260">
            <v>0</v>
          </cell>
          <cell r="GB260">
            <v>0</v>
          </cell>
          <cell r="GC260">
            <v>-12148.574500000001</v>
          </cell>
          <cell r="GD260">
            <v>-12311.480820715575</v>
          </cell>
          <cell r="GE260">
            <v>-12148.574500000001</v>
          </cell>
          <cell r="GF260">
            <v>4.16</v>
          </cell>
        </row>
        <row r="261">
          <cell r="A261" t="str">
            <v>sales\other</v>
          </cell>
          <cell r="I261">
            <v>0</v>
          </cell>
          <cell r="M261" t="str">
            <v xml:space="preserve"> </v>
          </cell>
          <cell r="O261">
            <v>-12206</v>
          </cell>
          <cell r="Q261">
            <v>-597.59500000000003</v>
          </cell>
          <cell r="S261">
            <v>253.27500000000001</v>
          </cell>
          <cell r="U261">
            <v>-344.32</v>
          </cell>
          <cell r="X261">
            <v>-491</v>
          </cell>
          <cell r="Z261">
            <v>-3.8559999999999999</v>
          </cell>
          <cell r="AD261">
            <v>-839.17600000000004</v>
          </cell>
          <cell r="AT261">
            <v>-13045.175999999999</v>
          </cell>
          <cell r="AV261">
            <v>839.17600000000004</v>
          </cell>
          <cell r="AX261">
            <v>-12206</v>
          </cell>
          <cell r="AZ261" t="str">
            <v>sales</v>
          </cell>
          <cell r="BI261">
            <v>0</v>
          </cell>
          <cell r="BO261">
            <v>-46539</v>
          </cell>
          <cell r="BQ261">
            <v>-2285.4279999999999</v>
          </cell>
          <cell r="BU261">
            <v>-2285.4279999999999</v>
          </cell>
          <cell r="BX261">
            <v>-61260</v>
          </cell>
          <cell r="BZ261">
            <v>-14.654</v>
          </cell>
          <cell r="CD261">
            <v>-63560.082000000002</v>
          </cell>
          <cell r="CJ261">
            <v>0</v>
          </cell>
          <cell r="CP261">
            <v>0</v>
          </cell>
          <cell r="CQ261">
            <v>0</v>
          </cell>
          <cell r="CR261">
            <v>-5085.8100000000004</v>
          </cell>
          <cell r="CT261">
            <v>-115184.89200000001</v>
          </cell>
          <cell r="CU261">
            <v>0</v>
          </cell>
          <cell r="CV261">
            <v>63560.082000000002</v>
          </cell>
          <cell r="CX261">
            <v>-51624.81</v>
          </cell>
          <cell r="FH261">
            <v>-48773</v>
          </cell>
          <cell r="FI261">
            <v>-1347.942</v>
          </cell>
          <cell r="FK261">
            <v>-2027</v>
          </cell>
          <cell r="FL261">
            <v>-15.336</v>
          </cell>
          <cell r="FN261">
            <v>-3390.2779999999998</v>
          </cell>
          <cell r="FO261">
            <v>0</v>
          </cell>
          <cell r="FR261">
            <v>0</v>
          </cell>
          <cell r="FS261">
            <v>0</v>
          </cell>
          <cell r="FT261">
            <v>-52163.277999999998</v>
          </cell>
          <cell r="FV261">
            <v>-52163.277999999998</v>
          </cell>
          <cell r="FW261" t="str">
            <v>sales\other</v>
          </cell>
          <cell r="FX261">
            <v>-3390.2779999999998</v>
          </cell>
          <cell r="FY261">
            <v>0</v>
          </cell>
          <cell r="GA261">
            <v>-3390.2779999999998</v>
          </cell>
          <cell r="GB261">
            <v>-3435.7399358989774</v>
          </cell>
          <cell r="GC261">
            <v>-48773</v>
          </cell>
          <cell r="GD261">
            <v>-49427.021587492483</v>
          </cell>
          <cell r="GE261">
            <v>-48773</v>
          </cell>
          <cell r="GF261">
            <v>4.2735767655251511</v>
          </cell>
          <cell r="GG261">
            <v>-34267.770083335439</v>
          </cell>
          <cell r="GH261">
            <v>0</v>
          </cell>
        </row>
        <row r="262">
          <cell r="A262" t="str">
            <v>rental</v>
          </cell>
          <cell r="M262" t="str">
            <v xml:space="preserve"> </v>
          </cell>
          <cell r="AD262">
            <v>0</v>
          </cell>
          <cell r="AJ262">
            <v>0</v>
          </cell>
          <cell r="AP262">
            <v>0</v>
          </cell>
          <cell r="AR262">
            <v>-1341.8989999999999</v>
          </cell>
          <cell r="AT262">
            <v>-1341.8989999999999</v>
          </cell>
          <cell r="AV262">
            <v>532.08199999999999</v>
          </cell>
          <cell r="AX262">
            <v>-809.81699999999989</v>
          </cell>
          <cell r="AZ262" t="str">
            <v>Rental</v>
          </cell>
          <cell r="CD262">
            <v>0</v>
          </cell>
          <cell r="CP262">
            <v>0</v>
          </cell>
          <cell r="CQ262">
            <v>0</v>
          </cell>
          <cell r="CR262">
            <v>-1898.53</v>
          </cell>
          <cell r="CT262">
            <v>-1898.53</v>
          </cell>
          <cell r="CU262">
            <v>0</v>
          </cell>
          <cell r="CV262">
            <v>2088.9304999999999</v>
          </cell>
          <cell r="CX262">
            <v>190.40049999999997</v>
          </cell>
          <cell r="FN262">
            <v>0</v>
          </cell>
          <cell r="FR262">
            <v>0</v>
          </cell>
          <cell r="FS262">
            <v>-5310.13</v>
          </cell>
          <cell r="FT262">
            <v>-5310.13</v>
          </cell>
          <cell r="FU262">
            <v>2045.85529</v>
          </cell>
          <cell r="FV262">
            <v>-3264.2747100000001</v>
          </cell>
          <cell r="FW262" t="str">
            <v>rental</v>
          </cell>
          <cell r="FX262">
            <v>0</v>
          </cell>
          <cell r="FY262">
            <v>0</v>
          </cell>
          <cell r="FZ262">
            <v>1120</v>
          </cell>
          <cell r="GA262">
            <v>1120</v>
          </cell>
          <cell r="GB262">
            <v>1135.0186410102224</v>
          </cell>
          <cell r="GC262">
            <v>-4384.2747099999997</v>
          </cell>
          <cell r="GD262">
            <v>-4443.0656456782917</v>
          </cell>
          <cell r="GE262">
            <v>-4384.2747099999997</v>
          </cell>
          <cell r="GF262">
            <v>4.0308794579516123</v>
          </cell>
          <cell r="GG262">
            <v>-421.36792031352064</v>
          </cell>
          <cell r="GH262">
            <v>0</v>
          </cell>
        </row>
        <row r="263">
          <cell r="A263" t="str">
            <v>building maintenance</v>
          </cell>
          <cell r="G263">
            <v>0</v>
          </cell>
          <cell r="I263">
            <v>0</v>
          </cell>
          <cell r="M263" t="str">
            <v xml:space="preserve"> </v>
          </cell>
          <cell r="U263">
            <v>0</v>
          </cell>
          <cell r="AD263">
            <v>0</v>
          </cell>
          <cell r="AJ263">
            <v>0</v>
          </cell>
          <cell r="AP263">
            <v>0</v>
          </cell>
          <cell r="AR263">
            <v>-500.70600000000002</v>
          </cell>
          <cell r="AT263">
            <v>-500.70600000000002</v>
          </cell>
          <cell r="AV263">
            <v>165.09949999999998</v>
          </cell>
          <cell r="AX263">
            <v>-335.60650000000004</v>
          </cell>
          <cell r="AZ263" t="str">
            <v>services</v>
          </cell>
          <cell r="BA263" t="str">
            <v>services</v>
          </cell>
          <cell r="BE263">
            <v>0</v>
          </cell>
          <cell r="BG263">
            <v>0</v>
          </cell>
          <cell r="BI263">
            <v>0</v>
          </cell>
          <cell r="BU263">
            <v>0</v>
          </cell>
          <cell r="BX263">
            <v>-253.5</v>
          </cell>
          <cell r="CD263">
            <v>-253.5</v>
          </cell>
          <cell r="CJ263">
            <v>0</v>
          </cell>
          <cell r="CP263">
            <v>0</v>
          </cell>
          <cell r="CQ263">
            <v>0</v>
          </cell>
          <cell r="CT263">
            <v>-253.5</v>
          </cell>
          <cell r="CU263">
            <v>0</v>
          </cell>
          <cell r="CV263">
            <v>638.11749999999995</v>
          </cell>
          <cell r="CX263">
            <v>384.61750000000001</v>
          </cell>
          <cell r="FE263">
            <v>0</v>
          </cell>
          <cell r="FN263">
            <v>0</v>
          </cell>
          <cell r="FO263">
            <v>0</v>
          </cell>
          <cell r="FR263">
            <v>0</v>
          </cell>
          <cell r="FS263">
            <v>-1985.846</v>
          </cell>
          <cell r="FT263">
            <v>-1985.846</v>
          </cell>
          <cell r="FU263">
            <v>634.80757749999998</v>
          </cell>
          <cell r="FV263">
            <v>-1351.0384225</v>
          </cell>
          <cell r="FW263" t="str">
            <v>services</v>
          </cell>
          <cell r="FX263">
            <v>0</v>
          </cell>
          <cell r="FY263">
            <v>0</v>
          </cell>
          <cell r="GA263">
            <v>0</v>
          </cell>
          <cell r="GB263">
            <v>0</v>
          </cell>
          <cell r="GC263">
            <v>-1351.0384225</v>
          </cell>
          <cell r="GD263">
            <v>-1369.1551734451293</v>
          </cell>
          <cell r="GE263">
            <v>-1351.0384225</v>
          </cell>
          <cell r="GF263">
            <v>4.0256622636927473</v>
          </cell>
          <cell r="GG263">
            <v>-19668.814781188768</v>
          </cell>
          <cell r="GH263">
            <v>0</v>
          </cell>
        </row>
        <row r="264">
          <cell r="C264">
            <v>-3298.9040000000005</v>
          </cell>
          <cell r="E264">
            <v>-104.727</v>
          </cell>
          <cell r="G264">
            <v>-1009.615</v>
          </cell>
          <cell r="I264">
            <v>-4413.2460000000001</v>
          </cell>
          <cell r="M264">
            <v>-2920.330408653846</v>
          </cell>
          <cell r="O264">
            <v>-12206</v>
          </cell>
          <cell r="Q264">
            <v>-77945.404999999999</v>
          </cell>
          <cell r="S264">
            <v>253.27500000000001</v>
          </cell>
          <cell r="U264">
            <v>-77692.13</v>
          </cell>
          <cell r="W264">
            <v>0</v>
          </cell>
          <cell r="X264">
            <v>-15993.5</v>
          </cell>
          <cell r="Z264">
            <v>-1542.9370000000001</v>
          </cell>
          <cell r="AB264">
            <v>0</v>
          </cell>
          <cell r="AD264">
            <v>-95228.567000000025</v>
          </cell>
          <cell r="AF264">
            <v>-26.103999999999999</v>
          </cell>
          <cell r="AH264">
            <v>0</v>
          </cell>
          <cell r="AJ264">
            <v>-26.103999999999999</v>
          </cell>
          <cell r="AL264">
            <v>-44040.627999999997</v>
          </cell>
          <cell r="AN264">
            <v>26.103999999999999</v>
          </cell>
          <cell r="AP264">
            <v>-44040.627999999997</v>
          </cell>
          <cell r="AR264">
            <v>-1842.605</v>
          </cell>
          <cell r="AT264">
            <v>-160651.37640865392</v>
          </cell>
          <cell r="AV264">
            <v>5110.4275000000007</v>
          </cell>
          <cell r="AX264">
            <v>-155540.94890865387</v>
          </cell>
          <cell r="BC264">
            <v>-13725.008</v>
          </cell>
          <cell r="BE264">
            <v>-367</v>
          </cell>
          <cell r="BG264">
            <v>-4200</v>
          </cell>
          <cell r="BI264">
            <v>-18292.008000000002</v>
          </cell>
          <cell r="BM264">
            <v>-11553.8285</v>
          </cell>
          <cell r="BO264">
            <v>-46539</v>
          </cell>
          <cell r="BQ264">
            <v>-293089.75400000002</v>
          </cell>
          <cell r="BS264">
            <v>0</v>
          </cell>
          <cell r="BU264">
            <v>-293089.75400000002</v>
          </cell>
          <cell r="BW264">
            <v>0</v>
          </cell>
          <cell r="BX264">
            <v>-61513.5</v>
          </cell>
          <cell r="BZ264">
            <v>-5813.5850000000009</v>
          </cell>
          <cell r="CB264">
            <v>0</v>
          </cell>
          <cell r="CD264">
            <v>-360416.83900000004</v>
          </cell>
          <cell r="CF264">
            <v>-108.59399999999999</v>
          </cell>
          <cell r="CH264">
            <v>0</v>
          </cell>
          <cell r="CJ264">
            <v>-108.59399999999999</v>
          </cell>
          <cell r="CL264">
            <v>-163826</v>
          </cell>
          <cell r="CN264">
            <v>108.59399999999999</v>
          </cell>
          <cell r="CP264">
            <v>-163826</v>
          </cell>
          <cell r="CQ264">
            <v>0</v>
          </cell>
          <cell r="CR264">
            <v>-6984.34</v>
          </cell>
          <cell r="CT264">
            <v>-607612.01549999998</v>
          </cell>
          <cell r="CU264">
            <v>0</v>
          </cell>
          <cell r="CV264">
            <v>32572.884500000011</v>
          </cell>
          <cell r="CX264">
            <v>-575039.13099999994</v>
          </cell>
          <cell r="FC264">
            <v>-17925.008000000002</v>
          </cell>
          <cell r="FD264">
            <v>-397.33695539999997</v>
          </cell>
          <cell r="FE264">
            <v>0</v>
          </cell>
          <cell r="FF264">
            <v>-18322.3449554</v>
          </cell>
          <cell r="FG264">
            <v>-12148.574500000001</v>
          </cell>
          <cell r="FH264">
            <v>-48773</v>
          </cell>
          <cell r="FI264">
            <v>-307938.66899999994</v>
          </cell>
          <cell r="FJ264">
            <v>0</v>
          </cell>
          <cell r="FK264">
            <v>-66035</v>
          </cell>
          <cell r="FL264">
            <v>-6113.5789999999997</v>
          </cell>
          <cell r="FM264">
            <v>0</v>
          </cell>
          <cell r="FN264">
            <v>-380087.24800000002</v>
          </cell>
          <cell r="FO264">
            <v>-108.59399999999999</v>
          </cell>
          <cell r="FP264">
            <v>-173872</v>
          </cell>
          <cell r="FQ264">
            <v>108.59399999999999</v>
          </cell>
          <cell r="FR264">
            <v>-173872</v>
          </cell>
          <cell r="FS264">
            <v>-7295.9760000000006</v>
          </cell>
          <cell r="FT264">
            <v>-640499.1434553999</v>
          </cell>
          <cell r="FU264">
            <v>21003.007822899999</v>
          </cell>
          <cell r="FV264">
            <v>-619496.13563249994</v>
          </cell>
          <cell r="FX264">
            <v>-380087.24800000002</v>
          </cell>
          <cell r="FY264">
            <v>-173872</v>
          </cell>
          <cell r="FZ264">
            <v>19442.3449554</v>
          </cell>
          <cell r="GA264">
            <v>-534516.90304459992</v>
          </cell>
          <cell r="GB264">
            <v>-541684.50793810224</v>
          </cell>
          <cell r="GC264">
            <v>-84979.232587899998</v>
          </cell>
          <cell r="GD264">
            <v>-86118.76168393738</v>
          </cell>
          <cell r="GE264">
            <v>-84979.232587900013</v>
          </cell>
          <cell r="GF264">
            <v>3.9828491466663083</v>
          </cell>
          <cell r="GG264">
            <v>-510964.91261632048</v>
          </cell>
          <cell r="GH264">
            <v>0</v>
          </cell>
        </row>
        <row r="265">
          <cell r="A265" t="str">
            <v>OPERATING EXP.</v>
          </cell>
          <cell r="E265" t="str">
            <v xml:space="preserve"> </v>
          </cell>
          <cell r="AJ265">
            <v>0</v>
          </cell>
          <cell r="AP265">
            <v>0</v>
          </cell>
          <cell r="AT265">
            <v>0</v>
          </cell>
          <cell r="AZ265" t="str">
            <v>OPERATING EXP.</v>
          </cell>
          <cell r="CD265">
            <v>0</v>
          </cell>
          <cell r="CJ265">
            <v>0</v>
          </cell>
          <cell r="CP265">
            <v>0</v>
          </cell>
          <cell r="CQ265">
            <v>0</v>
          </cell>
          <cell r="CT265">
            <v>0</v>
          </cell>
          <cell r="CU265">
            <v>0</v>
          </cell>
          <cell r="FO265">
            <v>0</v>
          </cell>
          <cell r="FW265" t="str">
            <v>OPERATING EXP.</v>
          </cell>
          <cell r="FX265">
            <v>0</v>
          </cell>
          <cell r="FY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 t="e">
            <v>#DIV/0!</v>
          </cell>
          <cell r="GH265">
            <v>0</v>
          </cell>
        </row>
        <row r="266">
          <cell r="A266" t="str">
            <v>salaries</v>
          </cell>
          <cell r="I266">
            <v>0</v>
          </cell>
          <cell r="M266">
            <v>367.18016826923076</v>
          </cell>
          <cell r="Q266">
            <v>6584.8559999999998</v>
          </cell>
          <cell r="U266">
            <v>6584.8559999999998</v>
          </cell>
          <cell r="X266">
            <v>1260.5</v>
          </cell>
          <cell r="AD266">
            <v>7845.3559999999998</v>
          </cell>
          <cell r="AJ266">
            <v>0</v>
          </cell>
          <cell r="AL266">
            <v>380.88499999999999</v>
          </cell>
          <cell r="AP266">
            <v>380.88499999999999</v>
          </cell>
          <cell r="AR266">
            <v>190.41499999999999</v>
          </cell>
          <cell r="AT266">
            <v>8783.8361682692303</v>
          </cell>
          <cell r="AV266">
            <v>-190.41499999999999</v>
          </cell>
          <cell r="AX266">
            <v>8593.4211682692294</v>
          </cell>
          <cell r="AZ266" t="str">
            <v>salaries</v>
          </cell>
          <cell r="BI266">
            <v>0</v>
          </cell>
          <cell r="BM266">
            <v>1464.0305000000001</v>
          </cell>
          <cell r="BQ266">
            <v>25387.791000000001</v>
          </cell>
          <cell r="BU266">
            <v>25387.791000000001</v>
          </cell>
          <cell r="BX266">
            <v>4855</v>
          </cell>
          <cell r="CD266">
            <v>30242.791000000001</v>
          </cell>
          <cell r="CJ266">
            <v>0</v>
          </cell>
          <cell r="CL266">
            <v>1394</v>
          </cell>
          <cell r="CP266">
            <v>1394</v>
          </cell>
          <cell r="CQ266">
            <v>0</v>
          </cell>
          <cell r="CR266">
            <v>738.75400000000002</v>
          </cell>
          <cell r="CT266">
            <v>33839.575499999999</v>
          </cell>
          <cell r="CU266">
            <v>0</v>
          </cell>
          <cell r="CX266">
            <v>33839.575499999999</v>
          </cell>
          <cell r="FG266">
            <v>1527.4694999999999</v>
          </cell>
          <cell r="FI266">
            <v>26458.788</v>
          </cell>
          <cell r="FK266">
            <v>5097</v>
          </cell>
          <cell r="FN266">
            <v>31555.788</v>
          </cell>
          <cell r="FO266">
            <v>0</v>
          </cell>
          <cell r="FP266">
            <v>1493</v>
          </cell>
          <cell r="FR266">
            <v>1493</v>
          </cell>
          <cell r="FS266">
            <v>766.06899999999996</v>
          </cell>
          <cell r="FT266">
            <v>35342.326500000003</v>
          </cell>
          <cell r="FU266">
            <v>-766.06899999999996</v>
          </cell>
          <cell r="FV266">
            <v>34576.2575</v>
          </cell>
          <cell r="FW266" t="str">
            <v>salaries</v>
          </cell>
          <cell r="FX266">
            <v>31555.788</v>
          </cell>
          <cell r="FY266">
            <v>1493</v>
          </cell>
          <cell r="GA266">
            <v>33048.788</v>
          </cell>
          <cell r="GB266">
            <v>33491.955752495487</v>
          </cell>
          <cell r="GC266">
            <v>1527.4694999999992</v>
          </cell>
          <cell r="GD266">
            <v>1547.9521036380027</v>
          </cell>
          <cell r="GE266">
            <v>1527.4694999999992</v>
          </cell>
          <cell r="GF266">
            <v>4.0235730127683107</v>
          </cell>
          <cell r="GG266">
            <v>30612.119044284784</v>
          </cell>
          <cell r="GH266">
            <v>0</v>
          </cell>
        </row>
        <row r="267">
          <cell r="A267" t="str">
            <v>cost of sales and installation</v>
          </cell>
          <cell r="I267">
            <v>0</v>
          </cell>
          <cell r="M267" t="str">
            <v xml:space="preserve"> </v>
          </cell>
          <cell r="O267">
            <v>8538</v>
          </cell>
          <cell r="U267">
            <v>0</v>
          </cell>
          <cell r="AD267">
            <v>0</v>
          </cell>
          <cell r="AJ267">
            <v>0</v>
          </cell>
          <cell r="AP267">
            <v>0</v>
          </cell>
          <cell r="AT267">
            <v>8538</v>
          </cell>
          <cell r="AX267">
            <v>8538</v>
          </cell>
          <cell r="AZ267" t="str">
            <v>cost of sales and installation</v>
          </cell>
          <cell r="BI267">
            <v>0</v>
          </cell>
          <cell r="BO267">
            <v>30964.5</v>
          </cell>
          <cell r="BU267">
            <v>0</v>
          </cell>
          <cell r="CD267">
            <v>0</v>
          </cell>
          <cell r="CJ267">
            <v>0</v>
          </cell>
          <cell r="CP267">
            <v>0</v>
          </cell>
          <cell r="CQ267">
            <v>0</v>
          </cell>
          <cell r="CT267">
            <v>30964.5</v>
          </cell>
          <cell r="CU267">
            <v>0</v>
          </cell>
          <cell r="CX267">
            <v>30964.5</v>
          </cell>
          <cell r="FH267">
            <v>33389.5</v>
          </cell>
          <cell r="FN267">
            <v>0</v>
          </cell>
          <cell r="FO267">
            <v>0</v>
          </cell>
          <cell r="FR267">
            <v>0</v>
          </cell>
          <cell r="FS267">
            <v>0</v>
          </cell>
          <cell r="FT267">
            <v>33389.5</v>
          </cell>
          <cell r="FV267">
            <v>33389.5</v>
          </cell>
          <cell r="FW267" t="str">
            <v>Purchases</v>
          </cell>
          <cell r="FX267">
            <v>0</v>
          </cell>
          <cell r="FY267">
            <v>0</v>
          </cell>
          <cell r="GA267">
            <v>0</v>
          </cell>
          <cell r="GB267">
            <v>0</v>
          </cell>
          <cell r="GC267">
            <v>33389.5</v>
          </cell>
          <cell r="GD267">
            <v>33837.236530366805</v>
          </cell>
          <cell r="GE267">
            <v>33389.5</v>
          </cell>
          <cell r="GF267">
            <v>3.9106933708128366</v>
          </cell>
          <cell r="GG267">
            <v>17112.04835942671</v>
          </cell>
          <cell r="GH267">
            <v>0</v>
          </cell>
        </row>
        <row r="268">
          <cell r="A268" t="str">
            <v>unsuccesful bid</v>
          </cell>
          <cell r="C268">
            <v>-9.7430000000000003</v>
          </cell>
          <cell r="I268">
            <v>-9.7430000000000003</v>
          </cell>
          <cell r="M268" t="str">
            <v xml:space="preserve"> </v>
          </cell>
          <cell r="U268">
            <v>0</v>
          </cell>
          <cell r="AD268">
            <v>0</v>
          </cell>
          <cell r="AJ268">
            <v>0</v>
          </cell>
          <cell r="AP268">
            <v>0</v>
          </cell>
          <cell r="AT268">
            <v>-9.7430000000000003</v>
          </cell>
          <cell r="AV268">
            <v>0</v>
          </cell>
          <cell r="AX268">
            <v>-9.7430000000000003</v>
          </cell>
          <cell r="AZ268" t="str">
            <v>unsuccesful bid</v>
          </cell>
          <cell r="BC268">
            <v>-27.184999999999999</v>
          </cell>
          <cell r="BI268">
            <v>-27.184999999999999</v>
          </cell>
          <cell r="BU268">
            <v>0</v>
          </cell>
          <cell r="CD268">
            <v>0</v>
          </cell>
          <cell r="CJ268">
            <v>0</v>
          </cell>
          <cell r="CP268">
            <v>0</v>
          </cell>
          <cell r="CQ268">
            <v>0</v>
          </cell>
          <cell r="CT268">
            <v>-27.184999999999999</v>
          </cell>
          <cell r="CU268">
            <v>0</v>
          </cell>
          <cell r="CV268">
            <v>0</v>
          </cell>
          <cell r="CX268">
            <v>-27.184999999999999</v>
          </cell>
          <cell r="FC268">
            <v>-28.384</v>
          </cell>
          <cell r="FF268">
            <v>-28.384</v>
          </cell>
          <cell r="FN268">
            <v>0</v>
          </cell>
          <cell r="FO268">
            <v>0</v>
          </cell>
          <cell r="FR268">
            <v>0</v>
          </cell>
          <cell r="FS268">
            <v>0</v>
          </cell>
          <cell r="FT268">
            <v>-28.384</v>
          </cell>
          <cell r="FU268">
            <v>0</v>
          </cell>
          <cell r="FV268">
            <v>-28.384</v>
          </cell>
          <cell r="FW268" t="str">
            <v>unsuccesful bid</v>
          </cell>
          <cell r="FX268">
            <v>0</v>
          </cell>
          <cell r="FY268">
            <v>0</v>
          </cell>
          <cell r="GA268">
            <v>0</v>
          </cell>
          <cell r="GB268">
            <v>0</v>
          </cell>
          <cell r="GC268">
            <v>-28.384</v>
          </cell>
          <cell r="GD268">
            <v>-28.764615273601922</v>
          </cell>
          <cell r="GE268">
            <v>-28.384</v>
          </cell>
          <cell r="GF268">
            <v>2.9132710664066508</v>
          </cell>
          <cell r="GG268">
            <v>1631.0836518615286</v>
          </cell>
          <cell r="GH268">
            <v>0</v>
          </cell>
        </row>
        <row r="269">
          <cell r="A269" t="str">
            <v>consulting</v>
          </cell>
          <cell r="I269">
            <v>0</v>
          </cell>
          <cell r="M269" t="str">
            <v xml:space="preserve"> </v>
          </cell>
          <cell r="Q269">
            <v>22.762</v>
          </cell>
          <cell r="U269">
            <v>22.762</v>
          </cell>
          <cell r="AD269">
            <v>22.762</v>
          </cell>
          <cell r="AJ269">
            <v>0</v>
          </cell>
          <cell r="AP269">
            <v>0</v>
          </cell>
          <cell r="AT269">
            <v>22.762</v>
          </cell>
          <cell r="AV269">
            <v>0</v>
          </cell>
          <cell r="AX269">
            <v>22.762</v>
          </cell>
          <cell r="AZ269" t="str">
            <v>consulting</v>
          </cell>
          <cell r="BI269">
            <v>0</v>
          </cell>
          <cell r="BQ269">
            <v>82.872</v>
          </cell>
          <cell r="BU269">
            <v>82.872</v>
          </cell>
          <cell r="CD269">
            <v>82.872</v>
          </cell>
          <cell r="CJ269">
            <v>0</v>
          </cell>
          <cell r="CP269">
            <v>0</v>
          </cell>
          <cell r="CQ269">
            <v>0</v>
          </cell>
          <cell r="CT269">
            <v>82.872</v>
          </cell>
          <cell r="CU269">
            <v>0</v>
          </cell>
          <cell r="CV269">
            <v>0</v>
          </cell>
          <cell r="CX269">
            <v>82.872</v>
          </cell>
          <cell r="FI269">
            <v>89.084000000000003</v>
          </cell>
          <cell r="FN269">
            <v>89.084000000000003</v>
          </cell>
          <cell r="FO269">
            <v>0</v>
          </cell>
          <cell r="FR269">
            <v>0</v>
          </cell>
          <cell r="FS269">
            <v>0</v>
          </cell>
          <cell r="FT269">
            <v>89.084000000000003</v>
          </cell>
          <cell r="FU269">
            <v>0</v>
          </cell>
          <cell r="FV269">
            <v>89.084000000000003</v>
          </cell>
          <cell r="FW269" t="str">
            <v>consulting</v>
          </cell>
          <cell r="FX269">
            <v>89.084000000000003</v>
          </cell>
          <cell r="FY269">
            <v>0</v>
          </cell>
          <cell r="GA269">
            <v>89.084000000000003</v>
          </cell>
          <cell r="GB269">
            <v>90.278571978352375</v>
          </cell>
          <cell r="GC269">
            <v>0</v>
          </cell>
          <cell r="GD269">
            <v>0</v>
          </cell>
          <cell r="GE269">
            <v>0</v>
          </cell>
          <cell r="GF269">
            <v>3.9137158421931288</v>
          </cell>
          <cell r="GG269">
            <v>42.331007838014372</v>
          </cell>
          <cell r="GH269">
            <v>0</v>
          </cell>
        </row>
        <row r="270">
          <cell r="A270" t="str">
            <v>FRANCHISE EXP&amp;ROYALTIES</v>
          </cell>
          <cell r="I270">
            <v>0</v>
          </cell>
          <cell r="M270" t="str">
            <v xml:space="preserve"> </v>
          </cell>
          <cell r="Q270">
            <v>5658.82</v>
          </cell>
          <cell r="U270">
            <v>5658.82</v>
          </cell>
          <cell r="X270">
            <v>764</v>
          </cell>
          <cell r="Z270">
            <v>174.53200000000001</v>
          </cell>
          <cell r="AD270">
            <v>6597.3520000000008</v>
          </cell>
          <cell r="AJ270">
            <v>0</v>
          </cell>
          <cell r="AL270">
            <v>3145.46</v>
          </cell>
          <cell r="AP270">
            <v>3145.46</v>
          </cell>
          <cell r="AT270">
            <v>9742.8120000000017</v>
          </cell>
          <cell r="AV270">
            <v>0</v>
          </cell>
          <cell r="AX270">
            <v>9742.8120000000017</v>
          </cell>
          <cell r="AZ270" t="str">
            <v>FRANCHISE EXP&amp;ROYALTIES</v>
          </cell>
          <cell r="BI270">
            <v>0</v>
          </cell>
          <cell r="BQ270">
            <v>22299.835999999999</v>
          </cell>
          <cell r="BU270">
            <v>22299.835999999999</v>
          </cell>
          <cell r="BX270">
            <v>2985</v>
          </cell>
          <cell r="BZ270">
            <v>685.72</v>
          </cell>
          <cell r="CD270">
            <v>25970.556</v>
          </cell>
          <cell r="CJ270">
            <v>0</v>
          </cell>
          <cell r="CL270">
            <v>12402</v>
          </cell>
          <cell r="CP270">
            <v>12402</v>
          </cell>
          <cell r="CQ270">
            <v>0</v>
          </cell>
          <cell r="CT270">
            <v>38372.555999999997</v>
          </cell>
          <cell r="CU270">
            <v>0</v>
          </cell>
          <cell r="CV270">
            <v>0</v>
          </cell>
          <cell r="CX270">
            <v>38372.555999999997</v>
          </cell>
          <cell r="FI270">
            <v>23120.976999999999</v>
          </cell>
          <cell r="FK270">
            <v>3211</v>
          </cell>
          <cell r="FL270">
            <v>708.55799999999999</v>
          </cell>
          <cell r="FN270">
            <v>27040.535</v>
          </cell>
          <cell r="FO270">
            <v>0</v>
          </cell>
          <cell r="FP270">
            <v>12752</v>
          </cell>
          <cell r="FR270">
            <v>12752</v>
          </cell>
          <cell r="FS270">
            <v>0</v>
          </cell>
          <cell r="FT270">
            <v>39792.535000000003</v>
          </cell>
          <cell r="FU270">
            <v>0</v>
          </cell>
          <cell r="FV270">
            <v>39792.535000000003</v>
          </cell>
          <cell r="FW270" t="str">
            <v>FRANCHISE EXP&amp;ROYALTIES</v>
          </cell>
          <cell r="FX270">
            <v>27040.535</v>
          </cell>
          <cell r="FY270">
            <v>12752</v>
          </cell>
          <cell r="GA270">
            <v>39792.535000000003</v>
          </cell>
          <cell r="GB270">
            <v>40326.133033974744</v>
          </cell>
          <cell r="GC270">
            <v>0</v>
          </cell>
          <cell r="GD270">
            <v>0</v>
          </cell>
          <cell r="GE270">
            <v>0</v>
          </cell>
          <cell r="GF270">
            <v>4.084296710231091</v>
          </cell>
          <cell r="GG270">
            <v>33554.082704114968</v>
          </cell>
          <cell r="GH270">
            <v>0</v>
          </cell>
        </row>
        <row r="271">
          <cell r="A271" t="str">
            <v>car &amp; travel</v>
          </cell>
          <cell r="I271">
            <v>0</v>
          </cell>
          <cell r="M271" t="str">
            <v xml:space="preserve"> </v>
          </cell>
          <cell r="Q271">
            <v>1038.7139999999999</v>
          </cell>
          <cell r="U271">
            <v>1038.7139999999999</v>
          </cell>
          <cell r="X271">
            <v>54.5</v>
          </cell>
          <cell r="AD271">
            <v>1093.2139999999999</v>
          </cell>
          <cell r="AJ271">
            <v>0</v>
          </cell>
          <cell r="AL271">
            <v>179.774</v>
          </cell>
          <cell r="AP271">
            <v>179.774</v>
          </cell>
          <cell r="AT271">
            <v>1272.9879999999998</v>
          </cell>
          <cell r="AV271">
            <v>0</v>
          </cell>
          <cell r="AX271">
            <v>1272.9879999999998</v>
          </cell>
          <cell r="AZ271" t="str">
            <v>car &amp; travel</v>
          </cell>
          <cell r="BI271">
            <v>0</v>
          </cell>
          <cell r="BQ271">
            <v>3727.1759999999999</v>
          </cell>
          <cell r="BU271">
            <v>3727.1759999999999</v>
          </cell>
          <cell r="BX271">
            <v>215.5</v>
          </cell>
          <cell r="CD271">
            <v>3942.6759999999999</v>
          </cell>
          <cell r="CJ271">
            <v>0</v>
          </cell>
          <cell r="CL271">
            <v>679</v>
          </cell>
          <cell r="CP271">
            <v>679</v>
          </cell>
          <cell r="CQ271">
            <v>0</v>
          </cell>
          <cell r="CT271">
            <v>4621.6759999999995</v>
          </cell>
          <cell r="CU271">
            <v>0</v>
          </cell>
          <cell r="CV271">
            <v>0</v>
          </cell>
          <cell r="CX271">
            <v>4621.6759999999995</v>
          </cell>
          <cell r="FI271">
            <v>4141.1729999999998</v>
          </cell>
          <cell r="FK271">
            <v>234.5</v>
          </cell>
          <cell r="FN271">
            <v>4375.6729999999998</v>
          </cell>
          <cell r="FO271">
            <v>0</v>
          </cell>
          <cell r="FP271">
            <v>710</v>
          </cell>
          <cell r="FR271">
            <v>710</v>
          </cell>
          <cell r="FS271">
            <v>0</v>
          </cell>
          <cell r="FT271">
            <v>5085.6729999999998</v>
          </cell>
          <cell r="FU271">
            <v>0</v>
          </cell>
          <cell r="FV271">
            <v>5085.6729999999998</v>
          </cell>
          <cell r="FW271" t="str">
            <v>car &amp; travel</v>
          </cell>
          <cell r="FX271">
            <v>4375.6729999999998</v>
          </cell>
          <cell r="FY271">
            <v>710</v>
          </cell>
          <cell r="GA271">
            <v>5085.6729999999998</v>
          </cell>
          <cell r="GB271">
            <v>5153.8693366806974</v>
          </cell>
          <cell r="GC271">
            <v>0</v>
          </cell>
          <cell r="GD271">
            <v>0</v>
          </cell>
          <cell r="GE271">
            <v>0</v>
          </cell>
          <cell r="GF271">
            <v>3.9950675104557156</v>
          </cell>
          <cell r="GG271">
            <v>5049.4751959503601</v>
          </cell>
          <cell r="GH271">
            <v>0</v>
          </cell>
        </row>
        <row r="272">
          <cell r="A272" t="str">
            <v>programming/printing</v>
          </cell>
          <cell r="I272">
            <v>0</v>
          </cell>
          <cell r="M272" t="str">
            <v xml:space="preserve"> </v>
          </cell>
          <cell r="Q272">
            <v>11762.411</v>
          </cell>
          <cell r="U272">
            <v>11762.411</v>
          </cell>
          <cell r="X272">
            <v>2531</v>
          </cell>
          <cell r="Z272">
            <v>545.34199999999998</v>
          </cell>
          <cell r="AD272">
            <v>14838.753000000001</v>
          </cell>
          <cell r="AJ272">
            <v>0</v>
          </cell>
          <cell r="AL272">
            <v>5789.11</v>
          </cell>
          <cell r="AP272">
            <v>5789.11</v>
          </cell>
          <cell r="AT272">
            <v>20627.863000000001</v>
          </cell>
          <cell r="AX272">
            <v>20627.863000000001</v>
          </cell>
          <cell r="AZ272" t="str">
            <v>programming/printing</v>
          </cell>
          <cell r="BQ272">
            <v>44641.883000000002</v>
          </cell>
          <cell r="BU272">
            <v>44641.883000000002</v>
          </cell>
          <cell r="BX272">
            <v>9796.5</v>
          </cell>
          <cell r="BZ272">
            <v>2082.0430000000001</v>
          </cell>
          <cell r="CD272">
            <v>56520.425999999999</v>
          </cell>
          <cell r="CJ272">
            <v>0</v>
          </cell>
          <cell r="CL272">
            <v>21946</v>
          </cell>
          <cell r="CP272">
            <v>21946</v>
          </cell>
          <cell r="CQ272">
            <v>0</v>
          </cell>
          <cell r="CT272">
            <v>78466.426000000007</v>
          </cell>
          <cell r="CU272">
            <v>0</v>
          </cell>
          <cell r="CV272">
            <v>0</v>
          </cell>
          <cell r="CX272">
            <v>78466.426000000007</v>
          </cell>
          <cell r="FI272">
            <v>46728.682000000001</v>
          </cell>
          <cell r="FK272">
            <v>10467</v>
          </cell>
          <cell r="FL272">
            <v>2186.8020000000001</v>
          </cell>
          <cell r="FN272">
            <v>59382.484000000004</v>
          </cell>
          <cell r="FO272">
            <v>0</v>
          </cell>
          <cell r="FP272">
            <v>23012</v>
          </cell>
          <cell r="FR272">
            <v>23012</v>
          </cell>
          <cell r="FS272">
            <v>0</v>
          </cell>
          <cell r="FT272">
            <v>82394.483999999997</v>
          </cell>
          <cell r="FU272">
            <v>0</v>
          </cell>
          <cell r="FV272">
            <v>82394.483999999997</v>
          </cell>
          <cell r="FW272" t="str">
            <v>programming/printing</v>
          </cell>
          <cell r="FX272">
            <v>59382.484000000004</v>
          </cell>
          <cell r="FY272">
            <v>23012</v>
          </cell>
          <cell r="GA272">
            <v>82394.483999999997</v>
          </cell>
          <cell r="GB272">
            <v>83499.352907516528</v>
          </cell>
          <cell r="GC272">
            <v>0</v>
          </cell>
          <cell r="GD272">
            <v>0</v>
          </cell>
          <cell r="GE272">
            <v>0</v>
          </cell>
          <cell r="GF272">
            <v>3.9943296113610991</v>
          </cell>
          <cell r="GG272">
            <v>65296.261192031357</v>
          </cell>
          <cell r="GH272">
            <v>0</v>
          </cell>
        </row>
        <row r="273">
          <cell r="A273" t="str">
            <v>rent&amp;maint.-(head-end)/paper</v>
          </cell>
          <cell r="I273">
            <v>0</v>
          </cell>
          <cell r="O273">
            <v>304</v>
          </cell>
          <cell r="Q273">
            <v>3698.3</v>
          </cell>
          <cell r="U273">
            <v>3698.3</v>
          </cell>
          <cell r="X273">
            <v>1273.5</v>
          </cell>
          <cell r="AD273">
            <v>4971.8</v>
          </cell>
          <cell r="AJ273">
            <v>0</v>
          </cell>
          <cell r="AL273">
            <v>1349.973</v>
          </cell>
          <cell r="AN273">
            <v>0</v>
          </cell>
          <cell r="AP273">
            <v>1349.973</v>
          </cell>
          <cell r="AR273">
            <v>220.48</v>
          </cell>
          <cell r="AT273">
            <v>6846.2529999999997</v>
          </cell>
          <cell r="AV273">
            <v>-917.66149999999993</v>
          </cell>
          <cell r="AX273">
            <v>5928.5914999999995</v>
          </cell>
          <cell r="AZ273" t="str">
            <v>rent&amp;maint.-(head-end)/paper</v>
          </cell>
          <cell r="BM273">
            <v>7132.6225000000004</v>
          </cell>
          <cell r="BQ273">
            <v>15350.985000000001</v>
          </cell>
          <cell r="BU273">
            <v>15350.985000000001</v>
          </cell>
          <cell r="BX273">
            <v>4888.5</v>
          </cell>
          <cell r="CD273">
            <v>20239.485000000001</v>
          </cell>
          <cell r="CJ273">
            <v>0</v>
          </cell>
          <cell r="CL273">
            <v>5316</v>
          </cell>
          <cell r="CN273">
            <v>0</v>
          </cell>
          <cell r="CP273">
            <v>5316</v>
          </cell>
          <cell r="CQ273">
            <v>0</v>
          </cell>
          <cell r="CR273">
            <v>859.56700000000001</v>
          </cell>
          <cell r="CT273">
            <v>33547.674500000001</v>
          </cell>
          <cell r="CU273">
            <v>0</v>
          </cell>
          <cell r="CV273">
            <v>-2727.0479999999998</v>
          </cell>
          <cell r="CX273">
            <v>30820.626500000002</v>
          </cell>
          <cell r="FH273">
            <v>1097.5</v>
          </cell>
          <cell r="FI273">
            <v>15433.449000000001</v>
          </cell>
          <cell r="FK273">
            <v>5188.5</v>
          </cell>
          <cell r="FN273">
            <v>20621.949000000001</v>
          </cell>
          <cell r="FO273">
            <v>0</v>
          </cell>
          <cell r="FP273">
            <v>5417</v>
          </cell>
          <cell r="FQ273">
            <v>0</v>
          </cell>
          <cell r="FR273">
            <v>5417</v>
          </cell>
          <cell r="FS273">
            <v>891.21799999999996</v>
          </cell>
          <cell r="FT273">
            <v>28027.667000000001</v>
          </cell>
          <cell r="FU273">
            <v>-3571.8808675</v>
          </cell>
          <cell r="FV273">
            <v>24455.786132500001</v>
          </cell>
          <cell r="FW273" t="str">
            <v>rent&amp;maint.-(head-end)/paper</v>
          </cell>
          <cell r="FX273">
            <v>20621.949000000001</v>
          </cell>
          <cell r="FY273">
            <v>5417</v>
          </cell>
          <cell r="FZ273">
            <v>-1120.4368449999999</v>
          </cell>
          <cell r="GA273">
            <v>24918.512155</v>
          </cell>
          <cell r="GB273">
            <v>25252.656966218583</v>
          </cell>
          <cell r="GC273">
            <v>-462.72602249999909</v>
          </cell>
          <cell r="GD273">
            <v>-468.93094751608442</v>
          </cell>
          <cell r="GE273">
            <v>-462.72602249999909</v>
          </cell>
          <cell r="GF273">
            <v>4.1250583941396544</v>
          </cell>
          <cell r="GG273">
            <v>23681.776618876553</v>
          </cell>
          <cell r="GH273">
            <v>0</v>
          </cell>
        </row>
        <row r="274">
          <cell r="A274" t="str">
            <v>Cost of publication</v>
          </cell>
          <cell r="M274" t="str">
            <v xml:space="preserve"> </v>
          </cell>
          <cell r="AT274">
            <v>0</v>
          </cell>
          <cell r="AX274">
            <v>0</v>
          </cell>
          <cell r="AZ274" t="str">
            <v>Cost of publication</v>
          </cell>
          <cell r="CD274">
            <v>0</v>
          </cell>
          <cell r="CP274">
            <v>0</v>
          </cell>
          <cell r="CQ274">
            <v>0</v>
          </cell>
          <cell r="CT274">
            <v>0</v>
          </cell>
          <cell r="CU274">
            <v>0</v>
          </cell>
          <cell r="CV274">
            <v>0</v>
          </cell>
          <cell r="CX274">
            <v>0</v>
          </cell>
          <cell r="FN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 t="str">
            <v>Cost of publication</v>
          </cell>
          <cell r="FX274">
            <v>0</v>
          </cell>
          <cell r="FY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 t="e">
            <v>#DIV/0!</v>
          </cell>
          <cell r="GG274">
            <v>0</v>
          </cell>
          <cell r="GH274">
            <v>0</v>
          </cell>
        </row>
        <row r="275">
          <cell r="A275" t="str">
            <v>rent&amp;maint.-(network)/binding</v>
          </cell>
          <cell r="I275">
            <v>0</v>
          </cell>
          <cell r="Q275">
            <v>4689.1480000000001</v>
          </cell>
          <cell r="U275">
            <v>4689.1480000000001</v>
          </cell>
          <cell r="Z275">
            <v>18.869</v>
          </cell>
          <cell r="AD275">
            <v>4708.0169999999998</v>
          </cell>
          <cell r="AJ275">
            <v>0</v>
          </cell>
          <cell r="AP275">
            <v>0</v>
          </cell>
          <cell r="AT275">
            <v>4708.0169999999998</v>
          </cell>
          <cell r="AX275">
            <v>4708.0169999999998</v>
          </cell>
          <cell r="AZ275" t="str">
            <v>rent&amp;maint.-(network)/binding</v>
          </cell>
          <cell r="BM275">
            <v>430.60599999999999</v>
          </cell>
          <cell r="BQ275">
            <v>17665.346000000001</v>
          </cell>
          <cell r="BU275">
            <v>17665.346000000001</v>
          </cell>
          <cell r="BZ275">
            <v>74.962000000000003</v>
          </cell>
          <cell r="CD275">
            <v>17740.308000000001</v>
          </cell>
          <cell r="CJ275">
            <v>0</v>
          </cell>
          <cell r="CP275">
            <v>0</v>
          </cell>
          <cell r="CQ275">
            <v>0</v>
          </cell>
          <cell r="CT275">
            <v>18170.914000000001</v>
          </cell>
          <cell r="CU275">
            <v>0</v>
          </cell>
          <cell r="CV275">
            <v>0</v>
          </cell>
          <cell r="CX275">
            <v>18170.914000000001</v>
          </cell>
          <cell r="FI275">
            <v>18614.663</v>
          </cell>
          <cell r="FL275">
            <v>79.533000000000001</v>
          </cell>
          <cell r="FN275">
            <v>18694.196</v>
          </cell>
          <cell r="FO275">
            <v>0</v>
          </cell>
          <cell r="FR275">
            <v>0</v>
          </cell>
          <cell r="FS275">
            <v>0</v>
          </cell>
          <cell r="FT275">
            <v>18694.196</v>
          </cell>
          <cell r="FU275">
            <v>0</v>
          </cell>
          <cell r="FV275">
            <v>18694.196</v>
          </cell>
          <cell r="FW275" t="str">
            <v>rent&amp;maint.-(network)/binding</v>
          </cell>
          <cell r="FX275">
            <v>18694.196</v>
          </cell>
          <cell r="FY275">
            <v>0</v>
          </cell>
          <cell r="GA275">
            <v>18694.196</v>
          </cell>
          <cell r="GB275">
            <v>18944.875838123869</v>
          </cell>
          <cell r="GC275">
            <v>0</v>
          </cell>
          <cell r="GD275">
            <v>0</v>
          </cell>
          <cell r="GE275">
            <v>0</v>
          </cell>
          <cell r="GF275">
            <v>3.9707154838225946</v>
          </cell>
          <cell r="GG275">
            <v>22341.613690071848</v>
          </cell>
          <cell r="GH275">
            <v>0</v>
          </cell>
        </row>
        <row r="276">
          <cell r="A276" t="str">
            <v>amortization</v>
          </cell>
          <cell r="G276">
            <v>0</v>
          </cell>
          <cell r="I276">
            <v>0</v>
          </cell>
          <cell r="M276" t="str">
            <v xml:space="preserve"> </v>
          </cell>
          <cell r="Q276">
            <v>453.87200000000001</v>
          </cell>
          <cell r="U276">
            <v>453.87200000000001</v>
          </cell>
          <cell r="X276">
            <v>-440</v>
          </cell>
          <cell r="Z276">
            <v>51</v>
          </cell>
          <cell r="AD276">
            <v>64.872000000000014</v>
          </cell>
          <cell r="AJ276">
            <v>0</v>
          </cell>
          <cell r="AP276">
            <v>0</v>
          </cell>
          <cell r="AT276">
            <v>64.872000000000014</v>
          </cell>
          <cell r="AX276">
            <v>64.872000000000014</v>
          </cell>
          <cell r="AZ276" t="str">
            <v>amortization</v>
          </cell>
          <cell r="BI276">
            <v>0</v>
          </cell>
          <cell r="BQ276">
            <v>1345.364</v>
          </cell>
          <cell r="BU276">
            <v>1345.364</v>
          </cell>
          <cell r="BX276">
            <v>-1043</v>
          </cell>
          <cell r="BZ276">
            <v>157</v>
          </cell>
          <cell r="CD276">
            <v>459.36400000000003</v>
          </cell>
          <cell r="CJ276">
            <v>0</v>
          </cell>
          <cell r="CP276">
            <v>0</v>
          </cell>
          <cell r="CQ276">
            <v>0</v>
          </cell>
          <cell r="CT276">
            <v>459.36400000000003</v>
          </cell>
          <cell r="CU276">
            <v>0</v>
          </cell>
          <cell r="CV276">
            <v>0</v>
          </cell>
          <cell r="CX276">
            <v>459.36400000000003</v>
          </cell>
          <cell r="FE276">
            <v>0</v>
          </cell>
          <cell r="FI276">
            <v>2095.4290000000001</v>
          </cell>
          <cell r="FL276">
            <v>189</v>
          </cell>
          <cell r="FN276">
            <v>2284.4290000000001</v>
          </cell>
          <cell r="FO276">
            <v>0</v>
          </cell>
          <cell r="FS276">
            <v>0</v>
          </cell>
          <cell r="FT276">
            <v>2284.4290000000001</v>
          </cell>
          <cell r="FU276">
            <v>0</v>
          </cell>
          <cell r="FV276">
            <v>2284.4290000000001</v>
          </cell>
          <cell r="FW276" t="str">
            <v>amortization</v>
          </cell>
          <cell r="FX276">
            <v>2284.4290000000001</v>
          </cell>
          <cell r="FY276">
            <v>0</v>
          </cell>
          <cell r="GA276">
            <v>2284.4290000000001</v>
          </cell>
          <cell r="GB276">
            <v>2315.0620527360193</v>
          </cell>
          <cell r="GC276">
            <v>0</v>
          </cell>
          <cell r="GD276">
            <v>0</v>
          </cell>
          <cell r="GE276">
            <v>0</v>
          </cell>
          <cell r="GF276">
            <v>35.214406831915149</v>
          </cell>
          <cell r="GG276">
            <v>2131.3653213585894</v>
          </cell>
          <cell r="GH276">
            <v>0</v>
          </cell>
        </row>
        <row r="277">
          <cell r="A277" t="str">
            <v>depreciation</v>
          </cell>
          <cell r="I277">
            <v>0</v>
          </cell>
          <cell r="M277" t="str">
            <v xml:space="preserve"> </v>
          </cell>
          <cell r="Q277">
            <v>8813.1020000000008</v>
          </cell>
          <cell r="U277">
            <v>8813.1020000000008</v>
          </cell>
          <cell r="X277">
            <v>3586</v>
          </cell>
          <cell r="Z277">
            <v>211.18100000000001</v>
          </cell>
          <cell r="AD277">
            <v>12610.283000000001</v>
          </cell>
          <cell r="AJ277">
            <v>0</v>
          </cell>
          <cell r="AL277">
            <v>7578.7849999999999</v>
          </cell>
          <cell r="AP277">
            <v>7578.7849999999999</v>
          </cell>
          <cell r="AR277">
            <v>933.54600000000005</v>
          </cell>
          <cell r="AT277">
            <v>21122.614000000001</v>
          </cell>
          <cell r="AV277">
            <v>0</v>
          </cell>
          <cell r="AX277">
            <v>21122.614000000001</v>
          </cell>
          <cell r="AZ277" t="str">
            <v>depreciation</v>
          </cell>
          <cell r="BI277">
            <v>0</v>
          </cell>
          <cell r="BQ277">
            <v>23584.705999999998</v>
          </cell>
          <cell r="BU277">
            <v>23584.705999999998</v>
          </cell>
          <cell r="BX277">
            <v>9552</v>
          </cell>
          <cell r="BZ277">
            <v>662.89300000000003</v>
          </cell>
          <cell r="CD277">
            <v>33799.599000000002</v>
          </cell>
          <cell r="CJ277">
            <v>0</v>
          </cell>
          <cell r="CL277">
            <v>22035</v>
          </cell>
          <cell r="CP277">
            <v>22035</v>
          </cell>
          <cell r="CQ277">
            <v>0</v>
          </cell>
          <cell r="CR277">
            <v>3239.473</v>
          </cell>
          <cell r="CT277">
            <v>59074.072</v>
          </cell>
          <cell r="CU277">
            <v>0</v>
          </cell>
          <cell r="CV277">
            <v>0</v>
          </cell>
          <cell r="CX277">
            <v>59074.072</v>
          </cell>
          <cell r="FI277">
            <v>39088.328000000001</v>
          </cell>
          <cell r="FK277">
            <v>13536</v>
          </cell>
          <cell r="FL277">
            <v>809.23500000000001</v>
          </cell>
          <cell r="FN277">
            <v>53433.563000000002</v>
          </cell>
          <cell r="FO277">
            <v>0</v>
          </cell>
          <cell r="FP277">
            <v>32523</v>
          </cell>
          <cell r="FR277">
            <v>32523</v>
          </cell>
          <cell r="FS277">
            <v>3396.384</v>
          </cell>
          <cell r="FT277">
            <v>89352.947</v>
          </cell>
          <cell r="FU277">
            <v>0</v>
          </cell>
          <cell r="FV277">
            <v>89352.947</v>
          </cell>
          <cell r="FW277" t="str">
            <v>depreciation</v>
          </cell>
          <cell r="FX277">
            <v>53433.563000000002</v>
          </cell>
          <cell r="FY277">
            <v>32523</v>
          </cell>
          <cell r="GA277">
            <v>85956.562999999995</v>
          </cell>
          <cell r="GB277">
            <v>87109.197609079973</v>
          </cell>
          <cell r="GC277">
            <v>3396.3840000000055</v>
          </cell>
          <cell r="GD277">
            <v>3441.9278143114907</v>
          </cell>
          <cell r="GE277">
            <v>3396.3840000000055</v>
          </cell>
          <cell r="GF277">
            <v>4.2302030894471674</v>
          </cell>
          <cell r="GG277">
            <v>70922.782072305694</v>
          </cell>
          <cell r="GH277">
            <v>0</v>
          </cell>
        </row>
        <row r="278">
          <cell r="A278" t="str">
            <v>loss of converters</v>
          </cell>
          <cell r="I278">
            <v>0</v>
          </cell>
          <cell r="M278" t="str">
            <v xml:space="preserve"> </v>
          </cell>
          <cell r="Q278">
            <v>357.05500000000001</v>
          </cell>
          <cell r="U278">
            <v>357.05500000000001</v>
          </cell>
          <cell r="AD278">
            <v>357.05500000000001</v>
          </cell>
          <cell r="AJ278">
            <v>0</v>
          </cell>
          <cell r="AL278">
            <v>212.87799999999999</v>
          </cell>
          <cell r="AP278">
            <v>212.87799999999999</v>
          </cell>
          <cell r="AT278">
            <v>569.93299999999999</v>
          </cell>
          <cell r="AV278">
            <v>0</v>
          </cell>
          <cell r="AX278">
            <v>569.93299999999999</v>
          </cell>
          <cell r="AZ278" t="str">
            <v>loss of converters</v>
          </cell>
          <cell r="BI278">
            <v>0</v>
          </cell>
          <cell r="BQ278">
            <v>1216.1489999999999</v>
          </cell>
          <cell r="BU278">
            <v>1216.1489999999999</v>
          </cell>
          <cell r="CD278">
            <v>1216.1489999999999</v>
          </cell>
          <cell r="CJ278">
            <v>0</v>
          </cell>
          <cell r="CL278">
            <v>746</v>
          </cell>
          <cell r="CP278">
            <v>746</v>
          </cell>
          <cell r="CQ278">
            <v>0</v>
          </cell>
          <cell r="CT278">
            <v>1962.1489999999999</v>
          </cell>
          <cell r="CU278">
            <v>0</v>
          </cell>
          <cell r="CV278">
            <v>0</v>
          </cell>
          <cell r="CX278">
            <v>1962.1489999999999</v>
          </cell>
          <cell r="FI278">
            <v>1459.374</v>
          </cell>
          <cell r="FN278">
            <v>1459.374</v>
          </cell>
          <cell r="FO278">
            <v>0</v>
          </cell>
          <cell r="FP278">
            <v>875</v>
          </cell>
          <cell r="FR278">
            <v>875</v>
          </cell>
          <cell r="FS278">
            <v>0</v>
          </cell>
          <cell r="FT278">
            <v>2334.3739999999998</v>
          </cell>
          <cell r="FU278">
            <v>0</v>
          </cell>
          <cell r="FV278">
            <v>2334.3739999999998</v>
          </cell>
          <cell r="FW278" t="str">
            <v>loss of converters</v>
          </cell>
          <cell r="FX278">
            <v>1459.374</v>
          </cell>
          <cell r="FY278">
            <v>875</v>
          </cell>
          <cell r="GA278">
            <v>2334.3739999999998</v>
          </cell>
          <cell r="GB278">
            <v>2365.6767902585684</v>
          </cell>
          <cell r="GC278">
            <v>0</v>
          </cell>
          <cell r="GD278">
            <v>0</v>
          </cell>
          <cell r="GE278">
            <v>0</v>
          </cell>
          <cell r="GF278">
            <v>4.0958744273449685</v>
          </cell>
          <cell r="GG278">
            <v>5337.538079033312</v>
          </cell>
          <cell r="GH278">
            <v>0</v>
          </cell>
        </row>
        <row r="279">
          <cell r="A279" t="str">
            <v>cost of maintanance of building leased out</v>
          </cell>
          <cell r="AT279">
            <v>0</v>
          </cell>
          <cell r="AV279">
            <v>410.89499999999998</v>
          </cell>
          <cell r="AX279">
            <v>410.89499999999998</v>
          </cell>
          <cell r="AZ279" t="str">
            <v>cost of maintanance of building leased out</v>
          </cell>
          <cell r="FT279">
            <v>0</v>
          </cell>
          <cell r="FU279">
            <v>1657.2869999999998</v>
          </cell>
          <cell r="FV279">
            <v>1657.2869999999998</v>
          </cell>
          <cell r="FX279">
            <v>0</v>
          </cell>
          <cell r="FY279">
            <v>0</v>
          </cell>
          <cell r="GA279">
            <v>0</v>
          </cell>
          <cell r="GB279">
            <v>0</v>
          </cell>
          <cell r="GC279">
            <v>1657.2869999999998</v>
          </cell>
          <cell r="GD279">
            <v>1679.5103915213465</v>
          </cell>
          <cell r="GE279">
            <v>1657.2869999999998</v>
          </cell>
          <cell r="GF279">
            <v>4.0333588873069761</v>
          </cell>
        </row>
        <row r="280">
          <cell r="A280" t="str">
            <v>Cost of publication of CATV guides</v>
          </cell>
          <cell r="M280">
            <v>1912</v>
          </cell>
          <cell r="AT280">
            <v>1912</v>
          </cell>
          <cell r="AV280">
            <v>0</v>
          </cell>
          <cell r="AX280">
            <v>1912</v>
          </cell>
          <cell r="AZ280" t="str">
            <v>Cost of publication of CATV guides</v>
          </cell>
          <cell r="FG280">
            <v>7955.0390000000007</v>
          </cell>
          <cell r="FT280">
            <v>7955.0390000000007</v>
          </cell>
          <cell r="FV280">
            <v>7955.0390000000007</v>
          </cell>
          <cell r="FX280">
            <v>0</v>
          </cell>
          <cell r="FY280">
            <v>0</v>
          </cell>
          <cell r="GA280">
            <v>0</v>
          </cell>
          <cell r="GB280">
            <v>0</v>
          </cell>
          <cell r="GC280">
            <v>7955.0390000000007</v>
          </cell>
          <cell r="GD280">
            <v>8061.7121026458208</v>
          </cell>
          <cell r="GE280">
            <v>7955.0390000000007</v>
          </cell>
          <cell r="GF280">
            <v>4.1605852510460251</v>
          </cell>
        </row>
        <row r="281">
          <cell r="A281" t="str">
            <v>part.in exp. others</v>
          </cell>
          <cell r="I281">
            <v>0</v>
          </cell>
          <cell r="M281" t="str">
            <v xml:space="preserve"> </v>
          </cell>
          <cell r="S281">
            <v>-253.27500000000001</v>
          </cell>
          <cell r="U281">
            <v>-253.27500000000001</v>
          </cell>
          <cell r="AD281">
            <v>-253.27500000000001</v>
          </cell>
          <cell r="AJ281">
            <v>0</v>
          </cell>
          <cell r="AP281">
            <v>0</v>
          </cell>
          <cell r="AT281">
            <v>-253.27500000000001</v>
          </cell>
          <cell r="AV281">
            <v>253.27500000000001</v>
          </cell>
          <cell r="AX281">
            <v>0</v>
          </cell>
          <cell r="AZ281" t="str">
            <v>part.in exp. others</v>
          </cell>
          <cell r="BU281">
            <v>0</v>
          </cell>
          <cell r="CD281">
            <v>0</v>
          </cell>
          <cell r="CJ281">
            <v>0</v>
          </cell>
          <cell r="CP281">
            <v>0</v>
          </cell>
          <cell r="CQ281">
            <v>0</v>
          </cell>
          <cell r="CT281">
            <v>0</v>
          </cell>
          <cell r="CU281">
            <v>0</v>
          </cell>
          <cell r="CV281">
            <v>0</v>
          </cell>
          <cell r="CX281">
            <v>0</v>
          </cell>
          <cell r="FI281">
            <v>-1050</v>
          </cell>
          <cell r="FN281">
            <v>-1050</v>
          </cell>
          <cell r="FO281">
            <v>0</v>
          </cell>
          <cell r="FR281">
            <v>0</v>
          </cell>
          <cell r="FS281">
            <v>0</v>
          </cell>
          <cell r="FT281">
            <v>-1050</v>
          </cell>
          <cell r="FU281">
            <v>1050</v>
          </cell>
          <cell r="FV281">
            <v>0</v>
          </cell>
          <cell r="FW281" t="str">
            <v>part.in exp. others</v>
          </cell>
          <cell r="FX281">
            <v>-1050</v>
          </cell>
          <cell r="FY281">
            <v>0</v>
          </cell>
          <cell r="GA281">
            <v>-1050</v>
          </cell>
          <cell r="GB281">
            <v>-1064.0799759470835</v>
          </cell>
          <cell r="GC281">
            <v>1050</v>
          </cell>
          <cell r="GD281">
            <v>1064.0799759470835</v>
          </cell>
          <cell r="GE281">
            <v>1050</v>
          </cell>
          <cell r="GF281" t="e">
            <v>#DIV/0!</v>
          </cell>
          <cell r="GG281">
            <v>0</v>
          </cell>
          <cell r="GH281">
            <v>0</v>
          </cell>
        </row>
        <row r="282">
          <cell r="A282" t="str">
            <v>part.in exp.</v>
          </cell>
          <cell r="I282">
            <v>0</v>
          </cell>
          <cell r="M282" t="str">
            <v xml:space="preserve"> </v>
          </cell>
          <cell r="Q282">
            <v>-2373.4639999999999</v>
          </cell>
          <cell r="U282">
            <v>-2373.4639999999999</v>
          </cell>
          <cell r="X282">
            <v>68.5</v>
          </cell>
          <cell r="AD282">
            <v>-2304.9639999999999</v>
          </cell>
          <cell r="AJ282">
            <v>0</v>
          </cell>
          <cell r="AL282">
            <v>2574.4450000000002</v>
          </cell>
          <cell r="AN282">
            <v>0</v>
          </cell>
          <cell r="AP282">
            <v>2574.4450000000002</v>
          </cell>
          <cell r="AT282">
            <v>269.48100000000022</v>
          </cell>
          <cell r="AV282">
            <v>-269.48100000000022</v>
          </cell>
          <cell r="AX282">
            <v>0</v>
          </cell>
          <cell r="AZ282" t="str">
            <v>part.in exp.</v>
          </cell>
          <cell r="BI282">
            <v>0</v>
          </cell>
          <cell r="BQ282">
            <v>-9094.2039999999997</v>
          </cell>
          <cell r="BU282">
            <v>-9094.2039999999997</v>
          </cell>
          <cell r="BX282">
            <v>266.5</v>
          </cell>
          <cell r="CD282">
            <v>-8827.7039999999997</v>
          </cell>
          <cell r="CH282">
            <v>0</v>
          </cell>
          <cell r="CJ282">
            <v>0</v>
          </cell>
          <cell r="CL282">
            <v>9899</v>
          </cell>
          <cell r="CN282">
            <v>0</v>
          </cell>
          <cell r="CP282">
            <v>9899</v>
          </cell>
          <cell r="CQ282">
            <v>0</v>
          </cell>
          <cell r="CT282">
            <v>1071.2960000000003</v>
          </cell>
          <cell r="CU282">
            <v>0</v>
          </cell>
          <cell r="CV282">
            <v>-1071.2960000000003</v>
          </cell>
          <cell r="CX282">
            <v>0</v>
          </cell>
          <cell r="FI282">
            <v>-9539.5969999999998</v>
          </cell>
          <cell r="FK282">
            <v>280.5</v>
          </cell>
          <cell r="FN282">
            <v>-9259.0969999999998</v>
          </cell>
          <cell r="FO282">
            <v>0</v>
          </cell>
          <cell r="FP282">
            <v>10356.4</v>
          </cell>
          <cell r="FQ282">
            <v>0</v>
          </cell>
          <cell r="FR282">
            <v>10356.4</v>
          </cell>
          <cell r="FS282">
            <v>0</v>
          </cell>
          <cell r="FT282">
            <v>1097.3029999999999</v>
          </cell>
          <cell r="FU282">
            <v>-1097.3029999999999</v>
          </cell>
          <cell r="FV282">
            <v>0</v>
          </cell>
          <cell r="FW282" t="str">
            <v>part.in exp.</v>
          </cell>
          <cell r="FX282">
            <v>-9259.0969999999998</v>
          </cell>
          <cell r="FY282">
            <v>10356.4</v>
          </cell>
          <cell r="GA282">
            <v>1097.3029999999999</v>
          </cell>
          <cell r="GB282">
            <v>1112.0172855682499</v>
          </cell>
          <cell r="GC282">
            <v>-1097.3029999999999</v>
          </cell>
          <cell r="GD282">
            <v>-1112.0172855682499</v>
          </cell>
          <cell r="GE282">
            <v>-1097.3029999999999</v>
          </cell>
          <cell r="GF282" t="e">
            <v>#DIV/0!</v>
          </cell>
          <cell r="GG282">
            <v>-993.19443500979753</v>
          </cell>
          <cell r="GH282">
            <v>0</v>
          </cell>
        </row>
        <row r="283">
          <cell r="C283">
            <v>-9.7430000000000003</v>
          </cell>
          <cell r="E283">
            <v>0</v>
          </cell>
          <cell r="G283">
            <v>0</v>
          </cell>
          <cell r="I283">
            <v>-9.7430000000000003</v>
          </cell>
          <cell r="M283">
            <v>2279.1801682692308</v>
          </cell>
          <cell r="O283">
            <v>8842</v>
          </cell>
          <cell r="Q283">
            <v>40705.576000000001</v>
          </cell>
          <cell r="S283">
            <v>-253.27500000000001</v>
          </cell>
          <cell r="U283">
            <v>40452.300999999999</v>
          </cell>
          <cell r="W283">
            <v>0</v>
          </cell>
          <cell r="X283">
            <v>9098</v>
          </cell>
          <cell r="Z283">
            <v>1000.9240000000001</v>
          </cell>
          <cell r="AB283">
            <v>0</v>
          </cell>
          <cell r="AD283">
            <v>50551.225000000006</v>
          </cell>
          <cell r="AF283">
            <v>0</v>
          </cell>
          <cell r="AH283">
            <v>0</v>
          </cell>
          <cell r="AJ283">
            <v>0</v>
          </cell>
          <cell r="AL283">
            <v>21211.31</v>
          </cell>
          <cell r="AN283">
            <v>0</v>
          </cell>
          <cell r="AP283">
            <v>21211.31</v>
          </cell>
          <cell r="AR283">
            <v>1344.441</v>
          </cell>
          <cell r="AT283">
            <v>84218.413168269253</v>
          </cell>
          <cell r="AV283">
            <v>-713.38750000000005</v>
          </cell>
          <cell r="AX283">
            <v>83505.025668269256</v>
          </cell>
          <cell r="BC283">
            <v>-27.184999999999999</v>
          </cell>
          <cell r="BE283">
            <v>0</v>
          </cell>
          <cell r="BG283">
            <v>0</v>
          </cell>
          <cell r="BI283">
            <v>-27.184999999999999</v>
          </cell>
          <cell r="BM283">
            <v>9027.259</v>
          </cell>
          <cell r="BO283">
            <v>30964.5</v>
          </cell>
          <cell r="BQ283">
            <v>146207.90400000001</v>
          </cell>
          <cell r="BS283">
            <v>0</v>
          </cell>
          <cell r="BU283">
            <v>146207.90400000001</v>
          </cell>
          <cell r="BW283">
            <v>0</v>
          </cell>
          <cell r="BX283">
            <v>31516</v>
          </cell>
          <cell r="BZ283">
            <v>3662.6179999999999</v>
          </cell>
          <cell r="CB283">
            <v>0</v>
          </cell>
          <cell r="CD283">
            <v>181386.522</v>
          </cell>
          <cell r="CF283">
            <v>0</v>
          </cell>
          <cell r="CH283">
            <v>0</v>
          </cell>
          <cell r="CJ283">
            <v>0</v>
          </cell>
          <cell r="CL283">
            <v>74417</v>
          </cell>
          <cell r="CN283">
            <v>0</v>
          </cell>
          <cell r="CP283">
            <v>74417</v>
          </cell>
          <cell r="CQ283">
            <v>0</v>
          </cell>
          <cell r="CR283">
            <v>4838</v>
          </cell>
          <cell r="CT283">
            <v>300605.89</v>
          </cell>
          <cell r="CU283">
            <v>0.2060000000637956</v>
          </cell>
          <cell r="CV283">
            <v>-3798.3440000000001</v>
          </cell>
          <cell r="CX283">
            <v>296807.54599999997</v>
          </cell>
          <cell r="FC283">
            <v>-28.384</v>
          </cell>
          <cell r="FD283">
            <v>0</v>
          </cell>
          <cell r="FE283">
            <v>0</v>
          </cell>
          <cell r="FF283">
            <v>-28.384</v>
          </cell>
          <cell r="FG283">
            <v>9482.5084999999999</v>
          </cell>
          <cell r="FH283">
            <v>34487</v>
          </cell>
          <cell r="FI283">
            <v>166640.35</v>
          </cell>
          <cell r="FJ283">
            <v>0</v>
          </cell>
          <cell r="FK283">
            <v>38014.5</v>
          </cell>
          <cell r="FL283">
            <v>3973.1280000000002</v>
          </cell>
          <cell r="FM283">
            <v>0</v>
          </cell>
          <cell r="FN283">
            <v>208627.978</v>
          </cell>
          <cell r="FO283">
            <v>0</v>
          </cell>
          <cell r="FP283">
            <v>87138.4</v>
          </cell>
          <cell r="FQ283">
            <v>0</v>
          </cell>
          <cell r="FR283">
            <v>87138.4</v>
          </cell>
          <cell r="FS283">
            <v>5053.6710000000003</v>
          </cell>
          <cell r="FT283">
            <v>344761.17349999998</v>
          </cell>
          <cell r="FU283">
            <v>-2727.9658674999996</v>
          </cell>
          <cell r="FV283">
            <v>342033.20763250004</v>
          </cell>
          <cell r="FX283">
            <v>208627.978</v>
          </cell>
          <cell r="FY283">
            <v>87138.4</v>
          </cell>
          <cell r="FZ283">
            <v>-1120.4368449999999</v>
          </cell>
          <cell r="GA283">
            <v>294645.94115500001</v>
          </cell>
          <cell r="GB283">
            <v>298596.99616868392</v>
          </cell>
          <cell r="GC283">
            <v>47387.266477500001</v>
          </cell>
          <cell r="GD283">
            <v>48022.706070072614</v>
          </cell>
          <cell r="GE283">
            <v>47387.26647750003</v>
          </cell>
          <cell r="GF283">
            <v>4.0959595532759403</v>
          </cell>
          <cell r="GG283">
            <v>276719.28250214393</v>
          </cell>
          <cell r="GH283">
            <v>0</v>
          </cell>
        </row>
        <row r="284">
          <cell r="A284" t="str">
            <v>OPER. LOSS(PROFIT)</v>
          </cell>
          <cell r="C284">
            <v>-3308.6470000000004</v>
          </cell>
          <cell r="E284">
            <v>-104.727</v>
          </cell>
          <cell r="G284">
            <v>-1009.615</v>
          </cell>
          <cell r="I284">
            <v>-4422.9890000000005</v>
          </cell>
          <cell r="M284">
            <v>-641.15024038461524</v>
          </cell>
          <cell r="O284">
            <v>-3364</v>
          </cell>
          <cell r="Q284">
            <v>-37239.828999999998</v>
          </cell>
          <cell r="S284">
            <v>0</v>
          </cell>
          <cell r="U284">
            <v>-37239.829000000005</v>
          </cell>
          <cell r="W284">
            <v>0</v>
          </cell>
          <cell r="X284">
            <v>-6895.5</v>
          </cell>
          <cell r="Z284">
            <v>-542.01300000000003</v>
          </cell>
          <cell r="AB284">
            <v>0</v>
          </cell>
          <cell r="AD284">
            <v>-44677.342000000019</v>
          </cell>
          <cell r="AF284">
            <v>-26.103999999999999</v>
          </cell>
          <cell r="AH284">
            <v>0</v>
          </cell>
          <cell r="AJ284">
            <v>-26.103999999999999</v>
          </cell>
          <cell r="AL284">
            <v>-22829.317999999996</v>
          </cell>
          <cell r="AN284">
            <v>26.103999999999999</v>
          </cell>
          <cell r="AP284">
            <v>-22829.317999999996</v>
          </cell>
          <cell r="AR284">
            <v>-498.16399999999999</v>
          </cell>
          <cell r="AT284">
            <v>-76432.963240384663</v>
          </cell>
          <cell r="AV284">
            <v>4397.04</v>
          </cell>
          <cell r="AX284">
            <v>-72035.923240384611</v>
          </cell>
          <cell r="AZ284" t="str">
            <v>OPER. LOSS(PROFIT)</v>
          </cell>
          <cell r="BC284">
            <v>-13752.192999999999</v>
          </cell>
          <cell r="BE284">
            <v>-367</v>
          </cell>
          <cell r="BG284">
            <v>-4200</v>
          </cell>
          <cell r="BI284">
            <v>-18319.193000000003</v>
          </cell>
          <cell r="BM284">
            <v>-2526.5694999999996</v>
          </cell>
          <cell r="BO284">
            <v>-15574.5</v>
          </cell>
          <cell r="BQ284">
            <v>-146881.85</v>
          </cell>
          <cell r="BS284">
            <v>0</v>
          </cell>
          <cell r="BU284">
            <v>-146881.85</v>
          </cell>
          <cell r="BW284">
            <v>0</v>
          </cell>
          <cell r="BX284">
            <v>-29997.5</v>
          </cell>
          <cell r="BZ284">
            <v>-2150.967000000001</v>
          </cell>
          <cell r="CB284">
            <v>0</v>
          </cell>
          <cell r="CD284">
            <v>-179030.31700000001</v>
          </cell>
          <cell r="CF284">
            <v>-108.59399999999999</v>
          </cell>
          <cell r="CH284">
            <v>0</v>
          </cell>
          <cell r="CJ284">
            <v>-108.59399999999999</v>
          </cell>
          <cell r="CL284">
            <v>-89409</v>
          </cell>
          <cell r="CN284">
            <v>108.59399999999999</v>
          </cell>
          <cell r="CP284">
            <v>-89409</v>
          </cell>
          <cell r="CQ284">
            <v>0</v>
          </cell>
          <cell r="CR284">
            <v>-2146.34</v>
          </cell>
          <cell r="CT284">
            <v>-307006.12550000002</v>
          </cell>
          <cell r="CU284">
            <v>0.2060000000637956</v>
          </cell>
          <cell r="CV284">
            <v>28774.54050000001</v>
          </cell>
          <cell r="CX284">
            <v>-278231.58499999996</v>
          </cell>
          <cell r="FC284">
            <v>-17953.392</v>
          </cell>
          <cell r="FD284">
            <v>-397.33695539999997</v>
          </cell>
          <cell r="FE284">
            <v>0</v>
          </cell>
          <cell r="FF284">
            <v>-18350.728955399998</v>
          </cell>
          <cell r="FG284">
            <v>-2666.0660000000007</v>
          </cell>
          <cell r="FH284">
            <v>-14286</v>
          </cell>
          <cell r="FI284">
            <v>-141298.31899999993</v>
          </cell>
          <cell r="FJ284">
            <v>0</v>
          </cell>
          <cell r="FK284">
            <v>-28020.5</v>
          </cell>
          <cell r="FL284">
            <v>-2140.4509999999996</v>
          </cell>
          <cell r="FM284">
            <v>0</v>
          </cell>
          <cell r="FN284">
            <v>-171459.27</v>
          </cell>
          <cell r="FO284">
            <v>-108.59399999999999</v>
          </cell>
          <cell r="FP284">
            <v>-86733.6</v>
          </cell>
          <cell r="FQ284">
            <v>108.59399999999999</v>
          </cell>
          <cell r="FR284">
            <v>-86733.6</v>
          </cell>
          <cell r="FS284">
            <v>-2242.3049999999998</v>
          </cell>
          <cell r="FT284">
            <v>-295737.96995539992</v>
          </cell>
          <cell r="FU284">
            <v>18275.0419554</v>
          </cell>
          <cell r="FV284">
            <v>-277462.9279999999</v>
          </cell>
          <cell r="FW284" t="str">
            <v>OPER. LOSS(PROFIT)</v>
          </cell>
          <cell r="FX284">
            <v>-171459.27</v>
          </cell>
          <cell r="FY284">
            <v>-86733.6</v>
          </cell>
          <cell r="FZ284">
            <v>18321.9081104</v>
          </cell>
          <cell r="GA284">
            <v>-239870.96188959992</v>
          </cell>
          <cell r="GB284">
            <v>-243087.51176941831</v>
          </cell>
          <cell r="GC284">
            <v>-37591.966110399997</v>
          </cell>
          <cell r="GD284">
            <v>-38096.055613864766</v>
          </cell>
          <cell r="GE284">
            <v>-37591.966110399982</v>
          </cell>
          <cell r="GF284">
            <v>3.8517300191198114</v>
          </cell>
          <cell r="GG284">
            <v>-234245.63011417654</v>
          </cell>
          <cell r="GH284">
            <v>0</v>
          </cell>
        </row>
        <row r="285">
          <cell r="A285" t="str">
            <v>MARKETING</v>
          </cell>
          <cell r="AT285">
            <v>0</v>
          </cell>
          <cell r="AZ285" t="str">
            <v>MARKETING</v>
          </cell>
          <cell r="CD285">
            <v>0</v>
          </cell>
          <cell r="CQ285">
            <v>0</v>
          </cell>
          <cell r="CT285">
            <v>0</v>
          </cell>
          <cell r="CU285">
            <v>0</v>
          </cell>
          <cell r="FW285" t="str">
            <v>MARKETING</v>
          </cell>
          <cell r="FX285">
            <v>0</v>
          </cell>
          <cell r="FY285">
            <v>0</v>
          </cell>
          <cell r="GA285">
            <v>0</v>
          </cell>
          <cell r="GB285">
            <v>0</v>
          </cell>
          <cell r="GC285">
            <v>0</v>
          </cell>
          <cell r="GD285">
            <v>0</v>
          </cell>
          <cell r="GE285">
            <v>0</v>
          </cell>
          <cell r="GF285" t="e">
            <v>#DIV/0!</v>
          </cell>
          <cell r="GH285">
            <v>0</v>
          </cell>
        </row>
        <row r="286">
          <cell r="A286" t="str">
            <v>salaries</v>
          </cell>
          <cell r="I286">
            <v>0</v>
          </cell>
          <cell r="M286" t="str">
            <v xml:space="preserve"> </v>
          </cell>
          <cell r="O286">
            <v>1387</v>
          </cell>
          <cell r="Q286">
            <v>3339.7649999999999</v>
          </cell>
          <cell r="U286">
            <v>3339.7649999999999</v>
          </cell>
          <cell r="X286">
            <v>512</v>
          </cell>
          <cell r="AD286">
            <v>3851.7649999999999</v>
          </cell>
          <cell r="AJ286">
            <v>0</v>
          </cell>
          <cell r="AL286">
            <v>91.644000000000005</v>
          </cell>
          <cell r="AN286">
            <v>0</v>
          </cell>
          <cell r="AP286">
            <v>91.644000000000005</v>
          </cell>
          <cell r="AT286">
            <v>5330.4089999999997</v>
          </cell>
          <cell r="AV286">
            <v>0</v>
          </cell>
          <cell r="AX286">
            <v>5330.4089999999997</v>
          </cell>
          <cell r="AZ286" t="str">
            <v>salaries</v>
          </cell>
          <cell r="BG286">
            <v>0</v>
          </cell>
          <cell r="BI286">
            <v>0</v>
          </cell>
          <cell r="BO286">
            <v>5379.5</v>
          </cell>
          <cell r="BQ286">
            <v>12854.347</v>
          </cell>
          <cell r="BU286">
            <v>12854.347</v>
          </cell>
          <cell r="BX286">
            <v>1966.5</v>
          </cell>
          <cell r="CD286">
            <v>14820.847</v>
          </cell>
          <cell r="CJ286">
            <v>0</v>
          </cell>
          <cell r="CL286">
            <v>373</v>
          </cell>
          <cell r="CN286">
            <v>0</v>
          </cell>
          <cell r="CP286">
            <v>373</v>
          </cell>
          <cell r="CQ286">
            <v>0</v>
          </cell>
          <cell r="CT286">
            <v>20573.347000000002</v>
          </cell>
          <cell r="CU286">
            <v>0</v>
          </cell>
          <cell r="CX286">
            <v>20573.347000000002</v>
          </cell>
          <cell r="FH286">
            <v>5608</v>
          </cell>
          <cell r="FI286">
            <v>13307.933000000001</v>
          </cell>
          <cell r="FK286">
            <v>2087.5</v>
          </cell>
          <cell r="FN286">
            <v>15395.433000000001</v>
          </cell>
          <cell r="FO286">
            <v>0</v>
          </cell>
          <cell r="FP286">
            <v>377</v>
          </cell>
          <cell r="FQ286">
            <v>0</v>
          </cell>
          <cell r="FR286">
            <v>377</v>
          </cell>
          <cell r="FS286">
            <v>0</v>
          </cell>
          <cell r="FT286">
            <v>21380.433000000001</v>
          </cell>
          <cell r="FV286">
            <v>21380.433000000001</v>
          </cell>
          <cell r="FW286" t="str">
            <v>salaries</v>
          </cell>
          <cell r="FX286">
            <v>15395.433000000001</v>
          </cell>
          <cell r="FY286">
            <v>377</v>
          </cell>
          <cell r="GA286">
            <v>15772.433000000001</v>
          </cell>
          <cell r="GB286">
            <v>15983.933454539989</v>
          </cell>
          <cell r="GC286">
            <v>5608</v>
          </cell>
          <cell r="GD286">
            <v>5683.2004810583276</v>
          </cell>
          <cell r="GE286">
            <v>5608</v>
          </cell>
          <cell r="GF286">
            <v>4.0110304856531656</v>
          </cell>
          <cell r="GG286">
            <v>19749.031992161985</v>
          </cell>
          <cell r="GH286">
            <v>0</v>
          </cell>
        </row>
        <row r="287">
          <cell r="A287" t="str">
            <v>part.in exp.</v>
          </cell>
          <cell r="I287">
            <v>0</v>
          </cell>
          <cell r="M287" t="str">
            <v xml:space="preserve"> </v>
          </cell>
          <cell r="Q287">
            <v>-1451.694</v>
          </cell>
          <cell r="U287">
            <v>-1451.694</v>
          </cell>
          <cell r="AD287">
            <v>-1451.694</v>
          </cell>
          <cell r="AJ287">
            <v>0</v>
          </cell>
          <cell r="AL287">
            <v>1158.748</v>
          </cell>
          <cell r="AN287">
            <v>0</v>
          </cell>
          <cell r="AP287">
            <v>1158.748</v>
          </cell>
          <cell r="AT287">
            <v>-292.94599999999991</v>
          </cell>
          <cell r="AV287">
            <v>292.94599999999991</v>
          </cell>
          <cell r="AX287">
            <v>0</v>
          </cell>
          <cell r="AZ287" t="str">
            <v>part.in exp.</v>
          </cell>
          <cell r="BI287">
            <v>0</v>
          </cell>
          <cell r="BQ287">
            <v>-5565.2939999999999</v>
          </cell>
          <cell r="BU287">
            <v>-5565.2939999999999</v>
          </cell>
          <cell r="CD287">
            <v>-5565.2939999999999</v>
          </cell>
          <cell r="CJ287">
            <v>0</v>
          </cell>
          <cell r="CL287">
            <v>4503</v>
          </cell>
          <cell r="CN287">
            <v>0</v>
          </cell>
          <cell r="CP287">
            <v>4503</v>
          </cell>
          <cell r="CQ287">
            <v>0</v>
          </cell>
          <cell r="CT287">
            <v>-1062.2939999999999</v>
          </cell>
          <cell r="CU287">
            <v>0</v>
          </cell>
          <cell r="CV287">
            <v>1062.2939999999999</v>
          </cell>
          <cell r="CX287">
            <v>0</v>
          </cell>
          <cell r="FI287">
            <v>-5812.299</v>
          </cell>
          <cell r="FN287">
            <v>-5812.299</v>
          </cell>
          <cell r="FO287">
            <v>0</v>
          </cell>
          <cell r="FP287">
            <v>4660.6000000000004</v>
          </cell>
          <cell r="FQ287">
            <v>0</v>
          </cell>
          <cell r="FR287">
            <v>4660.6000000000004</v>
          </cell>
          <cell r="FS287">
            <v>0</v>
          </cell>
          <cell r="FT287">
            <v>-1151.6989999999996</v>
          </cell>
          <cell r="FU287">
            <v>133.30299999999988</v>
          </cell>
          <cell r="FV287">
            <v>-1018.3959999999997</v>
          </cell>
          <cell r="FW287" t="str">
            <v>part.in exp.</v>
          </cell>
          <cell r="FX287">
            <v>-5812.299</v>
          </cell>
          <cell r="FY287">
            <v>4660.6000000000004</v>
          </cell>
          <cell r="GA287">
            <v>-1151.6989999999996</v>
          </cell>
          <cell r="GB287">
            <v>-1167.142708779314</v>
          </cell>
          <cell r="GC287">
            <v>133.30299999999988</v>
          </cell>
          <cell r="GD287">
            <v>135.09052669873711</v>
          </cell>
          <cell r="GE287">
            <v>133.30299999999988</v>
          </cell>
          <cell r="GF287" t="e">
            <v>#DIV/0!</v>
          </cell>
          <cell r="GG287">
            <v>-0.56700587851077733</v>
          </cell>
          <cell r="GH287">
            <v>0</v>
          </cell>
        </row>
        <row r="288">
          <cell r="A288" t="str">
            <v>bad debts</v>
          </cell>
          <cell r="I288">
            <v>0</v>
          </cell>
          <cell r="M288">
            <v>52.435817307692311</v>
          </cell>
          <cell r="Q288">
            <v>220.20099999999999</v>
          </cell>
          <cell r="U288">
            <v>220.20099999999999</v>
          </cell>
          <cell r="X288">
            <v>193.5</v>
          </cell>
          <cell r="Z288">
            <v>4.5069999999999997</v>
          </cell>
          <cell r="AD288">
            <v>418.20800000000003</v>
          </cell>
          <cell r="AJ288">
            <v>0</v>
          </cell>
          <cell r="AL288">
            <v>137.91800000000001</v>
          </cell>
          <cell r="AP288">
            <v>137.91800000000001</v>
          </cell>
          <cell r="AT288">
            <v>608.56181730769231</v>
          </cell>
          <cell r="AX288">
            <v>608.56181730769231</v>
          </cell>
          <cell r="AZ288" t="str">
            <v>bad debts</v>
          </cell>
          <cell r="BI288">
            <v>0</v>
          </cell>
          <cell r="BM288">
            <v>242.07149999999999</v>
          </cell>
          <cell r="BQ288">
            <v>923.55700000000002</v>
          </cell>
          <cell r="BU288">
            <v>923.55700000000002</v>
          </cell>
          <cell r="BX288">
            <v>762.5</v>
          </cell>
          <cell r="BZ288">
            <v>20.782</v>
          </cell>
          <cell r="CD288">
            <v>1706.8389999999999</v>
          </cell>
          <cell r="CJ288">
            <v>0</v>
          </cell>
          <cell r="CL288">
            <v>587</v>
          </cell>
          <cell r="CP288">
            <v>587</v>
          </cell>
          <cell r="CQ288">
            <v>0</v>
          </cell>
          <cell r="CT288">
            <v>2535.9105</v>
          </cell>
          <cell r="CU288">
            <v>0</v>
          </cell>
          <cell r="CX288">
            <v>2535.9105</v>
          </cell>
          <cell r="FG288">
            <v>218.13300000000001</v>
          </cell>
          <cell r="FI288">
            <v>918.75</v>
          </cell>
          <cell r="FK288">
            <v>774</v>
          </cell>
          <cell r="FL288">
            <v>19.78</v>
          </cell>
          <cell r="FN288">
            <v>1712.53</v>
          </cell>
          <cell r="FO288">
            <v>0</v>
          </cell>
          <cell r="FP288">
            <v>589</v>
          </cell>
          <cell r="FR288">
            <v>589</v>
          </cell>
          <cell r="FS288">
            <v>0</v>
          </cell>
          <cell r="FT288">
            <v>2519.663</v>
          </cell>
          <cell r="FV288">
            <v>2519.663</v>
          </cell>
          <cell r="FW288" t="str">
            <v>bad debts</v>
          </cell>
          <cell r="FX288">
            <v>1712.53</v>
          </cell>
          <cell r="FY288">
            <v>589</v>
          </cell>
          <cell r="GA288">
            <v>2301.5300000000002</v>
          </cell>
          <cell r="GB288">
            <v>2332.3923686109438</v>
          </cell>
          <cell r="GC288">
            <v>218.13300000000027</v>
          </cell>
          <cell r="GD288">
            <v>221.05805466025282</v>
          </cell>
          <cell r="GE288">
            <v>218.13300000000027</v>
          </cell>
          <cell r="GF288">
            <v>4.1403567038548594</v>
          </cell>
          <cell r="GG288">
            <v>1763.4523690398432</v>
          </cell>
          <cell r="GH288">
            <v>0</v>
          </cell>
        </row>
        <row r="289">
          <cell r="A289" t="str">
            <v>office maint.</v>
          </cell>
          <cell r="I289">
            <v>0</v>
          </cell>
          <cell r="M289" t="str">
            <v xml:space="preserve"> </v>
          </cell>
          <cell r="Q289">
            <v>90.584999999999994</v>
          </cell>
          <cell r="U289">
            <v>90.584999999999994</v>
          </cell>
          <cell r="AD289">
            <v>90.584999999999994</v>
          </cell>
          <cell r="AJ289">
            <v>0</v>
          </cell>
          <cell r="AP289">
            <v>0</v>
          </cell>
          <cell r="AT289">
            <v>90.584999999999994</v>
          </cell>
          <cell r="AX289">
            <v>90.584999999999994</v>
          </cell>
          <cell r="AZ289" t="str">
            <v>office maint.</v>
          </cell>
          <cell r="BI289">
            <v>0</v>
          </cell>
          <cell r="BQ289">
            <v>339.74400000000003</v>
          </cell>
          <cell r="BU289">
            <v>339.74400000000003</v>
          </cell>
          <cell r="CD289">
            <v>339.74400000000003</v>
          </cell>
          <cell r="CJ289">
            <v>0</v>
          </cell>
          <cell r="CP289">
            <v>0</v>
          </cell>
          <cell r="CQ289">
            <v>0</v>
          </cell>
          <cell r="CT289">
            <v>339.74400000000003</v>
          </cell>
          <cell r="CU289">
            <v>0</v>
          </cell>
          <cell r="CX289">
            <v>339.74400000000003</v>
          </cell>
          <cell r="FI289">
            <v>354.73700000000002</v>
          </cell>
          <cell r="FN289">
            <v>354.73700000000002</v>
          </cell>
          <cell r="FO289">
            <v>0</v>
          </cell>
          <cell r="FR289">
            <v>0</v>
          </cell>
          <cell r="FS289">
            <v>0</v>
          </cell>
          <cell r="FT289">
            <v>354.73700000000002</v>
          </cell>
          <cell r="FV289">
            <v>354.73700000000002</v>
          </cell>
          <cell r="FW289" t="str">
            <v>office maint.</v>
          </cell>
          <cell r="FX289">
            <v>354.73700000000002</v>
          </cell>
          <cell r="FY289">
            <v>0</v>
          </cell>
          <cell r="GA289">
            <v>354.73700000000002</v>
          </cell>
          <cell r="GB289">
            <v>359.49384612146724</v>
          </cell>
          <cell r="GC289">
            <v>0</v>
          </cell>
          <cell r="GD289">
            <v>0</v>
          </cell>
          <cell r="GE289">
            <v>0</v>
          </cell>
          <cell r="GF289">
            <v>3.9160677816415528</v>
          </cell>
          <cell r="GG289">
            <v>1550.0593807968648</v>
          </cell>
          <cell r="GH289">
            <v>0</v>
          </cell>
        </row>
        <row r="290">
          <cell r="A290" t="str">
            <v>car &amp; travel</v>
          </cell>
          <cell r="I290">
            <v>0</v>
          </cell>
          <cell r="M290" t="str">
            <v xml:space="preserve"> </v>
          </cell>
          <cell r="O290">
            <v>126.5</v>
          </cell>
          <cell r="Q290">
            <v>47.6</v>
          </cell>
          <cell r="U290">
            <v>47.6</v>
          </cell>
          <cell r="AD290">
            <v>47.6</v>
          </cell>
          <cell r="AJ290">
            <v>0</v>
          </cell>
          <cell r="AP290">
            <v>0</v>
          </cell>
          <cell r="AT290">
            <v>174.1</v>
          </cell>
          <cell r="AX290">
            <v>174.1</v>
          </cell>
          <cell r="AZ290" t="str">
            <v>car &amp; travel</v>
          </cell>
          <cell r="BG290">
            <v>0</v>
          </cell>
          <cell r="BI290">
            <v>0</v>
          </cell>
          <cell r="BO290">
            <v>477</v>
          </cell>
          <cell r="BQ290">
            <v>180.64</v>
          </cell>
          <cell r="BU290">
            <v>180.64</v>
          </cell>
          <cell r="CD290">
            <v>180.64</v>
          </cell>
          <cell r="CJ290">
            <v>0</v>
          </cell>
          <cell r="CP290">
            <v>0</v>
          </cell>
          <cell r="CQ290">
            <v>0</v>
          </cell>
          <cell r="CT290">
            <v>657.64</v>
          </cell>
          <cell r="CU290">
            <v>0</v>
          </cell>
          <cell r="CX290">
            <v>657.64</v>
          </cell>
          <cell r="FH290">
            <v>503</v>
          </cell>
          <cell r="FI290">
            <v>191.417</v>
          </cell>
          <cell r="FN290">
            <v>191.417</v>
          </cell>
          <cell r="FO290">
            <v>0</v>
          </cell>
          <cell r="FR290">
            <v>0</v>
          </cell>
          <cell r="FS290">
            <v>0</v>
          </cell>
          <cell r="FT290">
            <v>694.41700000000003</v>
          </cell>
          <cell r="FV290">
            <v>694.41700000000003</v>
          </cell>
          <cell r="FW290" t="str">
            <v>car &amp; travel</v>
          </cell>
          <cell r="FX290">
            <v>191.417</v>
          </cell>
          <cell r="FY290">
            <v>0</v>
          </cell>
          <cell r="GA290">
            <v>191.417</v>
          </cell>
          <cell r="GB290">
            <v>193.98380643415513</v>
          </cell>
          <cell r="GC290">
            <v>503</v>
          </cell>
          <cell r="GD290">
            <v>509.74497895369808</v>
          </cell>
          <cell r="GE290">
            <v>503</v>
          </cell>
          <cell r="GF290">
            <v>3.988609994256175</v>
          </cell>
          <cell r="GG290">
            <v>641.15004376224704</v>
          </cell>
          <cell r="GH290">
            <v>0</v>
          </cell>
        </row>
        <row r="291">
          <cell r="A291" t="str">
            <v>amortization</v>
          </cell>
          <cell r="I291">
            <v>0</v>
          </cell>
          <cell r="M291" t="str">
            <v xml:space="preserve"> </v>
          </cell>
          <cell r="Q291">
            <v>0.89900000000000002</v>
          </cell>
          <cell r="U291">
            <v>0.89900000000000002</v>
          </cell>
          <cell r="AD291">
            <v>0.89900000000000002</v>
          </cell>
          <cell r="AJ291">
            <v>0</v>
          </cell>
          <cell r="AP291">
            <v>0</v>
          </cell>
          <cell r="AT291">
            <v>0.89900000000000002</v>
          </cell>
          <cell r="AX291">
            <v>0.89900000000000002</v>
          </cell>
          <cell r="AZ291" t="str">
            <v>amortization</v>
          </cell>
          <cell r="BQ291">
            <v>2.823</v>
          </cell>
          <cell r="BU291">
            <v>2.823</v>
          </cell>
          <cell r="CD291">
            <v>2.823</v>
          </cell>
          <cell r="CJ291">
            <v>0</v>
          </cell>
          <cell r="CP291">
            <v>0</v>
          </cell>
          <cell r="CQ291">
            <v>0</v>
          </cell>
          <cell r="CT291">
            <v>2.823</v>
          </cell>
          <cell r="CU291">
            <v>0</v>
          </cell>
          <cell r="CX291">
            <v>2.823</v>
          </cell>
          <cell r="FI291">
            <v>1.8560000000000001</v>
          </cell>
          <cell r="FN291">
            <v>1.8560000000000001</v>
          </cell>
          <cell r="FO291">
            <v>0</v>
          </cell>
          <cell r="FR291">
            <v>0</v>
          </cell>
          <cell r="FS291">
            <v>0</v>
          </cell>
          <cell r="FT291">
            <v>1.8560000000000001</v>
          </cell>
          <cell r="FV291">
            <v>1.8560000000000001</v>
          </cell>
          <cell r="FW291" t="str">
            <v>amortization</v>
          </cell>
          <cell r="FX291">
            <v>1.8560000000000001</v>
          </cell>
          <cell r="FY291">
            <v>0</v>
          </cell>
          <cell r="GA291">
            <v>1.8560000000000001</v>
          </cell>
          <cell r="GB291">
            <v>1.8808880336740832</v>
          </cell>
          <cell r="GC291">
            <v>0</v>
          </cell>
          <cell r="GD291">
            <v>0</v>
          </cell>
          <cell r="GE291">
            <v>0</v>
          </cell>
          <cell r="GF291">
            <v>2.064516129032258</v>
          </cell>
          <cell r="GG291">
            <v>119.61108491182236</v>
          </cell>
          <cell r="GH291">
            <v>0</v>
          </cell>
        </row>
        <row r="292">
          <cell r="A292" t="str">
            <v>advertizment</v>
          </cell>
          <cell r="C292">
            <v>0.67900000000000005</v>
          </cell>
          <cell r="I292">
            <v>0.67900000000000005</v>
          </cell>
          <cell r="M292">
            <v>88.676562500000003</v>
          </cell>
          <cell r="O292">
            <v>231.5</v>
          </cell>
          <cell r="Q292">
            <v>985.21600000000001</v>
          </cell>
          <cell r="U292">
            <v>985.21600000000001</v>
          </cell>
          <cell r="X292">
            <v>103.5</v>
          </cell>
          <cell r="AD292">
            <v>1088.7159999999999</v>
          </cell>
          <cell r="AJ292">
            <v>0</v>
          </cell>
          <cell r="AL292">
            <v>157.83199999999999</v>
          </cell>
          <cell r="AP292">
            <v>157.83199999999999</v>
          </cell>
          <cell r="AT292">
            <v>1567.4035624999999</v>
          </cell>
          <cell r="AX292">
            <v>1567.4035624999999</v>
          </cell>
          <cell r="AZ292" t="str">
            <v>advertizment</v>
          </cell>
          <cell r="BC292">
            <v>2.5</v>
          </cell>
          <cell r="BI292">
            <v>2.5</v>
          </cell>
          <cell r="BM292">
            <v>351.81599999999997</v>
          </cell>
          <cell r="BO292">
            <v>1286.5</v>
          </cell>
          <cell r="BQ292">
            <v>3847.4969999999998</v>
          </cell>
          <cell r="BU292">
            <v>3847.4969999999998</v>
          </cell>
          <cell r="BX292">
            <v>407.5</v>
          </cell>
          <cell r="CD292">
            <v>4254.9969999999994</v>
          </cell>
          <cell r="CJ292">
            <v>0</v>
          </cell>
          <cell r="CL292">
            <v>620</v>
          </cell>
          <cell r="CP292">
            <v>620</v>
          </cell>
          <cell r="CQ292">
            <v>0</v>
          </cell>
          <cell r="CT292">
            <v>6515.8129999999992</v>
          </cell>
          <cell r="CU292">
            <v>0</v>
          </cell>
          <cell r="CX292">
            <v>6515.8129999999992</v>
          </cell>
          <cell r="FC292">
            <v>2.6459999999999999</v>
          </cell>
          <cell r="FF292">
            <v>2.6459999999999999</v>
          </cell>
          <cell r="FG292">
            <v>368.89449999999999</v>
          </cell>
          <cell r="FH292">
            <v>919</v>
          </cell>
          <cell r="FI292">
            <v>3961.39</v>
          </cell>
          <cell r="FK292">
            <v>433</v>
          </cell>
          <cell r="FN292">
            <v>4394.3900000000003</v>
          </cell>
          <cell r="FO292">
            <v>0</v>
          </cell>
          <cell r="FP292">
            <v>640</v>
          </cell>
          <cell r="FR292">
            <v>640</v>
          </cell>
          <cell r="FS292">
            <v>0</v>
          </cell>
          <cell r="FT292">
            <v>6324.9305000000004</v>
          </cell>
          <cell r="FV292">
            <v>6324.9305000000004</v>
          </cell>
          <cell r="FW292" t="str">
            <v>advertizment</v>
          </cell>
          <cell r="FX292">
            <v>4394.3900000000003</v>
          </cell>
          <cell r="FY292">
            <v>640</v>
          </cell>
          <cell r="GA292">
            <v>5034.3900000000003</v>
          </cell>
          <cell r="GB292">
            <v>5101.8986572459407</v>
          </cell>
          <cell r="GC292">
            <v>1290.5405000000001</v>
          </cell>
          <cell r="GD292">
            <v>1307.8460039987972</v>
          </cell>
          <cell r="GE292">
            <v>1290.5405000000001</v>
          </cell>
          <cell r="GF292">
            <v>4.035291644936529</v>
          </cell>
          <cell r="GG292">
            <v>3927.3792521227956</v>
          </cell>
          <cell r="GH292">
            <v>0</v>
          </cell>
        </row>
        <row r="293">
          <cell r="C293">
            <v>0.67900000000000005</v>
          </cell>
          <cell r="E293">
            <v>0</v>
          </cell>
          <cell r="G293">
            <v>0</v>
          </cell>
          <cell r="I293">
            <v>0.67900000000000005</v>
          </cell>
          <cell r="M293">
            <v>141.11237980769229</v>
          </cell>
          <cell r="O293">
            <v>1745</v>
          </cell>
          <cell r="Q293">
            <v>3232.5719999999997</v>
          </cell>
          <cell r="S293">
            <v>0</v>
          </cell>
          <cell r="U293">
            <v>3232.5719999999997</v>
          </cell>
          <cell r="W293">
            <v>0</v>
          </cell>
          <cell r="X293">
            <v>809</v>
          </cell>
          <cell r="Z293">
            <v>4.5069999999999997</v>
          </cell>
          <cell r="AB293">
            <v>0</v>
          </cell>
          <cell r="AD293">
            <v>4046.0789999999997</v>
          </cell>
          <cell r="AF293">
            <v>0</v>
          </cell>
          <cell r="AH293">
            <v>0</v>
          </cell>
          <cell r="AJ293">
            <v>0</v>
          </cell>
          <cell r="AL293">
            <v>1546.1419999999998</v>
          </cell>
          <cell r="AN293">
            <v>0</v>
          </cell>
          <cell r="AP293">
            <v>1546.1419999999998</v>
          </cell>
          <cell r="AR293">
            <v>0</v>
          </cell>
          <cell r="AT293">
            <v>7479.0123798076929</v>
          </cell>
          <cell r="AV293">
            <v>292.94599999999991</v>
          </cell>
          <cell r="AX293">
            <v>7771.9583798076928</v>
          </cell>
          <cell r="BC293">
            <v>2.5</v>
          </cell>
          <cell r="BE293">
            <v>0</v>
          </cell>
          <cell r="BG293">
            <v>0</v>
          </cell>
          <cell r="BI293">
            <v>2.5</v>
          </cell>
          <cell r="BM293">
            <v>593.88750000000005</v>
          </cell>
          <cell r="BO293">
            <v>7143</v>
          </cell>
          <cell r="BQ293">
            <v>12583.314</v>
          </cell>
          <cell r="BS293">
            <v>0</v>
          </cell>
          <cell r="BU293">
            <v>12583.314</v>
          </cell>
          <cell r="BW293">
            <v>0</v>
          </cell>
          <cell r="BX293">
            <v>3136.5</v>
          </cell>
          <cell r="BZ293">
            <v>20.782</v>
          </cell>
          <cell r="CB293">
            <v>0</v>
          </cell>
          <cell r="CD293">
            <v>15740.596</v>
          </cell>
          <cell r="CF293">
            <v>0</v>
          </cell>
          <cell r="CH293">
            <v>0</v>
          </cell>
          <cell r="CJ293">
            <v>0</v>
          </cell>
          <cell r="CL293">
            <v>6083</v>
          </cell>
          <cell r="CN293">
            <v>0</v>
          </cell>
          <cell r="CP293">
            <v>6083</v>
          </cell>
          <cell r="CQ293">
            <v>0</v>
          </cell>
          <cell r="CR293">
            <v>0</v>
          </cell>
          <cell r="CT293">
            <v>29562.983499999995</v>
          </cell>
          <cell r="CU293">
            <v>0</v>
          </cell>
          <cell r="CV293">
            <v>1062.2939999999999</v>
          </cell>
          <cell r="CX293">
            <v>30625.277499999997</v>
          </cell>
          <cell r="FC293">
            <v>2.6459999999999999</v>
          </cell>
          <cell r="FD293">
            <v>0</v>
          </cell>
          <cell r="FE293">
            <v>0</v>
          </cell>
          <cell r="FF293">
            <v>2.6459999999999999</v>
          </cell>
          <cell r="FG293">
            <v>587.02750000000003</v>
          </cell>
          <cell r="FH293">
            <v>7030</v>
          </cell>
          <cell r="FI293">
            <v>12923.784</v>
          </cell>
          <cell r="FJ293">
            <v>0</v>
          </cell>
          <cell r="FK293">
            <v>3294.5</v>
          </cell>
          <cell r="FL293">
            <v>19.78</v>
          </cell>
          <cell r="FM293">
            <v>0</v>
          </cell>
          <cell r="FN293">
            <v>16238.064000000002</v>
          </cell>
          <cell r="FO293">
            <v>0</v>
          </cell>
          <cell r="FP293">
            <v>6266.6</v>
          </cell>
          <cell r="FQ293">
            <v>0</v>
          </cell>
          <cell r="FR293">
            <v>6266.6</v>
          </cell>
          <cell r="FS293">
            <v>0</v>
          </cell>
          <cell r="FT293">
            <v>30124.337500000001</v>
          </cell>
          <cell r="FU293">
            <v>133.30299999999988</v>
          </cell>
          <cell r="FV293">
            <v>30257.640500000001</v>
          </cell>
          <cell r="FX293">
            <v>16238.064000000002</v>
          </cell>
          <cell r="FY293">
            <v>6266.6</v>
          </cell>
          <cell r="FZ293">
            <v>0</v>
          </cell>
          <cell r="GA293">
            <v>22504.664000000001</v>
          </cell>
          <cell r="GB293">
            <v>22806.440312206854</v>
          </cell>
          <cell r="GC293">
            <v>7752.9764999999998</v>
          </cell>
          <cell r="GD293">
            <v>7856.9400453698127</v>
          </cell>
          <cell r="GE293">
            <v>7752.9765000000007</v>
          </cell>
          <cell r="GF293">
            <v>3.8931809746449888</v>
          </cell>
          <cell r="GG293">
            <v>27750.117116917052</v>
          </cell>
          <cell r="GH293">
            <v>0</v>
          </cell>
        </row>
        <row r="294">
          <cell r="A294" t="str">
            <v>ADM. &amp;GENERAL</v>
          </cell>
          <cell r="AT294">
            <v>0</v>
          </cell>
          <cell r="AZ294" t="str">
            <v>ADM. &amp;GENERAL</v>
          </cell>
          <cell r="CD294">
            <v>0</v>
          </cell>
          <cell r="CQ294">
            <v>0</v>
          </cell>
          <cell r="CT294">
            <v>0</v>
          </cell>
          <cell r="CU294">
            <v>0</v>
          </cell>
          <cell r="FS294">
            <v>0</v>
          </cell>
          <cell r="FW294" t="str">
            <v>ADM. &amp;GENERAL</v>
          </cell>
          <cell r="FX294">
            <v>0</v>
          </cell>
          <cell r="FY294">
            <v>0</v>
          </cell>
          <cell r="GA294">
            <v>0</v>
          </cell>
          <cell r="GB294">
            <v>0</v>
          </cell>
          <cell r="GC294">
            <v>0</v>
          </cell>
          <cell r="GD294">
            <v>0</v>
          </cell>
          <cell r="GE294">
            <v>0</v>
          </cell>
          <cell r="GF294" t="e">
            <v>#DIV/0!</v>
          </cell>
          <cell r="GH294">
            <v>0</v>
          </cell>
        </row>
        <row r="295">
          <cell r="A295" t="str">
            <v>salaries</v>
          </cell>
          <cell r="I295">
            <v>0</v>
          </cell>
          <cell r="M295">
            <v>48.925240384615385</v>
          </cell>
          <cell r="O295">
            <v>434.5</v>
          </cell>
          <cell r="Q295">
            <v>3124.01</v>
          </cell>
          <cell r="U295">
            <v>3124.01</v>
          </cell>
          <cell r="X295">
            <v>39</v>
          </cell>
          <cell r="AD295">
            <v>3163.01</v>
          </cell>
          <cell r="AH295">
            <v>0</v>
          </cell>
          <cell r="AJ295">
            <v>0</v>
          </cell>
          <cell r="AL295">
            <v>73.483000000000004</v>
          </cell>
          <cell r="AN295">
            <v>0</v>
          </cell>
          <cell r="AP295">
            <v>73.483000000000004</v>
          </cell>
          <cell r="AT295">
            <v>3719.9182403846157</v>
          </cell>
          <cell r="AX295">
            <v>3719.9182403846157</v>
          </cell>
          <cell r="AZ295" t="str">
            <v>salaries</v>
          </cell>
          <cell r="BI295">
            <v>0</v>
          </cell>
          <cell r="BM295">
            <v>194.01400000000001</v>
          </cell>
          <cell r="BO295">
            <v>1699.5</v>
          </cell>
          <cell r="BQ295">
            <v>12198.977000000001</v>
          </cell>
          <cell r="BU295">
            <v>12198.977000000001</v>
          </cell>
          <cell r="BX295">
            <v>205.5</v>
          </cell>
          <cell r="CD295">
            <v>12404.477000000001</v>
          </cell>
          <cell r="CH295">
            <v>0</v>
          </cell>
          <cell r="CJ295">
            <v>0</v>
          </cell>
          <cell r="CL295">
            <v>274</v>
          </cell>
          <cell r="CN295">
            <v>0</v>
          </cell>
          <cell r="CP295">
            <v>274</v>
          </cell>
          <cell r="CQ295">
            <v>0</v>
          </cell>
          <cell r="CT295">
            <v>14571.991</v>
          </cell>
          <cell r="CU295">
            <v>0</v>
          </cell>
          <cell r="CX295">
            <v>14571.991</v>
          </cell>
          <cell r="FG295">
            <v>203.529</v>
          </cell>
          <cell r="FH295">
            <v>1759</v>
          </cell>
          <cell r="FI295">
            <v>12911.478999999999</v>
          </cell>
          <cell r="FK295">
            <v>267.5</v>
          </cell>
          <cell r="FN295">
            <v>13178.978999999999</v>
          </cell>
          <cell r="FO295">
            <v>0</v>
          </cell>
          <cell r="FP295">
            <v>291</v>
          </cell>
          <cell r="FQ295">
            <v>0</v>
          </cell>
          <cell r="FR295">
            <v>291</v>
          </cell>
          <cell r="FS295">
            <v>0</v>
          </cell>
          <cell r="FT295">
            <v>15432.508</v>
          </cell>
          <cell r="FV295">
            <v>15432.508</v>
          </cell>
          <cell r="FW295" t="str">
            <v>salaries</v>
          </cell>
          <cell r="FX295">
            <v>13178.978999999999</v>
          </cell>
          <cell r="FY295">
            <v>291</v>
          </cell>
          <cell r="GA295">
            <v>13469.978999999999</v>
          </cell>
          <cell r="GB295">
            <v>13650.604695550208</v>
          </cell>
          <cell r="GC295">
            <v>1962.5290000000005</v>
          </cell>
          <cell r="GD295">
            <v>1988.8455343956707</v>
          </cell>
          <cell r="GE295">
            <v>1962.5290000000005</v>
          </cell>
          <cell r="GF295">
            <v>4.1486148357939117</v>
          </cell>
          <cell r="GG295">
            <v>16071.170438477417</v>
          </cell>
          <cell r="GH295">
            <v>0</v>
          </cell>
        </row>
        <row r="296">
          <cell r="A296" t="str">
            <v>management fees</v>
          </cell>
          <cell r="C296">
            <v>2000</v>
          </cell>
          <cell r="G296">
            <v>0</v>
          </cell>
          <cell r="I296">
            <v>2000</v>
          </cell>
          <cell r="M296" t="str">
            <v xml:space="preserve"> </v>
          </cell>
          <cell r="Q296">
            <v>3414.0410000000002</v>
          </cell>
          <cell r="U296">
            <v>3414.0410000000002</v>
          </cell>
          <cell r="X296">
            <v>1251</v>
          </cell>
          <cell r="Z296">
            <v>253.06</v>
          </cell>
          <cell r="AD296">
            <v>4918.1010000000006</v>
          </cell>
          <cell r="AJ296">
            <v>0</v>
          </cell>
          <cell r="AL296">
            <v>1964.895</v>
          </cell>
          <cell r="AN296">
            <v>-26.103999999999999</v>
          </cell>
          <cell r="AP296">
            <v>1938.7909999999999</v>
          </cell>
          <cell r="AT296">
            <v>8856.8919999999998</v>
          </cell>
          <cell r="AV296">
            <v>-4666.5209999999997</v>
          </cell>
          <cell r="AX296">
            <v>4190.3710000000001</v>
          </cell>
          <cell r="AZ296" t="str">
            <v>management fees</v>
          </cell>
          <cell r="BC296">
            <v>7601</v>
          </cell>
          <cell r="BI296">
            <v>7601</v>
          </cell>
          <cell r="BQ296">
            <v>14202.41</v>
          </cell>
          <cell r="BU296">
            <v>14202.41</v>
          </cell>
          <cell r="BX296">
            <v>5001</v>
          </cell>
          <cell r="CD296">
            <v>19203.41</v>
          </cell>
          <cell r="CH296">
            <v>0</v>
          </cell>
          <cell r="CJ296">
            <v>0</v>
          </cell>
          <cell r="CL296">
            <v>8174</v>
          </cell>
          <cell r="CN296">
            <v>-108.59399999999999</v>
          </cell>
          <cell r="CP296">
            <v>8065.4059999999999</v>
          </cell>
          <cell r="CQ296">
            <v>0</v>
          </cell>
          <cell r="CT296">
            <v>34869.815999999999</v>
          </cell>
          <cell r="CU296">
            <v>0</v>
          </cell>
          <cell r="CV296">
            <v>-29845.836500000001</v>
          </cell>
          <cell r="CX296">
            <v>5023.9794999999976</v>
          </cell>
          <cell r="FC296">
            <v>7986.7030000000004</v>
          </cell>
          <cell r="FE296">
            <v>0</v>
          </cell>
          <cell r="FF296">
            <v>7986.7030000000004</v>
          </cell>
          <cell r="FI296">
            <v>14202.41</v>
          </cell>
          <cell r="FK296">
            <v>5175.5</v>
          </cell>
          <cell r="FL296">
            <v>1014.394</v>
          </cell>
          <cell r="FN296">
            <v>20392.304</v>
          </cell>
          <cell r="FO296">
            <v>0</v>
          </cell>
          <cell r="FP296">
            <v>8174</v>
          </cell>
          <cell r="FQ296">
            <v>-108.59399999999999</v>
          </cell>
          <cell r="FR296">
            <v>8065.4059999999999</v>
          </cell>
          <cell r="FS296">
            <v>0</v>
          </cell>
          <cell r="FT296">
            <v>36444.413</v>
          </cell>
          <cell r="FU296">
            <v>-18322.3449554</v>
          </cell>
          <cell r="FV296">
            <v>18122.068044600001</v>
          </cell>
          <cell r="FW296" t="str">
            <v>management fees</v>
          </cell>
          <cell r="FX296">
            <v>20392.304</v>
          </cell>
          <cell r="FY296">
            <v>8065.4059999999999</v>
          </cell>
          <cell r="FZ296">
            <v>-18322.3449554</v>
          </cell>
          <cell r="GA296">
            <v>10135.365044599999</v>
          </cell>
          <cell r="GB296">
            <v>10271.275231307503</v>
          </cell>
          <cell r="GC296">
            <v>7986.7030000000013</v>
          </cell>
          <cell r="GD296">
            <v>8093.8007010823821</v>
          </cell>
          <cell r="GE296">
            <v>7986.7030000000013</v>
          </cell>
          <cell r="GF296">
            <v>4.3246929793567208</v>
          </cell>
          <cell r="GG296">
            <v>15820.448124101897</v>
          </cell>
          <cell r="GH296">
            <v>0</v>
          </cell>
        </row>
        <row r="297">
          <cell r="A297" t="str">
            <v>part.in exp.</v>
          </cell>
          <cell r="G297">
            <v>0</v>
          </cell>
          <cell r="I297">
            <v>0</v>
          </cell>
          <cell r="M297" t="str">
            <v xml:space="preserve"> </v>
          </cell>
          <cell r="Q297">
            <v>-2469</v>
          </cell>
          <cell r="U297">
            <v>-2469</v>
          </cell>
          <cell r="AD297">
            <v>-2469</v>
          </cell>
          <cell r="AJ297">
            <v>0</v>
          </cell>
          <cell r="AL297">
            <v>2468.7919999999999</v>
          </cell>
          <cell r="AN297">
            <v>0</v>
          </cell>
          <cell r="AP297">
            <v>2468.7919999999999</v>
          </cell>
          <cell r="AT297">
            <v>-0.20800000000008367</v>
          </cell>
          <cell r="AV297">
            <v>0</v>
          </cell>
          <cell r="AX297">
            <v>-0.20800000000008367</v>
          </cell>
          <cell r="AZ297" t="str">
            <v>part.in exp.</v>
          </cell>
          <cell r="BI297">
            <v>0</v>
          </cell>
          <cell r="BU297">
            <v>0</v>
          </cell>
          <cell r="BX297">
            <v>2473</v>
          </cell>
          <cell r="CD297">
            <v>2473</v>
          </cell>
          <cell r="CJ297">
            <v>0</v>
          </cell>
          <cell r="CL297">
            <v>9461</v>
          </cell>
          <cell r="CN297">
            <v>0</v>
          </cell>
          <cell r="CP297">
            <v>9461</v>
          </cell>
          <cell r="CQ297">
            <v>0</v>
          </cell>
          <cell r="CT297">
            <v>11934</v>
          </cell>
          <cell r="CU297">
            <v>0</v>
          </cell>
          <cell r="CV297">
            <v>0</v>
          </cell>
          <cell r="CX297">
            <v>11934</v>
          </cell>
          <cell r="FE297">
            <v>0</v>
          </cell>
          <cell r="FI297">
            <v>-9797</v>
          </cell>
          <cell r="FN297">
            <v>-9797</v>
          </cell>
          <cell r="FO297">
            <v>0</v>
          </cell>
          <cell r="FP297">
            <v>9883</v>
          </cell>
          <cell r="FQ297">
            <v>0</v>
          </cell>
          <cell r="FR297">
            <v>9883</v>
          </cell>
          <cell r="FS297">
            <v>0</v>
          </cell>
          <cell r="FT297">
            <v>86</v>
          </cell>
          <cell r="FU297">
            <v>-86</v>
          </cell>
          <cell r="FV297">
            <v>0</v>
          </cell>
          <cell r="FW297" t="str">
            <v>part.in exp.</v>
          </cell>
          <cell r="FX297">
            <v>-9797</v>
          </cell>
          <cell r="FY297">
            <v>9883</v>
          </cell>
          <cell r="GA297">
            <v>86</v>
          </cell>
          <cell r="GB297">
            <v>87.153217077570645</v>
          </cell>
          <cell r="GC297">
            <v>-86</v>
          </cell>
          <cell r="GD297">
            <v>-87.153217077570645</v>
          </cell>
          <cell r="GE297">
            <v>-86</v>
          </cell>
          <cell r="GF297">
            <v>0</v>
          </cell>
          <cell r="GG297">
            <v>-20.109156760287398</v>
          </cell>
          <cell r="GH297">
            <v>0</v>
          </cell>
        </row>
        <row r="298">
          <cell r="A298" t="str">
            <v>computer&amp;bookkeeping</v>
          </cell>
          <cell r="C298">
            <v>16.603999999999999</v>
          </cell>
          <cell r="I298">
            <v>16.603999999999999</v>
          </cell>
          <cell r="M298" t="str">
            <v xml:space="preserve"> </v>
          </cell>
          <cell r="Q298">
            <v>559.50400000000002</v>
          </cell>
          <cell r="U298">
            <v>559.50400000000002</v>
          </cell>
          <cell r="AD298">
            <v>559.50400000000002</v>
          </cell>
          <cell r="AJ298">
            <v>0</v>
          </cell>
          <cell r="AP298">
            <v>0</v>
          </cell>
          <cell r="AR298">
            <v>8.0350000000000001</v>
          </cell>
          <cell r="AT298">
            <v>584.14300000000003</v>
          </cell>
          <cell r="AX298">
            <v>584.14300000000003</v>
          </cell>
          <cell r="AZ298" t="str">
            <v>computer&amp;bookkeeping</v>
          </cell>
          <cell r="BC298">
            <v>67.92</v>
          </cell>
          <cell r="BI298">
            <v>67.92</v>
          </cell>
          <cell r="BQ298">
            <v>2209.35</v>
          </cell>
          <cell r="BU298">
            <v>2209.35</v>
          </cell>
          <cell r="CD298">
            <v>2209.35</v>
          </cell>
          <cell r="CJ298">
            <v>0</v>
          </cell>
          <cell r="CP298">
            <v>0</v>
          </cell>
          <cell r="CQ298">
            <v>0</v>
          </cell>
          <cell r="CR298">
            <v>30</v>
          </cell>
          <cell r="CT298">
            <v>2307.27</v>
          </cell>
          <cell r="CU298">
            <v>0</v>
          </cell>
          <cell r="CX298">
            <v>2307.27</v>
          </cell>
          <cell r="FC298">
            <v>68.847000000000008</v>
          </cell>
          <cell r="FF298">
            <v>68.847000000000008</v>
          </cell>
          <cell r="FI298">
            <v>2295.8829999999998</v>
          </cell>
          <cell r="FN298">
            <v>2295.8829999999998</v>
          </cell>
          <cell r="FO298">
            <v>0</v>
          </cell>
          <cell r="FR298">
            <v>0</v>
          </cell>
          <cell r="FS298">
            <v>31.581</v>
          </cell>
          <cell r="FT298">
            <v>2396.3110000000001</v>
          </cell>
          <cell r="FV298">
            <v>2396.3110000000001</v>
          </cell>
          <cell r="FW298" t="str">
            <v>computer&amp;bookkeeping</v>
          </cell>
          <cell r="FX298">
            <v>2295.8829999999998</v>
          </cell>
          <cell r="FY298">
            <v>0</v>
          </cell>
          <cell r="GA298">
            <v>2295.8829999999998</v>
          </cell>
          <cell r="GB298">
            <v>2326.6696451593502</v>
          </cell>
          <cell r="GC298">
            <v>100.42800000000034</v>
          </cell>
          <cell r="GD298">
            <v>101.77468935658482</v>
          </cell>
          <cell r="GE298">
            <v>100.42800000000034</v>
          </cell>
          <cell r="GF298">
            <v>4.102267766625638</v>
          </cell>
          <cell r="GG298">
            <v>1668.198401454712</v>
          </cell>
          <cell r="GH298">
            <v>0</v>
          </cell>
        </row>
        <row r="299">
          <cell r="A299" t="str">
            <v>office maint.&amp;other</v>
          </cell>
          <cell r="C299">
            <v>50</v>
          </cell>
          <cell r="I299">
            <v>50</v>
          </cell>
          <cell r="M299">
            <v>152.00901442307693</v>
          </cell>
          <cell r="O299">
            <v>274</v>
          </cell>
          <cell r="Q299">
            <v>2120.7580000000003</v>
          </cell>
          <cell r="U299">
            <v>2120.7580000000003</v>
          </cell>
          <cell r="X299">
            <v>-20.5</v>
          </cell>
          <cell r="AD299">
            <v>2100.2580000000003</v>
          </cell>
          <cell r="AJ299">
            <v>0</v>
          </cell>
          <cell r="AL299">
            <v>214.654</v>
          </cell>
          <cell r="AP299">
            <v>214.654</v>
          </cell>
          <cell r="AR299">
            <v>23.381</v>
          </cell>
          <cell r="AT299">
            <v>2814.3020144230773</v>
          </cell>
          <cell r="AX299">
            <v>2814.3020144230773</v>
          </cell>
          <cell r="AZ299" t="str">
            <v>office maint.&amp;other</v>
          </cell>
          <cell r="BI299">
            <v>0</v>
          </cell>
          <cell r="BM299">
            <v>401.9325</v>
          </cell>
          <cell r="BO299">
            <v>1153</v>
          </cell>
          <cell r="BQ299">
            <v>9334.0609999999997</v>
          </cell>
          <cell r="BU299">
            <v>9334.0609999999997</v>
          </cell>
          <cell r="BX299">
            <v>-71.5</v>
          </cell>
          <cell r="BZ299">
            <v>1.5489999999999999</v>
          </cell>
          <cell r="CD299">
            <v>9264.11</v>
          </cell>
          <cell r="CJ299">
            <v>0</v>
          </cell>
          <cell r="CL299">
            <v>765</v>
          </cell>
          <cell r="CP299">
            <v>765</v>
          </cell>
          <cell r="CQ299">
            <v>0</v>
          </cell>
          <cell r="CR299">
            <v>83.45</v>
          </cell>
          <cell r="CT299">
            <v>11667.492500000002</v>
          </cell>
          <cell r="CU299">
            <v>0</v>
          </cell>
          <cell r="CX299">
            <v>11667.492500000002</v>
          </cell>
          <cell r="FC299">
            <v>208.125</v>
          </cell>
          <cell r="FF299">
            <v>208.125</v>
          </cell>
          <cell r="FG299">
            <v>632.35749999999996</v>
          </cell>
          <cell r="FH299">
            <v>1208</v>
          </cell>
          <cell r="FI299">
            <v>9883.6530000000002</v>
          </cell>
          <cell r="FK299">
            <v>-68.5</v>
          </cell>
          <cell r="FN299">
            <v>9815.1530000000002</v>
          </cell>
          <cell r="FO299">
            <v>0</v>
          </cell>
          <cell r="FP299">
            <v>824.04</v>
          </cell>
          <cell r="FR299">
            <v>824.04</v>
          </cell>
          <cell r="FS299">
            <v>84.736999999999995</v>
          </cell>
          <cell r="FT299">
            <v>12772.4125</v>
          </cell>
          <cell r="FV299">
            <v>12772.4125</v>
          </cell>
          <cell r="FW299" t="str">
            <v>office maint.&amp;other</v>
          </cell>
          <cell r="FX299">
            <v>9815.1530000000002</v>
          </cell>
          <cell r="FY299">
            <v>824.04</v>
          </cell>
          <cell r="GA299">
            <v>10639.192999999999</v>
          </cell>
          <cell r="GB299">
            <v>10781.859268129885</v>
          </cell>
          <cell r="GC299">
            <v>2133.2195000000011</v>
          </cell>
          <cell r="GD299">
            <v>2161.8249088093817</v>
          </cell>
          <cell r="GE299">
            <v>2133.2195000000011</v>
          </cell>
          <cell r="GF299">
            <v>4.5383943992302136</v>
          </cell>
          <cell r="GG299">
            <v>7683.178266160252</v>
          </cell>
          <cell r="GH299">
            <v>0</v>
          </cell>
        </row>
        <row r="300">
          <cell r="A300" t="str">
            <v>car &amp; travel</v>
          </cell>
          <cell r="C300">
            <v>13.955</v>
          </cell>
          <cell r="I300">
            <v>13.955</v>
          </cell>
          <cell r="M300">
            <v>5.7054086538461535</v>
          </cell>
          <cell r="O300">
            <v>41</v>
          </cell>
          <cell r="Q300">
            <v>209.95699999999999</v>
          </cell>
          <cell r="U300">
            <v>209.95699999999999</v>
          </cell>
          <cell r="X300">
            <v>108</v>
          </cell>
          <cell r="AD300">
            <v>317.95699999999999</v>
          </cell>
          <cell r="AJ300">
            <v>0</v>
          </cell>
          <cell r="AL300">
            <v>2.1539999999999999</v>
          </cell>
          <cell r="AP300">
            <v>2.1539999999999999</v>
          </cell>
          <cell r="AT300">
            <v>380.77140865384615</v>
          </cell>
          <cell r="AX300">
            <v>380.77140865384615</v>
          </cell>
          <cell r="AZ300" t="str">
            <v>car &amp; travel</v>
          </cell>
          <cell r="BC300">
            <v>56.04</v>
          </cell>
          <cell r="BI300">
            <v>56.04</v>
          </cell>
          <cell r="BM300">
            <v>22.380500000000001</v>
          </cell>
          <cell r="BO300">
            <v>155</v>
          </cell>
          <cell r="BQ300">
            <v>762.74599999999998</v>
          </cell>
          <cell r="BU300">
            <v>762.74599999999998</v>
          </cell>
          <cell r="CD300">
            <v>762.74599999999998</v>
          </cell>
          <cell r="CJ300">
            <v>0</v>
          </cell>
          <cell r="CL300">
            <v>8</v>
          </cell>
          <cell r="CP300">
            <v>8</v>
          </cell>
          <cell r="CQ300">
            <v>0</v>
          </cell>
          <cell r="CT300">
            <v>1004.1664999999999</v>
          </cell>
          <cell r="CU300">
            <v>0</v>
          </cell>
          <cell r="CX300">
            <v>1004.1664999999999</v>
          </cell>
          <cell r="FC300">
            <v>56.04</v>
          </cell>
          <cell r="FF300">
            <v>56.04</v>
          </cell>
          <cell r="FG300">
            <v>23.734500000000001</v>
          </cell>
          <cell r="FH300">
            <v>163</v>
          </cell>
          <cell r="FI300">
            <v>846.62400000000002</v>
          </cell>
          <cell r="FK300">
            <v>496.5</v>
          </cell>
          <cell r="FN300">
            <v>1343.124</v>
          </cell>
          <cell r="FO300">
            <v>0</v>
          </cell>
          <cell r="FP300">
            <v>8.26</v>
          </cell>
          <cell r="FR300">
            <v>8.26</v>
          </cell>
          <cell r="FS300">
            <v>0</v>
          </cell>
          <cell r="FT300">
            <v>1594.1585</v>
          </cell>
          <cell r="FV300">
            <v>1594.1585</v>
          </cell>
          <cell r="FW300" t="str">
            <v>car &amp; travel</v>
          </cell>
          <cell r="FX300">
            <v>1343.124</v>
          </cell>
          <cell r="FY300">
            <v>8.26</v>
          </cell>
          <cell r="GA300">
            <v>1351.384</v>
          </cell>
          <cell r="GB300">
            <v>1369.5053849669271</v>
          </cell>
          <cell r="GC300">
            <v>242.77449999999999</v>
          </cell>
          <cell r="GD300">
            <v>246.02998487672878</v>
          </cell>
          <cell r="GE300">
            <v>242.77449999999999</v>
          </cell>
          <cell r="GF300">
            <v>4.1866549424913009</v>
          </cell>
          <cell r="GG300">
            <v>1608.7137005064444</v>
          </cell>
          <cell r="GH300">
            <v>0</v>
          </cell>
        </row>
        <row r="301">
          <cell r="A301" t="str">
            <v>amortization</v>
          </cell>
          <cell r="C301">
            <v>47.606999999999999</v>
          </cell>
          <cell r="G301">
            <v>-44.594999999999999</v>
          </cell>
          <cell r="I301">
            <v>3.0120000000000005</v>
          </cell>
          <cell r="M301" t="str">
            <v xml:space="preserve"> </v>
          </cell>
          <cell r="Q301">
            <v>345.161</v>
          </cell>
          <cell r="U301">
            <v>345.161</v>
          </cell>
          <cell r="W301">
            <v>3013</v>
          </cell>
          <cell r="X301">
            <v>34</v>
          </cell>
          <cell r="AB301">
            <v>-80.430000000000007</v>
          </cell>
          <cell r="AD301">
            <v>3311.7310000000002</v>
          </cell>
          <cell r="AJ301">
            <v>0</v>
          </cell>
          <cell r="AN301">
            <v>44.588000000000001</v>
          </cell>
          <cell r="AP301">
            <v>44.588000000000001</v>
          </cell>
          <cell r="AT301">
            <v>3359.3310000000006</v>
          </cell>
          <cell r="AV301">
            <v>167.05199999999999</v>
          </cell>
          <cell r="AX301">
            <v>3526.3830000000007</v>
          </cell>
          <cell r="AZ301" t="str">
            <v>amortization</v>
          </cell>
          <cell r="BC301">
            <v>117.58499999999999</v>
          </cell>
          <cell r="BG301">
            <v>-112.69</v>
          </cell>
          <cell r="BI301">
            <v>4.8949999999999996</v>
          </cell>
          <cell r="BQ301">
            <v>1139.7090000000001</v>
          </cell>
          <cell r="BU301">
            <v>1139.7090000000001</v>
          </cell>
          <cell r="BW301">
            <v>14599</v>
          </cell>
          <cell r="BX301">
            <v>101.5</v>
          </cell>
          <cell r="CD301">
            <v>15840.209000000001</v>
          </cell>
          <cell r="CH301">
            <v>0</v>
          </cell>
          <cell r="CJ301">
            <v>0</v>
          </cell>
          <cell r="CP301">
            <v>0</v>
          </cell>
          <cell r="CQ301">
            <v>0</v>
          </cell>
          <cell r="CT301">
            <v>15845.104000000001</v>
          </cell>
          <cell r="CU301">
            <v>0</v>
          </cell>
          <cell r="CV301">
            <v>582.15800000000002</v>
          </cell>
          <cell r="CX301">
            <v>16427.262000000002</v>
          </cell>
          <cell r="FC301">
            <v>237.04599999999999</v>
          </cell>
          <cell r="FE301">
            <v>-223.90199999999999</v>
          </cell>
          <cell r="FF301">
            <v>13.144000000000005</v>
          </cell>
          <cell r="FI301">
            <v>1196.809</v>
          </cell>
          <cell r="FJ301">
            <v>11433</v>
          </cell>
          <cell r="FK301">
            <v>206.5</v>
          </cell>
          <cell r="FN301">
            <v>12836.308999999999</v>
          </cell>
          <cell r="FO301">
            <v>0</v>
          </cell>
          <cell r="FR301">
            <v>0</v>
          </cell>
          <cell r="FS301">
            <v>0</v>
          </cell>
          <cell r="FT301">
            <v>12849.453</v>
          </cell>
          <cell r="FU301">
            <v>664.178</v>
          </cell>
          <cell r="FV301">
            <v>13513.630999999999</v>
          </cell>
          <cell r="FW301" t="str">
            <v>amortization</v>
          </cell>
          <cell r="FX301">
            <v>12836.308999999999</v>
          </cell>
          <cell r="FY301">
            <v>0</v>
          </cell>
          <cell r="GA301">
            <v>12836.308999999999</v>
          </cell>
          <cell r="GB301">
            <v>13008.437497113649</v>
          </cell>
          <cell r="GC301">
            <v>677.32200000000012</v>
          </cell>
          <cell r="GD301">
            <v>686.4045499699339</v>
          </cell>
          <cell r="GE301">
            <v>677.32200000000012</v>
          </cell>
          <cell r="GF301">
            <v>3.832150676769936</v>
          </cell>
          <cell r="GG301">
            <v>1738.0468125408231</v>
          </cell>
          <cell r="GH301">
            <v>0</v>
          </cell>
        </row>
        <row r="302">
          <cell r="A302" t="str">
            <v>depreciation</v>
          </cell>
          <cell r="I302">
            <v>0</v>
          </cell>
          <cell r="M302">
            <v>3.0771634615384613</v>
          </cell>
          <cell r="O302">
            <v>193</v>
          </cell>
          <cell r="Q302">
            <v>557.11800000000005</v>
          </cell>
          <cell r="U302">
            <v>557.11800000000005</v>
          </cell>
          <cell r="X302">
            <v>75</v>
          </cell>
          <cell r="Z302">
            <v>0.17299999999999999</v>
          </cell>
          <cell r="AB302">
            <v>80.430000000000007</v>
          </cell>
          <cell r="AD302">
            <v>712.721</v>
          </cell>
          <cell r="AJ302">
            <v>0</v>
          </cell>
          <cell r="AL302">
            <v>51.137999999999998</v>
          </cell>
          <cell r="AP302">
            <v>51.137999999999998</v>
          </cell>
          <cell r="AT302">
            <v>959.93616346153851</v>
          </cell>
          <cell r="AV302">
            <v>0</v>
          </cell>
          <cell r="AX302">
            <v>959.93616346153851</v>
          </cell>
          <cell r="AZ302" t="str">
            <v>depreciation</v>
          </cell>
          <cell r="BI302">
            <v>0</v>
          </cell>
          <cell r="BM302">
            <v>11.743499999999999</v>
          </cell>
          <cell r="BO302">
            <v>265</v>
          </cell>
          <cell r="BQ302">
            <v>1749.434</v>
          </cell>
          <cell r="BU302">
            <v>1749.434</v>
          </cell>
          <cell r="BX302">
            <v>260</v>
          </cell>
          <cell r="BZ302">
            <v>0.62</v>
          </cell>
          <cell r="CD302">
            <v>2010.0539999999999</v>
          </cell>
          <cell r="CJ302">
            <v>0</v>
          </cell>
          <cell r="CL302">
            <v>144</v>
          </cell>
          <cell r="CN302">
            <v>103</v>
          </cell>
          <cell r="CP302">
            <v>247</v>
          </cell>
          <cell r="CQ302">
            <v>0</v>
          </cell>
          <cell r="CT302">
            <v>2533.7975000000001</v>
          </cell>
          <cell r="CU302">
            <v>0</v>
          </cell>
          <cell r="CV302">
            <v>0</v>
          </cell>
          <cell r="CX302">
            <v>2533.7975000000001</v>
          </cell>
          <cell r="FG302">
            <v>12.801</v>
          </cell>
          <cell r="FH302">
            <v>765</v>
          </cell>
          <cell r="FI302">
            <v>2287.357</v>
          </cell>
          <cell r="FK302">
            <v>408</v>
          </cell>
          <cell r="FL302">
            <v>0.68600000000000005</v>
          </cell>
          <cell r="FN302">
            <v>2696.0430000000001</v>
          </cell>
          <cell r="FO302">
            <v>0</v>
          </cell>
          <cell r="FP302">
            <v>200</v>
          </cell>
          <cell r="FQ302">
            <v>194</v>
          </cell>
          <cell r="FR302">
            <v>394</v>
          </cell>
          <cell r="FS302">
            <v>0</v>
          </cell>
          <cell r="FT302">
            <v>3867.8440000000001</v>
          </cell>
          <cell r="FU302">
            <v>0</v>
          </cell>
          <cell r="FV302">
            <v>3867.8440000000001</v>
          </cell>
          <cell r="FW302" t="str">
            <v>depreciation</v>
          </cell>
          <cell r="FX302">
            <v>2696.0430000000001</v>
          </cell>
          <cell r="FY302">
            <v>394</v>
          </cell>
          <cell r="GA302">
            <v>3090.0430000000001</v>
          </cell>
          <cell r="GB302">
            <v>3131.4789343956704</v>
          </cell>
          <cell r="GC302">
            <v>777.80099999999993</v>
          </cell>
          <cell r="GD302">
            <v>788.23092321106424</v>
          </cell>
          <cell r="GE302">
            <v>777.80099999999993</v>
          </cell>
          <cell r="GF302">
            <v>4.0292720987326067</v>
          </cell>
          <cell r="GG302">
            <v>2539.2511655341327</v>
          </cell>
          <cell r="GH302">
            <v>0</v>
          </cell>
        </row>
        <row r="303">
          <cell r="A303" t="str">
            <v>professional fees</v>
          </cell>
          <cell r="C303">
            <v>141.12100000000001</v>
          </cell>
          <cell r="G303">
            <v>0</v>
          </cell>
          <cell r="I303">
            <v>141.12100000000001</v>
          </cell>
          <cell r="M303">
            <v>17.377524038461537</v>
          </cell>
          <cell r="O303">
            <v>113.5</v>
          </cell>
          <cell r="Q303">
            <v>1036.577</v>
          </cell>
          <cell r="U303">
            <v>1036.577</v>
          </cell>
          <cell r="X303">
            <v>106</v>
          </cell>
          <cell r="Z303">
            <v>6.4989999999999997</v>
          </cell>
          <cell r="AD303">
            <v>1149.076</v>
          </cell>
          <cell r="AF303">
            <v>8.9980000000000011</v>
          </cell>
          <cell r="AJ303">
            <v>8.9980000000000011</v>
          </cell>
          <cell r="AL303">
            <v>75.766000000000005</v>
          </cell>
          <cell r="AP303">
            <v>84.76400000000001</v>
          </cell>
          <cell r="AR303">
            <v>38.293999999999997</v>
          </cell>
          <cell r="AT303">
            <v>1544.1325240384617</v>
          </cell>
          <cell r="AV303">
            <v>0</v>
          </cell>
          <cell r="AX303">
            <v>1544.1325240384617</v>
          </cell>
          <cell r="AZ303" t="str">
            <v>professional fees</v>
          </cell>
          <cell r="BC303">
            <v>565.29399999999998</v>
          </cell>
          <cell r="BI303">
            <v>565.29399999999998</v>
          </cell>
          <cell r="BM303">
            <v>68.572500000000005</v>
          </cell>
          <cell r="BO303">
            <v>445.5</v>
          </cell>
          <cell r="BQ303">
            <v>4017.7750000000001</v>
          </cell>
          <cell r="BU303">
            <v>4017.7750000000001</v>
          </cell>
          <cell r="BX303">
            <v>414</v>
          </cell>
          <cell r="BZ303">
            <v>24.5</v>
          </cell>
          <cell r="CD303">
            <v>4456.2749999999996</v>
          </cell>
          <cell r="CF303">
            <v>37.417999999999999</v>
          </cell>
          <cell r="CH303">
            <v>0</v>
          </cell>
          <cell r="CJ303">
            <v>37.417999999999999</v>
          </cell>
          <cell r="CL303">
            <v>313</v>
          </cell>
          <cell r="CP303">
            <v>350.41800000000001</v>
          </cell>
          <cell r="CQ303">
            <v>0</v>
          </cell>
          <cell r="CR303">
            <v>151.845</v>
          </cell>
          <cell r="CT303">
            <v>6037.9044999999996</v>
          </cell>
          <cell r="CU303">
            <v>0</v>
          </cell>
          <cell r="CV303">
            <v>0</v>
          </cell>
          <cell r="CX303">
            <v>6037.9044999999996</v>
          </cell>
          <cell r="FC303">
            <v>568.76400000000001</v>
          </cell>
          <cell r="FE303">
            <v>0</v>
          </cell>
          <cell r="FF303">
            <v>568.76400000000001</v>
          </cell>
          <cell r="FG303">
            <v>72.290499999999994</v>
          </cell>
          <cell r="FH303">
            <v>460</v>
          </cell>
          <cell r="FI303">
            <v>4165.6379999999999</v>
          </cell>
          <cell r="FK303">
            <v>447</v>
          </cell>
          <cell r="FL303">
            <v>25.898</v>
          </cell>
          <cell r="FN303">
            <v>4638.5360000000001</v>
          </cell>
          <cell r="FO303">
            <v>39.358000000000004</v>
          </cell>
          <cell r="FP303">
            <v>290.7</v>
          </cell>
          <cell r="FR303">
            <v>330.05799999999999</v>
          </cell>
          <cell r="FS303">
            <v>158.06300000000002</v>
          </cell>
          <cell r="FT303">
            <v>6227.7115000000003</v>
          </cell>
          <cell r="FU303">
            <v>0</v>
          </cell>
          <cell r="FV303">
            <v>6227.7115000000003</v>
          </cell>
          <cell r="FW303" t="str">
            <v>professional fees</v>
          </cell>
          <cell r="FX303">
            <v>4638.5360000000001</v>
          </cell>
          <cell r="FY303">
            <v>330.05799999999999</v>
          </cell>
          <cell r="GA303">
            <v>4968.5940000000001</v>
          </cell>
          <cell r="GB303">
            <v>5035.2203657245936</v>
          </cell>
          <cell r="GC303">
            <v>1259.1175000000001</v>
          </cell>
          <cell r="GD303">
            <v>1276.0016372519544</v>
          </cell>
          <cell r="GE303">
            <v>1259.1175000000001</v>
          </cell>
          <cell r="GF303">
            <v>4.0331457326682658</v>
          </cell>
          <cell r="GG303">
            <v>3093.5960215545397</v>
          </cell>
          <cell r="GH303">
            <v>0</v>
          </cell>
        </row>
        <row r="304">
          <cell r="A304" t="str">
            <v>other</v>
          </cell>
          <cell r="I304">
            <v>0</v>
          </cell>
          <cell r="U304">
            <v>0</v>
          </cell>
          <cell r="AD304">
            <v>0</v>
          </cell>
          <cell r="AJ304">
            <v>0</v>
          </cell>
          <cell r="AP304">
            <v>0</v>
          </cell>
          <cell r="AT304">
            <v>0</v>
          </cell>
          <cell r="AX304">
            <v>0</v>
          </cell>
          <cell r="AZ304" t="str">
            <v>other</v>
          </cell>
          <cell r="BC304">
            <v>208</v>
          </cell>
          <cell r="BI304">
            <v>208</v>
          </cell>
          <cell r="BM304">
            <v>200.072</v>
          </cell>
          <cell r="BO304">
            <v>1043</v>
          </cell>
          <cell r="BU304">
            <v>0</v>
          </cell>
          <cell r="BX304">
            <v>443</v>
          </cell>
          <cell r="CD304">
            <v>443</v>
          </cell>
          <cell r="CJ304">
            <v>0</v>
          </cell>
          <cell r="CL304">
            <v>22</v>
          </cell>
          <cell r="CP304">
            <v>22</v>
          </cell>
          <cell r="CQ304">
            <v>0</v>
          </cell>
          <cell r="CR304">
            <v>5.7780000000000005</v>
          </cell>
          <cell r="CT304">
            <v>1921.85</v>
          </cell>
          <cell r="CU304">
            <v>0</v>
          </cell>
          <cell r="CX304">
            <v>1921.85</v>
          </cell>
          <cell r="FF304">
            <v>0</v>
          </cell>
          <cell r="FN304">
            <v>0</v>
          </cell>
          <cell r="FO304">
            <v>0</v>
          </cell>
          <cell r="FR304">
            <v>0</v>
          </cell>
          <cell r="FS304">
            <v>5.9809999999999999</v>
          </cell>
          <cell r="FT304">
            <v>5.9809999999999999</v>
          </cell>
          <cell r="FV304">
            <v>5.9809999999999999</v>
          </cell>
          <cell r="FW304" t="str">
            <v>other</v>
          </cell>
          <cell r="FX304">
            <v>0</v>
          </cell>
          <cell r="FY304">
            <v>0</v>
          </cell>
          <cell r="GA304">
            <v>0</v>
          </cell>
          <cell r="GB304">
            <v>0</v>
          </cell>
          <cell r="GC304">
            <v>5.9809999999999999</v>
          </cell>
          <cell r="GD304">
            <v>6.0612022248947683</v>
          </cell>
          <cell r="GE304">
            <v>5.9809999999999999</v>
          </cell>
          <cell r="GF304" t="e">
            <v>#DIV/0!</v>
          </cell>
          <cell r="GG304">
            <v>1949.5964213137113</v>
          </cell>
          <cell r="GH304">
            <v>0</v>
          </cell>
        </row>
        <row r="305">
          <cell r="A305" t="str">
            <v>part.in exp. others</v>
          </cell>
          <cell r="C305">
            <v>0</v>
          </cell>
          <cell r="G305">
            <v>0</v>
          </cell>
          <cell r="I305">
            <v>0</v>
          </cell>
          <cell r="M305" t="str">
            <v xml:space="preserve"> </v>
          </cell>
          <cell r="Q305">
            <v>-1397.8729999999996</v>
          </cell>
          <cell r="S305" t="str">
            <v xml:space="preserve"> </v>
          </cell>
          <cell r="U305">
            <v>-1397.8729999999996</v>
          </cell>
          <cell r="X305">
            <v>643</v>
          </cell>
          <cell r="AD305">
            <v>-754.87299999999959</v>
          </cell>
          <cell r="AJ305">
            <v>0</v>
          </cell>
          <cell r="AP305">
            <v>0</v>
          </cell>
          <cell r="AT305">
            <v>-754.87299999999959</v>
          </cell>
          <cell r="AV305">
            <v>-23.464999999999691</v>
          </cell>
          <cell r="AX305">
            <v>-778.33799999999928</v>
          </cell>
          <cell r="AZ305" t="str">
            <v>part.in exp. others</v>
          </cell>
          <cell r="BQ305">
            <v>-14922.218000000001</v>
          </cell>
          <cell r="BU305">
            <v>-14922.218000000001</v>
          </cell>
          <cell r="BZ305">
            <v>964.30399999999997</v>
          </cell>
          <cell r="CD305">
            <v>-13957.914000000001</v>
          </cell>
          <cell r="CJ305">
            <v>0</v>
          </cell>
          <cell r="CP305">
            <v>0</v>
          </cell>
          <cell r="CQ305">
            <v>0</v>
          </cell>
          <cell r="CT305">
            <v>-13957.914000000001</v>
          </cell>
          <cell r="CU305">
            <v>0</v>
          </cell>
          <cell r="CV305">
            <v>9.0020000000004075</v>
          </cell>
          <cell r="CX305">
            <v>-13948.912</v>
          </cell>
          <cell r="FE305">
            <v>0</v>
          </cell>
          <cell r="FI305">
            <v>-5547.25</v>
          </cell>
          <cell r="FK305">
            <v>2602</v>
          </cell>
          <cell r="FN305">
            <v>-2945.25</v>
          </cell>
          <cell r="FO305">
            <v>0</v>
          </cell>
          <cell r="FS305">
            <v>0</v>
          </cell>
          <cell r="FT305">
            <v>-2945.25</v>
          </cell>
          <cell r="FV305">
            <v>-2945.25</v>
          </cell>
          <cell r="FW305" t="str">
            <v>part.in exp. others</v>
          </cell>
          <cell r="FX305">
            <v>-2945.25</v>
          </cell>
          <cell r="FY305">
            <v>0</v>
          </cell>
          <cell r="GA305">
            <v>-2945.25</v>
          </cell>
          <cell r="GB305">
            <v>-2984.7443325315689</v>
          </cell>
          <cell r="GC305">
            <v>0</v>
          </cell>
          <cell r="GD305">
            <v>0</v>
          </cell>
          <cell r="GE305">
            <v>0</v>
          </cell>
          <cell r="GF305">
            <v>3.7840244212668566</v>
          </cell>
          <cell r="GG305">
            <v>0</v>
          </cell>
          <cell r="GH305">
            <v>0</v>
          </cell>
        </row>
        <row r="306">
          <cell r="C306">
            <v>2269.2870000000003</v>
          </cell>
          <cell r="E306">
            <v>0</v>
          </cell>
          <cell r="G306">
            <v>-44.594999999999999</v>
          </cell>
          <cell r="I306">
            <v>2224.6920000000005</v>
          </cell>
          <cell r="M306">
            <v>227.09435096153848</v>
          </cell>
          <cell r="O306">
            <v>1056</v>
          </cell>
          <cell r="Q306">
            <v>7500.2530000000006</v>
          </cell>
          <cell r="S306">
            <v>0</v>
          </cell>
          <cell r="U306">
            <v>7500.2530000000006</v>
          </cell>
          <cell r="W306">
            <v>3013</v>
          </cell>
          <cell r="X306">
            <v>2235.5</v>
          </cell>
          <cell r="Z306">
            <v>259.73200000000003</v>
          </cell>
          <cell r="AB306">
            <v>0</v>
          </cell>
          <cell r="AD306">
            <v>13008.485000000001</v>
          </cell>
          <cell r="AF306">
            <v>8.9980000000000011</v>
          </cell>
          <cell r="AH306">
            <v>0</v>
          </cell>
          <cell r="AJ306">
            <v>8.9980000000000011</v>
          </cell>
          <cell r="AL306">
            <v>4850.8820000000005</v>
          </cell>
          <cell r="AN306">
            <v>18.484000000000002</v>
          </cell>
          <cell r="AP306">
            <v>4878.3639999999996</v>
          </cell>
          <cell r="AR306">
            <v>69.709999999999994</v>
          </cell>
          <cell r="AT306">
            <v>21464.345350961539</v>
          </cell>
          <cell r="AV306">
            <v>-4522.9339999999993</v>
          </cell>
          <cell r="AX306">
            <v>16941.411350961538</v>
          </cell>
          <cell r="BC306">
            <v>8615.8389999999999</v>
          </cell>
          <cell r="BE306">
            <v>0</v>
          </cell>
          <cell r="BG306">
            <v>-112.69</v>
          </cell>
          <cell r="BI306">
            <v>8503.1490000000013</v>
          </cell>
          <cell r="BM306">
            <v>898.71500000000003</v>
          </cell>
          <cell r="BO306">
            <v>4761</v>
          </cell>
          <cell r="BQ306">
            <v>30692.244000000006</v>
          </cell>
          <cell r="BS306">
            <v>0</v>
          </cell>
          <cell r="BU306">
            <v>30692.244000000006</v>
          </cell>
          <cell r="BW306">
            <v>14599</v>
          </cell>
          <cell r="BX306">
            <v>8826.5</v>
          </cell>
          <cell r="BZ306">
            <v>990.97299999999996</v>
          </cell>
          <cell r="CB306">
            <v>0</v>
          </cell>
          <cell r="CD306">
            <v>55108.717000000004</v>
          </cell>
          <cell r="CF306">
            <v>37.417999999999999</v>
          </cell>
          <cell r="CH306">
            <v>0</v>
          </cell>
          <cell r="CJ306">
            <v>37.417999999999999</v>
          </cell>
          <cell r="CL306">
            <v>19161</v>
          </cell>
          <cell r="CN306">
            <v>-5.5939999999999941</v>
          </cell>
          <cell r="CP306">
            <v>19192.824000000001</v>
          </cell>
          <cell r="CQ306">
            <v>0</v>
          </cell>
          <cell r="CR306">
            <v>271</v>
          </cell>
          <cell r="CT306">
            <v>88735.478000000017</v>
          </cell>
          <cell r="CU306">
            <v>-7.3000000018510036E-2</v>
          </cell>
          <cell r="CV306">
            <v>-29254.676500000001</v>
          </cell>
          <cell r="CX306">
            <v>59480.801500000001</v>
          </cell>
          <cell r="FC306">
            <v>9125.5249999999996</v>
          </cell>
          <cell r="FD306">
            <v>0</v>
          </cell>
          <cell r="FE306">
            <v>-223.90199999999999</v>
          </cell>
          <cell r="FF306">
            <v>8901.6229999999996</v>
          </cell>
          <cell r="FG306">
            <v>944.71249999999998</v>
          </cell>
          <cell r="FH306">
            <v>4355</v>
          </cell>
          <cell r="FI306">
            <v>32445.602999999996</v>
          </cell>
          <cell r="FJ306">
            <v>11433</v>
          </cell>
          <cell r="FK306">
            <v>9534.5</v>
          </cell>
          <cell r="FL306">
            <v>1040.9780000000001</v>
          </cell>
          <cell r="FM306">
            <v>0</v>
          </cell>
          <cell r="FN306">
            <v>54454.080999999998</v>
          </cell>
          <cell r="FO306">
            <v>39.358000000000004</v>
          </cell>
          <cell r="FP306">
            <v>19671</v>
          </cell>
          <cell r="FQ306">
            <v>85.406000000000006</v>
          </cell>
          <cell r="FR306">
            <v>19795.763999999999</v>
          </cell>
          <cell r="FS306">
            <v>280.36200000000002</v>
          </cell>
          <cell r="FT306">
            <v>88731.54250000001</v>
          </cell>
          <cell r="FU306">
            <v>-17744.1669554</v>
          </cell>
          <cell r="FV306">
            <v>70987.3755446</v>
          </cell>
          <cell r="FX306">
            <v>54454.080999999998</v>
          </cell>
          <cell r="FY306">
            <v>19795.763999999999</v>
          </cell>
          <cell r="FZ306">
            <v>-18322.3449554</v>
          </cell>
          <cell r="GA306">
            <v>55927.50004459999</v>
          </cell>
          <cell r="GB306">
            <v>56677.45990689379</v>
          </cell>
          <cell r="GC306">
            <v>15059.875500000002</v>
          </cell>
          <cell r="GD306">
            <v>15261.820914101025</v>
          </cell>
          <cell r="GE306">
            <v>15059.875500000009</v>
          </cell>
          <cell r="GF306">
            <v>4.1901689342175725</v>
          </cell>
          <cell r="GG306">
            <v>52152.090194883647</v>
          </cell>
          <cell r="GH306">
            <v>0</v>
          </cell>
        </row>
        <row r="307">
          <cell r="A307" t="str">
            <v>FINANCING</v>
          </cell>
          <cell r="AT307">
            <v>0</v>
          </cell>
          <cell r="AZ307" t="str">
            <v>FINANCING</v>
          </cell>
          <cell r="CD307">
            <v>0</v>
          </cell>
          <cell r="CQ307">
            <v>0</v>
          </cell>
          <cell r="CR307" t="str">
            <v xml:space="preserve"> </v>
          </cell>
          <cell r="CT307">
            <v>0</v>
          </cell>
          <cell r="CU307">
            <v>0</v>
          </cell>
          <cell r="FS307">
            <v>0</v>
          </cell>
          <cell r="FW307" t="str">
            <v>FINANCING</v>
          </cell>
          <cell r="FX307">
            <v>0</v>
          </cell>
          <cell r="FY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 t="e">
            <v>#DIV/0!</v>
          </cell>
          <cell r="GH307">
            <v>0</v>
          </cell>
        </row>
        <row r="308">
          <cell r="A308" t="str">
            <v>income from others</v>
          </cell>
          <cell r="E308">
            <v>0</v>
          </cell>
          <cell r="G308">
            <v>0</v>
          </cell>
          <cell r="I308">
            <v>0</v>
          </cell>
          <cell r="Q308">
            <v>-264.50800000000004</v>
          </cell>
          <cell r="U308">
            <v>-264.50800000000004</v>
          </cell>
          <cell r="Z308">
            <v>-1.496</v>
          </cell>
          <cell r="AD308">
            <v>-266.00400000000002</v>
          </cell>
          <cell r="AJ308">
            <v>0</v>
          </cell>
          <cell r="AL308">
            <v>107</v>
          </cell>
          <cell r="AP308">
            <v>107</v>
          </cell>
          <cell r="AT308">
            <v>-159.00400000000002</v>
          </cell>
          <cell r="AX308">
            <v>-159.00400000000002</v>
          </cell>
          <cell r="AZ308" t="str">
            <v>income from others</v>
          </cell>
          <cell r="BI308">
            <v>0</v>
          </cell>
          <cell r="BQ308">
            <v>-324.72000000000003</v>
          </cell>
          <cell r="BU308">
            <v>-324.72000000000003</v>
          </cell>
          <cell r="BZ308">
            <v>-5.7670000000000003</v>
          </cell>
          <cell r="CD308">
            <v>-330.48700000000002</v>
          </cell>
          <cell r="CJ308">
            <v>0</v>
          </cell>
          <cell r="CL308">
            <v>-1794</v>
          </cell>
          <cell r="CP308">
            <v>-1794</v>
          </cell>
          <cell r="CQ308">
            <v>0</v>
          </cell>
          <cell r="CT308">
            <v>-2124.4870000000001</v>
          </cell>
          <cell r="CU308">
            <v>0</v>
          </cell>
          <cell r="CV308">
            <v>0</v>
          </cell>
          <cell r="CX308">
            <v>-2124.4870000000001</v>
          </cell>
          <cell r="FE308">
            <v>0</v>
          </cell>
          <cell r="FI308">
            <v>-1019.6020000000001</v>
          </cell>
          <cell r="FL308">
            <v>-24.073</v>
          </cell>
          <cell r="FN308">
            <v>-1043.675</v>
          </cell>
          <cell r="FO308">
            <v>0</v>
          </cell>
          <cell r="FP308">
            <v>-426</v>
          </cell>
          <cell r="FR308">
            <v>-426</v>
          </cell>
          <cell r="FS308">
            <v>0</v>
          </cell>
          <cell r="FT308">
            <v>-1469.675</v>
          </cell>
          <cell r="FU308">
            <v>0</v>
          </cell>
          <cell r="FV308">
            <v>-1469.675</v>
          </cell>
          <cell r="FW308" t="str">
            <v>income from others</v>
          </cell>
          <cell r="FX308">
            <v>-1043.675</v>
          </cell>
          <cell r="FY308">
            <v>-426</v>
          </cell>
          <cell r="GA308">
            <v>-1469.675</v>
          </cell>
          <cell r="GB308">
            <v>-1489.382608238124</v>
          </cell>
          <cell r="GC308">
            <v>0</v>
          </cell>
          <cell r="GD308">
            <v>0</v>
          </cell>
          <cell r="GE308">
            <v>0</v>
          </cell>
          <cell r="GF308">
            <v>9.2430064652461574</v>
          </cell>
          <cell r="GG308">
            <v>-51.734398432397136</v>
          </cell>
          <cell r="GH308">
            <v>0</v>
          </cell>
        </row>
        <row r="309">
          <cell r="A309" t="str">
            <v>Affiliated(Icp&amp;GL)</v>
          </cell>
          <cell r="C309">
            <v>0</v>
          </cell>
          <cell r="E309">
            <v>0</v>
          </cell>
          <cell r="I309">
            <v>0</v>
          </cell>
          <cell r="Q309">
            <v>-24.128</v>
          </cell>
          <cell r="U309">
            <v>-24.128</v>
          </cell>
          <cell r="AD309">
            <v>-24.128</v>
          </cell>
          <cell r="AJ309">
            <v>0</v>
          </cell>
          <cell r="AP309">
            <v>0</v>
          </cell>
          <cell r="AT309">
            <v>-24.128</v>
          </cell>
          <cell r="AV309">
            <v>0</v>
          </cell>
          <cell r="AX309">
            <v>-24.128</v>
          </cell>
          <cell r="AZ309" t="str">
            <v>Affiliated(I.C.P.)</v>
          </cell>
          <cell r="BI309">
            <v>0</v>
          </cell>
          <cell r="BQ309">
            <v>-242.65700000000001</v>
          </cell>
          <cell r="BU309">
            <v>-242.65700000000001</v>
          </cell>
          <cell r="CD309">
            <v>-242.65700000000001</v>
          </cell>
          <cell r="CJ309">
            <v>0</v>
          </cell>
          <cell r="CP309">
            <v>0</v>
          </cell>
          <cell r="CQ309">
            <v>0</v>
          </cell>
          <cell r="CT309">
            <v>-242.65700000000001</v>
          </cell>
          <cell r="CU309">
            <v>0</v>
          </cell>
          <cell r="CV309">
            <v>0</v>
          </cell>
          <cell r="CX309">
            <v>-242.65700000000001</v>
          </cell>
          <cell r="FI309">
            <v>-281.99400000000003</v>
          </cell>
          <cell r="FN309">
            <v>-281.99400000000003</v>
          </cell>
          <cell r="FO309">
            <v>0</v>
          </cell>
          <cell r="FR309">
            <v>0</v>
          </cell>
          <cell r="FS309">
            <v>0</v>
          </cell>
          <cell r="FT309">
            <v>-281.99400000000003</v>
          </cell>
          <cell r="FU309">
            <v>0</v>
          </cell>
          <cell r="FV309">
            <v>-281.99400000000003</v>
          </cell>
          <cell r="FW309" t="str">
            <v>Affiliated(Icp&amp;GL)</v>
          </cell>
          <cell r="FX309">
            <v>-281.99400000000003</v>
          </cell>
          <cell r="FY309">
            <v>0</v>
          </cell>
          <cell r="GA309">
            <v>-281.99400000000003</v>
          </cell>
          <cell r="GB309">
            <v>-285.77539879735417</v>
          </cell>
          <cell r="GC309">
            <v>0</v>
          </cell>
          <cell r="GD309">
            <v>0</v>
          </cell>
          <cell r="GE309">
            <v>0</v>
          </cell>
          <cell r="GF309">
            <v>11.687417108753317</v>
          </cell>
          <cell r="GG309">
            <v>-1551.5159993468324</v>
          </cell>
          <cell r="GH309">
            <v>0</v>
          </cell>
        </row>
        <row r="310">
          <cell r="A310" t="str">
            <v>income tax</v>
          </cell>
          <cell r="C310">
            <v>37.737000000000002</v>
          </cell>
          <cell r="E310">
            <v>0</v>
          </cell>
          <cell r="G310">
            <v>5.3665775279637842</v>
          </cell>
          <cell r="I310">
            <v>43.103577527963786</v>
          </cell>
          <cell r="M310" t="str">
            <v xml:space="preserve"> </v>
          </cell>
          <cell r="U310">
            <v>0</v>
          </cell>
          <cell r="X310">
            <v>4</v>
          </cell>
          <cell r="Z310">
            <v>-1</v>
          </cell>
          <cell r="AD310">
            <v>3</v>
          </cell>
          <cell r="AJ310">
            <v>0</v>
          </cell>
          <cell r="AL310">
            <v>-54</v>
          </cell>
          <cell r="AP310">
            <v>-54</v>
          </cell>
          <cell r="AT310">
            <v>-7.8964224720362139</v>
          </cell>
          <cell r="AV310">
            <v>0</v>
          </cell>
          <cell r="AX310">
            <v>-7.8964224720362139</v>
          </cell>
          <cell r="AZ310" t="str">
            <v>income tax</v>
          </cell>
          <cell r="BC310">
            <v>-29.710999999999999</v>
          </cell>
          <cell r="BE310">
            <v>0</v>
          </cell>
          <cell r="BG310">
            <v>-2095.827593584715</v>
          </cell>
          <cell r="BI310">
            <v>-2125.5385935847148</v>
          </cell>
          <cell r="BU310">
            <v>0</v>
          </cell>
          <cell r="CD310">
            <v>0</v>
          </cell>
          <cell r="CJ310">
            <v>0</v>
          </cell>
          <cell r="CL310">
            <v>-220</v>
          </cell>
          <cell r="CP310">
            <v>-220</v>
          </cell>
          <cell r="CQ310">
            <v>0</v>
          </cell>
          <cell r="CT310">
            <v>-2345.5385935847148</v>
          </cell>
          <cell r="CU310">
            <v>0</v>
          </cell>
          <cell r="CV310">
            <v>0</v>
          </cell>
          <cell r="CX310">
            <v>-2345.5385935847148</v>
          </cell>
          <cell r="FC310">
            <v>-32.189</v>
          </cell>
          <cell r="FE310">
            <v>-1179.2836854547563</v>
          </cell>
          <cell r="FF310">
            <v>-1211.4726854547564</v>
          </cell>
          <cell r="FN310">
            <v>0</v>
          </cell>
          <cell r="FO310">
            <v>0</v>
          </cell>
          <cell r="FP310">
            <v>-220</v>
          </cell>
          <cell r="FR310">
            <v>-220</v>
          </cell>
          <cell r="FS310">
            <v>0</v>
          </cell>
          <cell r="FT310">
            <v>-1431.4726854547564</v>
          </cell>
          <cell r="FU310">
            <v>0</v>
          </cell>
          <cell r="FV310">
            <v>-1431.4726854547564</v>
          </cell>
          <cell r="FW310" t="str">
            <v>income tax</v>
          </cell>
          <cell r="FX310">
            <v>0</v>
          </cell>
          <cell r="FY310">
            <v>-220</v>
          </cell>
          <cell r="GA310">
            <v>-220</v>
          </cell>
          <cell r="GB310">
            <v>-222.95009019843653</v>
          </cell>
          <cell r="GC310">
            <v>-1211.4726854547564</v>
          </cell>
          <cell r="GD310">
            <v>-1227.7179295230915</v>
          </cell>
          <cell r="GE310">
            <v>-1211.4726854547564</v>
          </cell>
          <cell r="GF310">
            <v>181.28116758241649</v>
          </cell>
          <cell r="GG310">
            <v>0</v>
          </cell>
          <cell r="GH310">
            <v>0</v>
          </cell>
        </row>
        <row r="311">
          <cell r="A311" t="str">
            <v>capital notes/loans</v>
          </cell>
          <cell r="C311">
            <v>0</v>
          </cell>
          <cell r="E311">
            <v>0</v>
          </cell>
          <cell r="G311">
            <v>0</v>
          </cell>
          <cell r="I311">
            <v>0</v>
          </cell>
          <cell r="M311" t="str">
            <v xml:space="preserve"> </v>
          </cell>
          <cell r="U311">
            <v>0</v>
          </cell>
          <cell r="AD311">
            <v>0</v>
          </cell>
          <cell r="AJ311">
            <v>0</v>
          </cell>
          <cell r="AL311">
            <v>-1749</v>
          </cell>
          <cell r="AP311">
            <v>-1749</v>
          </cell>
          <cell r="AT311">
            <v>-1749</v>
          </cell>
          <cell r="AV311">
            <v>0</v>
          </cell>
          <cell r="AX311">
            <v>-1749</v>
          </cell>
          <cell r="AZ311" t="str">
            <v>capital notes/loans</v>
          </cell>
          <cell r="BI311">
            <v>0</v>
          </cell>
          <cell r="BU311">
            <v>0</v>
          </cell>
          <cell r="CD311">
            <v>0</v>
          </cell>
          <cell r="CJ311">
            <v>0</v>
          </cell>
          <cell r="CL311">
            <v>14758</v>
          </cell>
          <cell r="CP311">
            <v>14758</v>
          </cell>
          <cell r="CQ311">
            <v>0</v>
          </cell>
          <cell r="CT311">
            <v>14758</v>
          </cell>
          <cell r="CU311">
            <v>0</v>
          </cell>
          <cell r="CV311">
            <v>0</v>
          </cell>
          <cell r="CX311">
            <v>14758</v>
          </cell>
          <cell r="FE311">
            <v>0</v>
          </cell>
          <cell r="FN311">
            <v>0</v>
          </cell>
          <cell r="FO311">
            <v>0</v>
          </cell>
          <cell r="FP311">
            <v>4993</v>
          </cell>
          <cell r="FR311">
            <v>4993</v>
          </cell>
          <cell r="FS311">
            <v>0</v>
          </cell>
          <cell r="FT311">
            <v>4993</v>
          </cell>
          <cell r="FU311">
            <v>0</v>
          </cell>
          <cell r="FV311">
            <v>4993</v>
          </cell>
          <cell r="FW311" t="str">
            <v>capital notes/loans</v>
          </cell>
          <cell r="FX311">
            <v>0</v>
          </cell>
          <cell r="FY311">
            <v>4993</v>
          </cell>
          <cell r="GA311">
            <v>4993</v>
          </cell>
          <cell r="GB311">
            <v>5059.9536380036079</v>
          </cell>
          <cell r="GC311">
            <v>0</v>
          </cell>
          <cell r="GD311">
            <v>0</v>
          </cell>
          <cell r="GE311">
            <v>0</v>
          </cell>
          <cell r="GF311">
            <v>-2.854774156660949</v>
          </cell>
          <cell r="GG311">
            <v>0</v>
          </cell>
          <cell r="GH311">
            <v>0</v>
          </cell>
        </row>
        <row r="312">
          <cell r="A312" t="str">
            <v>aurec\stlm\dapim+other</v>
          </cell>
          <cell r="C312">
            <v>-3875.116</v>
          </cell>
          <cell r="E312">
            <v>-794.78599999999994</v>
          </cell>
          <cell r="G312">
            <v>2308.62806</v>
          </cell>
          <cell r="I312">
            <v>-2361.27394</v>
          </cell>
          <cell r="M312" t="str">
            <v xml:space="preserve"> </v>
          </cell>
          <cell r="Q312">
            <v>85.874000000000009</v>
          </cell>
          <cell r="S312">
            <v>202.167</v>
          </cell>
          <cell r="U312">
            <v>288.041</v>
          </cell>
          <cell r="Z312">
            <v>-130.46600000000001</v>
          </cell>
          <cell r="AD312">
            <v>157.57499999999999</v>
          </cell>
          <cell r="AF312">
            <v>-11.190999999999999</v>
          </cell>
          <cell r="AJ312">
            <v>-11.190999999999999</v>
          </cell>
          <cell r="AL312">
            <v>133.61799999999999</v>
          </cell>
          <cell r="AP312">
            <v>122.42699999999999</v>
          </cell>
          <cell r="AR312">
            <v>-987.38</v>
          </cell>
          <cell r="AT312">
            <v>-3068.6519400000002</v>
          </cell>
          <cell r="AV312">
            <v>0</v>
          </cell>
          <cell r="AX312">
            <v>-3068.6519400000002</v>
          </cell>
          <cell r="AZ312" t="str">
            <v>aurec\stlm\dapim+other</v>
          </cell>
          <cell r="BC312">
            <v>-10439.168129999998</v>
          </cell>
          <cell r="BE312">
            <v>-5917.6279999999997</v>
          </cell>
          <cell r="BG312">
            <v>-6192.7148700000034</v>
          </cell>
          <cell r="BI312">
            <v>-22549.511000000002</v>
          </cell>
          <cell r="BM312">
            <v>0</v>
          </cell>
          <cell r="BQ312">
            <v>30873.603999999999</v>
          </cell>
          <cell r="BU312">
            <v>30873.603999999999</v>
          </cell>
          <cell r="BZ312">
            <v>501.17500000000001</v>
          </cell>
          <cell r="CD312">
            <v>31374.778999999999</v>
          </cell>
          <cell r="CF312">
            <v>194.21100000000004</v>
          </cell>
          <cell r="CJ312">
            <v>194.21100000000004</v>
          </cell>
          <cell r="CL312">
            <v>-1716</v>
          </cell>
          <cell r="CP312">
            <v>-1521.789</v>
          </cell>
          <cell r="CQ312">
            <v>0</v>
          </cell>
          <cell r="CR312">
            <v>9093.4089999999997</v>
          </cell>
          <cell r="CT312">
            <v>16396.887999999992</v>
          </cell>
          <cell r="CU312">
            <v>0</v>
          </cell>
          <cell r="CV312">
            <v>0</v>
          </cell>
          <cell r="CX312">
            <v>16396.887999999992</v>
          </cell>
          <cell r="FC312">
            <v>-19199</v>
          </cell>
          <cell r="FD312">
            <v>-643</v>
          </cell>
          <cell r="FE312">
            <v>2939</v>
          </cell>
          <cell r="FF312">
            <v>-16903</v>
          </cell>
          <cell r="FI312">
            <v>16970.569000000003</v>
          </cell>
          <cell r="FL312">
            <v>-11</v>
          </cell>
          <cell r="FN312">
            <v>16959.569000000003</v>
          </cell>
          <cell r="FO312">
            <v>75.816000000000003</v>
          </cell>
          <cell r="FP312">
            <v>-651.26199999999994</v>
          </cell>
          <cell r="FR312">
            <v>-575.44599999999991</v>
          </cell>
          <cell r="FS312">
            <v>2432.1190000000001</v>
          </cell>
          <cell r="FT312">
            <v>1913.2420000000034</v>
          </cell>
          <cell r="FU312">
            <v>0</v>
          </cell>
          <cell r="FV312">
            <v>1913.2420000000034</v>
          </cell>
          <cell r="FW312" t="str">
            <v>aurec\stlm\dapim+other</v>
          </cell>
          <cell r="FX312">
            <v>16959.569000000003</v>
          </cell>
          <cell r="FY312">
            <v>-575.44599999999991</v>
          </cell>
          <cell r="GA312">
            <v>16384.123000000003</v>
          </cell>
          <cell r="GB312">
            <v>16603.825912146724</v>
          </cell>
          <cell r="GC312">
            <v>-14470.880999999999</v>
          </cell>
          <cell r="GD312">
            <v>-14664.928291822009</v>
          </cell>
          <cell r="GE312">
            <v>-14470.880999999999</v>
          </cell>
          <cell r="GF312">
            <v>-0.62347963777214932</v>
          </cell>
          <cell r="GG312">
            <v>7349.9809777922928</v>
          </cell>
          <cell r="GH312">
            <v>0</v>
          </cell>
        </row>
        <row r="313">
          <cell r="A313" t="str">
            <v>capitalization</v>
          </cell>
          <cell r="C313">
            <v>0</v>
          </cell>
          <cell r="G313">
            <v>0</v>
          </cell>
          <cell r="I313">
            <v>0</v>
          </cell>
          <cell r="M313" t="str">
            <v xml:space="preserve"> </v>
          </cell>
          <cell r="U313">
            <v>0</v>
          </cell>
          <cell r="AD313">
            <v>0</v>
          </cell>
          <cell r="AJ313">
            <v>0</v>
          </cell>
          <cell r="AP313">
            <v>0</v>
          </cell>
          <cell r="AT313">
            <v>0</v>
          </cell>
          <cell r="AV313">
            <v>0</v>
          </cell>
          <cell r="AX313">
            <v>0</v>
          </cell>
          <cell r="AZ313" t="str">
            <v>capitalization</v>
          </cell>
          <cell r="BI313">
            <v>0</v>
          </cell>
          <cell r="BU313">
            <v>0</v>
          </cell>
          <cell r="CD313">
            <v>0</v>
          </cell>
          <cell r="CH313">
            <v>0</v>
          </cell>
          <cell r="CJ313">
            <v>0</v>
          </cell>
          <cell r="CP313">
            <v>0</v>
          </cell>
          <cell r="CQ313">
            <v>0</v>
          </cell>
          <cell r="CR313">
            <v>0</v>
          </cell>
          <cell r="CT313">
            <v>0</v>
          </cell>
          <cell r="CU313">
            <v>0</v>
          </cell>
          <cell r="CV313">
            <v>0</v>
          </cell>
          <cell r="CX313">
            <v>0</v>
          </cell>
          <cell r="FE313">
            <v>0</v>
          </cell>
          <cell r="FN313">
            <v>0</v>
          </cell>
          <cell r="FO313">
            <v>0</v>
          </cell>
          <cell r="FR313">
            <v>0</v>
          </cell>
          <cell r="FS313">
            <v>0</v>
          </cell>
          <cell r="FT313">
            <v>0</v>
          </cell>
          <cell r="FU313">
            <v>0</v>
          </cell>
          <cell r="FV313">
            <v>0</v>
          </cell>
          <cell r="FW313" t="str">
            <v>capitalization</v>
          </cell>
          <cell r="FX313">
            <v>0</v>
          </cell>
          <cell r="FY313">
            <v>0</v>
          </cell>
          <cell r="GA313">
            <v>0</v>
          </cell>
          <cell r="GB313">
            <v>0</v>
          </cell>
          <cell r="GC313">
            <v>0</v>
          </cell>
          <cell r="GD313">
            <v>0</v>
          </cell>
          <cell r="GE313">
            <v>0</v>
          </cell>
          <cell r="GF313" t="e">
            <v>#DIV/0!</v>
          </cell>
          <cell r="GG313">
            <v>0</v>
          </cell>
          <cell r="GH313">
            <v>0</v>
          </cell>
        </row>
        <row r="314">
          <cell r="A314" t="str">
            <v>expenses(customs&amp;other</v>
          </cell>
          <cell r="B314" t="str">
            <v>PLUG</v>
          </cell>
          <cell r="E314">
            <v>0</v>
          </cell>
          <cell r="G314">
            <v>0</v>
          </cell>
          <cell r="I314">
            <v>0</v>
          </cell>
          <cell r="M314">
            <v>29.911000000000001</v>
          </cell>
          <cell r="Q314">
            <v>52.155000000000001</v>
          </cell>
          <cell r="U314">
            <v>52.155000000000001</v>
          </cell>
          <cell r="AD314">
            <v>52.155000000000001</v>
          </cell>
          <cell r="AJ314">
            <v>0</v>
          </cell>
          <cell r="AN314">
            <v>0</v>
          </cell>
          <cell r="AP314">
            <v>0</v>
          </cell>
          <cell r="AT314">
            <v>82.066000000000003</v>
          </cell>
          <cell r="AV314">
            <v>0</v>
          </cell>
          <cell r="AX314">
            <v>82.066000000000003</v>
          </cell>
          <cell r="AZ314" t="str">
            <v>expenses(customs&amp;other</v>
          </cell>
          <cell r="BI314">
            <v>0</v>
          </cell>
          <cell r="BQ314">
            <v>-3</v>
          </cell>
          <cell r="BU314">
            <v>-3</v>
          </cell>
          <cell r="CD314">
            <v>-3</v>
          </cell>
          <cell r="CH314">
            <v>0</v>
          </cell>
          <cell r="CJ314">
            <v>0</v>
          </cell>
          <cell r="CL314">
            <v>0</v>
          </cell>
          <cell r="CN314">
            <v>0</v>
          </cell>
          <cell r="CP314">
            <v>0</v>
          </cell>
          <cell r="CQ314">
            <v>0</v>
          </cell>
          <cell r="CR314">
            <v>-628.35400000000004</v>
          </cell>
          <cell r="CT314">
            <v>-631.35400000000004</v>
          </cell>
          <cell r="CU314">
            <v>0</v>
          </cell>
          <cell r="CV314">
            <v>0</v>
          </cell>
          <cell r="CX314">
            <v>-631.35400000000004</v>
          </cell>
          <cell r="FG314">
            <v>124.428</v>
          </cell>
          <cell r="FI314">
            <v>-6.9939999999999998</v>
          </cell>
          <cell r="FN314">
            <v>-6.9939999999999998</v>
          </cell>
          <cell r="FO314">
            <v>0</v>
          </cell>
          <cell r="FQ314">
            <v>0</v>
          </cell>
          <cell r="FR314">
            <v>0</v>
          </cell>
          <cell r="FS314">
            <v>-240.66200000000001</v>
          </cell>
          <cell r="FT314">
            <v>-123.22800000000001</v>
          </cell>
          <cell r="FU314">
            <v>0</v>
          </cell>
          <cell r="FV314">
            <v>-123.22800000000001</v>
          </cell>
          <cell r="FW314" t="str">
            <v>expenses(customs&amp;other)</v>
          </cell>
          <cell r="FX314">
            <v>-6.9939999999999998</v>
          </cell>
          <cell r="FY314">
            <v>0</v>
          </cell>
          <cell r="GA314">
            <v>-6.9939999999999998</v>
          </cell>
          <cell r="GB314">
            <v>-7.0877860493084786</v>
          </cell>
          <cell r="GC314">
            <v>-116.23400000000001</v>
          </cell>
          <cell r="GD314">
            <v>-117.79263992784125</v>
          </cell>
          <cell r="GE314">
            <v>-116.23400000000001</v>
          </cell>
          <cell r="GF314">
            <v>-1.5015719055394439</v>
          </cell>
          <cell r="GG314">
            <v>10171.941296481245</v>
          </cell>
          <cell r="GH314">
            <v>0</v>
          </cell>
        </row>
        <row r="315">
          <cell r="A315" t="str">
            <v>expenses-banks,net</v>
          </cell>
          <cell r="C315">
            <v>-372.26099999999997</v>
          </cell>
          <cell r="E315">
            <v>0</v>
          </cell>
          <cell r="G315">
            <v>0</v>
          </cell>
          <cell r="I315">
            <v>-372.26099999999997</v>
          </cell>
          <cell r="M315" t="str">
            <v xml:space="preserve"> </v>
          </cell>
          <cell r="O315">
            <v>469.5</v>
          </cell>
          <cell r="Q315">
            <v>-277.75800000000004</v>
          </cell>
          <cell r="U315">
            <v>-277.75800000000004</v>
          </cell>
          <cell r="X315">
            <v>-558</v>
          </cell>
          <cell r="Z315">
            <v>26.71</v>
          </cell>
          <cell r="AD315">
            <v>-809.048</v>
          </cell>
          <cell r="AF315">
            <v>4.5979999999999999</v>
          </cell>
          <cell r="AJ315">
            <v>4.5979999999999999</v>
          </cell>
          <cell r="AL315">
            <v>25</v>
          </cell>
          <cell r="AP315">
            <v>29.597999999999999</v>
          </cell>
          <cell r="AR315">
            <v>-31</v>
          </cell>
          <cell r="AT315">
            <v>-713.21100000000001</v>
          </cell>
          <cell r="AV315">
            <v>0</v>
          </cell>
          <cell r="AX315">
            <v>-713.21100000000001</v>
          </cell>
          <cell r="AZ315" t="str">
            <v>expenses-banks,net</v>
          </cell>
          <cell r="BC315">
            <v>4698.7640000000001</v>
          </cell>
          <cell r="BE315">
            <v>0</v>
          </cell>
          <cell r="BG315">
            <v>0</v>
          </cell>
          <cell r="BI315">
            <v>4698.7640000000001</v>
          </cell>
          <cell r="BO315">
            <v>1581.2249999999999</v>
          </cell>
          <cell r="BQ315">
            <v>23681.727000000003</v>
          </cell>
          <cell r="BU315">
            <v>23681.727000000003</v>
          </cell>
          <cell r="BX315">
            <v>3345.5</v>
          </cell>
          <cell r="BZ315">
            <v>-205.262</v>
          </cell>
          <cell r="CD315">
            <v>26821.965000000004</v>
          </cell>
          <cell r="CF315">
            <v>8.4320000000000004</v>
          </cell>
          <cell r="CH315">
            <v>0</v>
          </cell>
          <cell r="CJ315">
            <v>8.4320000000000004</v>
          </cell>
          <cell r="CL315">
            <v>93</v>
          </cell>
          <cell r="CP315">
            <v>101.432</v>
          </cell>
          <cell r="CQ315">
            <v>0</v>
          </cell>
          <cell r="CR315">
            <v>-107.104</v>
          </cell>
          <cell r="CT315">
            <v>33096.282000000007</v>
          </cell>
          <cell r="CU315">
            <v>0</v>
          </cell>
          <cell r="CV315">
            <v>0</v>
          </cell>
          <cell r="CX315">
            <v>33096.282000000007</v>
          </cell>
          <cell r="FC315">
            <v>1653</v>
          </cell>
          <cell r="FD315">
            <v>-2</v>
          </cell>
          <cell r="FE315">
            <v>0</v>
          </cell>
          <cell r="FF315">
            <v>1651</v>
          </cell>
          <cell r="FH315">
            <v>1823.5</v>
          </cell>
          <cell r="FI315">
            <v>10220.337</v>
          </cell>
          <cell r="FK315">
            <v>504.5</v>
          </cell>
          <cell r="FL315">
            <v>-64.048000000000002</v>
          </cell>
          <cell r="FN315">
            <v>10660.788999999999</v>
          </cell>
          <cell r="FO315">
            <v>12.9</v>
          </cell>
          <cell r="FP315">
            <v>98</v>
          </cell>
          <cell r="FR315">
            <v>110.9</v>
          </cell>
          <cell r="FS315">
            <v>-88.51</v>
          </cell>
          <cell r="FT315">
            <v>14157.678999999998</v>
          </cell>
          <cell r="FU315">
            <v>0</v>
          </cell>
          <cell r="FV315">
            <v>14157.678999999998</v>
          </cell>
          <cell r="FW315" t="str">
            <v>expenses-banks,net</v>
          </cell>
          <cell r="FX315">
            <v>10660.788999999999</v>
          </cell>
          <cell r="FY315">
            <v>110.9</v>
          </cell>
          <cell r="GA315">
            <v>10771.688999999998</v>
          </cell>
          <cell r="GB315">
            <v>10916.131973361393</v>
          </cell>
          <cell r="GC315">
            <v>3385.99</v>
          </cell>
          <cell r="GD315">
            <v>3431.3944359591096</v>
          </cell>
          <cell r="GE315">
            <v>3385.99</v>
          </cell>
          <cell r="GF315">
            <v>-19.850617839601462</v>
          </cell>
          <cell r="GG315">
            <v>480.39301502286099</v>
          </cell>
          <cell r="GH315">
            <v>0</v>
          </cell>
        </row>
        <row r="316">
          <cell r="C316">
            <v>-4209.6400000000003</v>
          </cell>
          <cell r="E316">
            <v>-794.78599999999994</v>
          </cell>
          <cell r="G316">
            <v>2313.9946375279637</v>
          </cell>
          <cell r="I316">
            <v>-2690.4313624720362</v>
          </cell>
          <cell r="M316">
            <v>29.911000000000001</v>
          </cell>
          <cell r="O316">
            <v>469.5</v>
          </cell>
          <cell r="Q316">
            <v>-428.36500000000001</v>
          </cell>
          <cell r="S316">
            <v>202.167</v>
          </cell>
          <cell r="U316">
            <v>-226.19800000000006</v>
          </cell>
          <cell r="W316">
            <v>0</v>
          </cell>
          <cell r="X316">
            <v>-554</v>
          </cell>
          <cell r="Z316">
            <v>-106.25200000000001</v>
          </cell>
          <cell r="AB316">
            <v>0</v>
          </cell>
          <cell r="AD316">
            <v>-886.45</v>
          </cell>
          <cell r="AF316">
            <v>-6.5929999999999991</v>
          </cell>
          <cell r="AH316">
            <v>0</v>
          </cell>
          <cell r="AJ316">
            <v>-6.5929999999999991</v>
          </cell>
          <cell r="AL316">
            <v>-1537.3820000000001</v>
          </cell>
          <cell r="AN316">
            <v>0</v>
          </cell>
          <cell r="AP316">
            <v>-1543.9749999999999</v>
          </cell>
          <cell r="AR316">
            <v>-1018.38</v>
          </cell>
          <cell r="AT316">
            <v>-5639.8253624720364</v>
          </cell>
          <cell r="AV316">
            <v>0</v>
          </cell>
          <cell r="AX316">
            <v>-5639.8253624720364</v>
          </cell>
          <cell r="BC316">
            <v>-5770.1151299999974</v>
          </cell>
          <cell r="BE316">
            <v>-5917.6279999999997</v>
          </cell>
          <cell r="BG316">
            <v>-8288.5424635847194</v>
          </cell>
          <cell r="BI316">
            <v>-19976.285593584718</v>
          </cell>
          <cell r="BM316">
            <v>0</v>
          </cell>
          <cell r="BO316">
            <v>1581.2249999999999</v>
          </cell>
          <cell r="BQ316">
            <v>53984.953999999998</v>
          </cell>
          <cell r="BS316">
            <v>0</v>
          </cell>
          <cell r="BU316">
            <v>53984.953999999998</v>
          </cell>
          <cell r="BW316">
            <v>0</v>
          </cell>
          <cell r="BX316">
            <v>3345.5</v>
          </cell>
          <cell r="BZ316">
            <v>290.14600000000002</v>
          </cell>
          <cell r="CB316">
            <v>0</v>
          </cell>
          <cell r="CD316">
            <v>57620.6</v>
          </cell>
          <cell r="CF316">
            <v>202.64300000000003</v>
          </cell>
          <cell r="CH316">
            <v>0</v>
          </cell>
          <cell r="CJ316">
            <v>202.64300000000003</v>
          </cell>
          <cell r="CL316">
            <v>11121</v>
          </cell>
          <cell r="CN316">
            <v>0</v>
          </cell>
          <cell r="CP316">
            <v>11323.643</v>
          </cell>
          <cell r="CQ316">
            <v>0</v>
          </cell>
          <cell r="CR316">
            <v>8358</v>
          </cell>
          <cell r="CT316">
            <v>58907.133406415283</v>
          </cell>
          <cell r="CU316">
            <v>4.8999999999068677E-2</v>
          </cell>
          <cell r="CV316">
            <v>0</v>
          </cell>
          <cell r="CX316">
            <v>58907.133406415283</v>
          </cell>
          <cell r="FC316">
            <v>-17578.188999999998</v>
          </cell>
          <cell r="FD316">
            <v>-645</v>
          </cell>
          <cell r="FE316">
            <v>1759.7163145452437</v>
          </cell>
          <cell r="FF316">
            <v>-16463.472685454755</v>
          </cell>
          <cell r="FG316">
            <v>124.428</v>
          </cell>
          <cell r="FH316">
            <v>1823.5</v>
          </cell>
          <cell r="FI316">
            <v>25882.316000000003</v>
          </cell>
          <cell r="FJ316">
            <v>0</v>
          </cell>
          <cell r="FK316">
            <v>504.5</v>
          </cell>
          <cell r="FL316">
            <v>-99.121000000000009</v>
          </cell>
          <cell r="FM316">
            <v>0</v>
          </cell>
          <cell r="FN316">
            <v>26287.695</v>
          </cell>
          <cell r="FO316">
            <v>88.716000000000008</v>
          </cell>
          <cell r="FP316">
            <v>3793.7380000000003</v>
          </cell>
          <cell r="FQ316">
            <v>0</v>
          </cell>
          <cell r="FR316">
            <v>3882.4540000000002</v>
          </cell>
          <cell r="FS316">
            <v>2102.9470000000001</v>
          </cell>
          <cell r="FT316">
            <v>17757.551314545246</v>
          </cell>
          <cell r="FU316">
            <v>0</v>
          </cell>
          <cell r="FV316">
            <v>17757.551314545246</v>
          </cell>
          <cell r="FX316">
            <v>26287.695</v>
          </cell>
          <cell r="FY316">
            <v>3882.4540000000002</v>
          </cell>
          <cell r="FZ316">
            <v>0</v>
          </cell>
          <cell r="GA316">
            <v>30170.149000000001</v>
          </cell>
          <cell r="GB316">
            <v>30574.7156402285</v>
          </cell>
          <cell r="GC316">
            <v>-12412.597685454757</v>
          </cell>
          <cell r="GD316">
            <v>-12579.04442531383</v>
          </cell>
          <cell r="GE316">
            <v>-12412.597685454755</v>
          </cell>
          <cell r="GF316">
            <v>-3.1485994996770241</v>
          </cell>
          <cell r="GG316">
            <v>16399.06489151717</v>
          </cell>
          <cell r="GH316">
            <v>0</v>
          </cell>
        </row>
        <row r="317">
          <cell r="A317" t="str">
            <v>CAPITAL GAINS</v>
          </cell>
          <cell r="E317">
            <v>-0.75</v>
          </cell>
          <cell r="I317">
            <v>-0.75</v>
          </cell>
          <cell r="O317">
            <v>-13.5</v>
          </cell>
          <cell r="Q317">
            <v>-2.747000000000007</v>
          </cell>
          <cell r="U317">
            <v>-2.747000000000007</v>
          </cell>
          <cell r="X317">
            <v>5</v>
          </cell>
          <cell r="AD317">
            <v>2.252999999999993</v>
          </cell>
          <cell r="AJ317">
            <v>0</v>
          </cell>
          <cell r="AL317">
            <v>-18.626999999999999</v>
          </cell>
          <cell r="AP317">
            <v>-18.626999999999999</v>
          </cell>
          <cell r="AT317">
            <v>-30.624000000000006</v>
          </cell>
          <cell r="AV317">
            <v>0</v>
          </cell>
          <cell r="AX317">
            <v>-30.624000000000006</v>
          </cell>
          <cell r="AZ317" t="str">
            <v>CAPITAL GAINS</v>
          </cell>
          <cell r="BE317">
            <v>-194.22300000000001</v>
          </cell>
          <cell r="BI317">
            <v>-194.22300000000001</v>
          </cell>
          <cell r="BQ317">
            <v>37.99799999999999</v>
          </cell>
          <cell r="BS317">
            <v>-571</v>
          </cell>
          <cell r="BU317">
            <v>-533.00199999999995</v>
          </cell>
          <cell r="BX317">
            <v>-18</v>
          </cell>
          <cell r="BZ317">
            <v>0</v>
          </cell>
          <cell r="CD317">
            <v>-551.00199999999995</v>
          </cell>
          <cell r="CF317">
            <v>0</v>
          </cell>
          <cell r="CJ317">
            <v>0</v>
          </cell>
          <cell r="CL317">
            <v>-104</v>
          </cell>
          <cell r="CP317">
            <v>-104</v>
          </cell>
          <cell r="CQ317">
            <v>0</v>
          </cell>
          <cell r="CT317">
            <v>-849.22500000000002</v>
          </cell>
          <cell r="CU317">
            <v>0</v>
          </cell>
          <cell r="CX317">
            <v>-849.22500000000002</v>
          </cell>
          <cell r="FD317">
            <v>18.3702288</v>
          </cell>
          <cell r="FF317">
            <v>18.3702288</v>
          </cell>
          <cell r="FH317">
            <v>-53.5</v>
          </cell>
          <cell r="FI317">
            <v>-100.605</v>
          </cell>
          <cell r="FK317">
            <v>18.5</v>
          </cell>
          <cell r="FN317">
            <v>-82.105000000000004</v>
          </cell>
          <cell r="FO317">
            <v>0</v>
          </cell>
          <cell r="FR317">
            <v>0</v>
          </cell>
          <cell r="FS317">
            <v>0</v>
          </cell>
          <cell r="FT317">
            <v>-117.23477119999995</v>
          </cell>
          <cell r="FV317">
            <v>-117.23477119999995</v>
          </cell>
          <cell r="FW317" t="str">
            <v>CAPITAL GAINS</v>
          </cell>
          <cell r="FX317">
            <v>-82.105000000000004</v>
          </cell>
          <cell r="FY317">
            <v>0</v>
          </cell>
          <cell r="GA317">
            <v>-82.105000000000004</v>
          </cell>
          <cell r="GB317">
            <v>-83.205987071557374</v>
          </cell>
          <cell r="GC317">
            <v>-35.129771199999993</v>
          </cell>
          <cell r="GD317">
            <v>-35.600843898592892</v>
          </cell>
          <cell r="GE317">
            <v>-35.129771199999993</v>
          </cell>
          <cell r="GF317">
            <v>3.8281991640543342</v>
          </cell>
          <cell r="GG317">
            <v>865.63440561724371</v>
          </cell>
          <cell r="GH317">
            <v>0</v>
          </cell>
        </row>
        <row r="318">
          <cell r="A318" t="str">
            <v>OTHER INCOME</v>
          </cell>
          <cell r="U318">
            <v>0</v>
          </cell>
          <cell r="AD318">
            <v>0</v>
          </cell>
          <cell r="AJ318">
            <v>0</v>
          </cell>
          <cell r="AT318">
            <v>0</v>
          </cell>
          <cell r="AX318">
            <v>0</v>
          </cell>
          <cell r="BO318">
            <v>-59</v>
          </cell>
          <cell r="CD318">
            <v>0</v>
          </cell>
          <cell r="CQ318">
            <v>0</v>
          </cell>
          <cell r="CT318">
            <v>-59</v>
          </cell>
          <cell r="CU318">
            <v>0</v>
          </cell>
          <cell r="CX318">
            <v>-59</v>
          </cell>
          <cell r="FS318">
            <v>0</v>
          </cell>
          <cell r="FT318">
            <v>0</v>
          </cell>
          <cell r="FW318" t="str">
            <v>OTHER INCOME</v>
          </cell>
          <cell r="FX318">
            <v>0</v>
          </cell>
          <cell r="FY318">
            <v>0</v>
          </cell>
          <cell r="GA318">
            <v>0</v>
          </cell>
          <cell r="GB318">
            <v>0</v>
          </cell>
          <cell r="GC318">
            <v>0</v>
          </cell>
          <cell r="GD318">
            <v>0</v>
          </cell>
          <cell r="GE318">
            <v>0</v>
          </cell>
          <cell r="GF318" t="e">
            <v>#DIV/0!</v>
          </cell>
          <cell r="GG318">
            <v>0</v>
          </cell>
          <cell r="GH318">
            <v>0</v>
          </cell>
        </row>
        <row r="319">
          <cell r="A319" t="str">
            <v>profit BEF. TAXES</v>
          </cell>
          <cell r="C319">
            <v>-5248.3209999999999</v>
          </cell>
          <cell r="E319">
            <v>-900.26299999999992</v>
          </cell>
          <cell r="G319">
            <v>1259.7846375279639</v>
          </cell>
          <cell r="I319">
            <v>-4888.7993624720366</v>
          </cell>
          <cell r="K319">
            <v>0</v>
          </cell>
          <cell r="M319">
            <v>-243.03250961538447</v>
          </cell>
          <cell r="O319">
            <v>-107</v>
          </cell>
          <cell r="Q319">
            <v>-26938.115999999998</v>
          </cell>
          <cell r="S319">
            <v>202.167</v>
          </cell>
          <cell r="U319">
            <v>-26735.949000000004</v>
          </cell>
          <cell r="W319">
            <v>3013</v>
          </cell>
          <cell r="X319">
            <v>-4400</v>
          </cell>
          <cell r="Z319">
            <v>-384.02600000000001</v>
          </cell>
          <cell r="AD319">
            <v>-28506.97500000002</v>
          </cell>
          <cell r="AF319">
            <v>-23.698999999999998</v>
          </cell>
          <cell r="AH319">
            <v>0</v>
          </cell>
          <cell r="AJ319">
            <v>-23.698999999999998</v>
          </cell>
          <cell r="AL319">
            <v>-17988.302999999996</v>
          </cell>
          <cell r="AN319">
            <v>44.588000000000001</v>
          </cell>
          <cell r="AP319">
            <v>-17967.413999999997</v>
          </cell>
          <cell r="AR319">
            <v>-1446.8339999999998</v>
          </cell>
          <cell r="AT319">
            <v>-53160.054872087465</v>
          </cell>
          <cell r="AV319">
            <v>167.0520000000015</v>
          </cell>
          <cell r="AX319">
            <v>-52993.002872087418</v>
          </cell>
          <cell r="AZ319" t="str">
            <v>profit BEF. TAXES</v>
          </cell>
          <cell r="BC319">
            <v>-10903.969129999998</v>
          </cell>
          <cell r="BE319">
            <v>-6478.8509999999997</v>
          </cell>
          <cell r="BG319">
            <v>-12601.23246358472</v>
          </cell>
          <cell r="BI319">
            <v>-29984.052593584722</v>
          </cell>
          <cell r="BM319">
            <v>-1033.9669999999996</v>
          </cell>
          <cell r="BO319">
            <v>-2148.2750000000001</v>
          </cell>
          <cell r="BQ319">
            <v>-49583.34</v>
          </cell>
          <cell r="BS319">
            <v>-571</v>
          </cell>
          <cell r="BU319">
            <v>-50154.34</v>
          </cell>
          <cell r="BW319">
            <v>14599</v>
          </cell>
          <cell r="BX319">
            <v>-14707</v>
          </cell>
          <cell r="BZ319">
            <v>-849.06600000000117</v>
          </cell>
          <cell r="CB319">
            <v>0</v>
          </cell>
          <cell r="CD319">
            <v>-51111.40600000001</v>
          </cell>
          <cell r="CF319">
            <v>131.46700000000004</v>
          </cell>
          <cell r="CH319">
            <v>0</v>
          </cell>
          <cell r="CJ319">
            <v>131.46700000000004</v>
          </cell>
          <cell r="CL319">
            <v>-53148</v>
          </cell>
          <cell r="CN319">
            <v>103</v>
          </cell>
          <cell r="CP319">
            <v>-52913.532999999996</v>
          </cell>
          <cell r="CQ319">
            <v>0</v>
          </cell>
          <cell r="CR319">
            <v>6482.66</v>
          </cell>
          <cell r="CT319">
            <v>-130708.7555935847</v>
          </cell>
          <cell r="CU319">
            <v>0.18199999997159466</v>
          </cell>
          <cell r="CV319">
            <v>582.15800000001036</v>
          </cell>
          <cell r="CX319">
            <v>-130126.59759358468</v>
          </cell>
          <cell r="FC319">
            <v>-26403.41</v>
          </cell>
          <cell r="FD319">
            <v>-1023.9667266</v>
          </cell>
          <cell r="FE319">
            <v>1535.8143145452436</v>
          </cell>
          <cell r="FF319">
            <v>-25891.562412054755</v>
          </cell>
          <cell r="FG319">
            <v>-1009.8980000000006</v>
          </cell>
          <cell r="FH319">
            <v>-1131</v>
          </cell>
          <cell r="FI319">
            <v>-70147.220999999932</v>
          </cell>
          <cell r="FJ319">
            <v>11433</v>
          </cell>
          <cell r="FK319">
            <v>-14668.5</v>
          </cell>
          <cell r="FL319">
            <v>-1178.8139999999994</v>
          </cell>
          <cell r="FM319">
            <v>0</v>
          </cell>
          <cell r="FN319">
            <v>-74561.535000000018</v>
          </cell>
          <cell r="FO319">
            <v>19.48</v>
          </cell>
          <cell r="FP319">
            <v>-57002.262000000002</v>
          </cell>
          <cell r="FQ319">
            <v>194</v>
          </cell>
          <cell r="FR319">
            <v>-56788.782000000007</v>
          </cell>
          <cell r="FS319">
            <v>141.00399999999991</v>
          </cell>
          <cell r="FT319">
            <v>-159241.77341205467</v>
          </cell>
          <cell r="FU319">
            <v>664.17799999999988</v>
          </cell>
          <cell r="FV319">
            <v>-158577.59541205465</v>
          </cell>
          <cell r="FW319" t="str">
            <v>profit BEF. TAXES</v>
          </cell>
          <cell r="FX319">
            <v>-74561.535000000018</v>
          </cell>
          <cell r="FY319">
            <v>-56788.782000000007</v>
          </cell>
          <cell r="FZ319">
            <v>-0.43684500000017579</v>
          </cell>
          <cell r="GA319">
            <v>-131350.75384499994</v>
          </cell>
          <cell r="GB319">
            <v>-133112.10189716073</v>
          </cell>
          <cell r="GC319">
            <v>-27226.841567054751</v>
          </cell>
          <cell r="GD319">
            <v>-27591.939923606355</v>
          </cell>
          <cell r="GE319">
            <v>-27226.841567054711</v>
          </cell>
          <cell r="GF319">
            <v>2.9924251659190455</v>
          </cell>
          <cell r="GG319">
            <v>-137078.72350524145</v>
          </cell>
          <cell r="GH319">
            <v>0</v>
          </cell>
        </row>
        <row r="320">
          <cell r="A320" t="str">
            <v>TAXES</v>
          </cell>
          <cell r="AZ320" t="str">
            <v>TAXES</v>
          </cell>
          <cell r="CD320">
            <v>0</v>
          </cell>
          <cell r="CQ320">
            <v>0</v>
          </cell>
          <cell r="CU320">
            <v>0</v>
          </cell>
          <cell r="FW320" t="str">
            <v>TAXES</v>
          </cell>
          <cell r="FX320">
            <v>0</v>
          </cell>
          <cell r="FY320">
            <v>0</v>
          </cell>
          <cell r="GA320">
            <v>0</v>
          </cell>
          <cell r="GB320">
            <v>0</v>
          </cell>
          <cell r="GC320">
            <v>0</v>
          </cell>
          <cell r="GD320">
            <v>0</v>
          </cell>
          <cell r="GE320">
            <v>0</v>
          </cell>
          <cell r="GF320" t="e">
            <v>#DIV/0!</v>
          </cell>
          <cell r="GH320">
            <v>0</v>
          </cell>
        </row>
        <row r="321">
          <cell r="A321" t="str">
            <v>current taxes</v>
          </cell>
          <cell r="C321">
            <v>0</v>
          </cell>
          <cell r="G321">
            <v>5024.8173076923076</v>
          </cell>
          <cell r="I321">
            <v>5024.8173076923076</v>
          </cell>
          <cell r="O321">
            <v>138.5</v>
          </cell>
          <cell r="X321">
            <v>984</v>
          </cell>
          <cell r="Z321">
            <v>96.777692307692305</v>
          </cell>
          <cell r="AD321">
            <v>1080.7776923076924</v>
          </cell>
          <cell r="AL321">
            <v>5504</v>
          </cell>
          <cell r="AP321">
            <v>5504</v>
          </cell>
          <cell r="AT321">
            <v>11748.095000000001</v>
          </cell>
          <cell r="AX321">
            <v>11748.095000000001</v>
          </cell>
          <cell r="AZ321" t="str">
            <v>current taxes</v>
          </cell>
          <cell r="BA321" t="str">
            <v>=-'ני"ע 2'!BO28-'ני"ע 2'!BO22-'ני"ע 2'!BO18</v>
          </cell>
          <cell r="BG321">
            <v>20714.29</v>
          </cell>
          <cell r="BI321">
            <v>20714.29</v>
          </cell>
          <cell r="BO321">
            <v>462</v>
          </cell>
          <cell r="BX321">
            <v>3833</v>
          </cell>
          <cell r="BZ321">
            <v>379.947</v>
          </cell>
          <cell r="CD321">
            <v>4212.9470000000001</v>
          </cell>
          <cell r="CL321">
            <v>19761</v>
          </cell>
          <cell r="CP321">
            <v>19761</v>
          </cell>
          <cell r="CQ321">
            <v>0</v>
          </cell>
          <cell r="CT321">
            <v>45150.237000000001</v>
          </cell>
          <cell r="CU321">
            <v>0</v>
          </cell>
          <cell r="CX321">
            <v>45150.237000000001</v>
          </cell>
          <cell r="FC321">
            <v>1040.6279999999999</v>
          </cell>
          <cell r="FE321">
            <v>20714.29</v>
          </cell>
          <cell r="FF321">
            <v>21754.918000000001</v>
          </cell>
          <cell r="FH321">
            <v>528</v>
          </cell>
          <cell r="FK321">
            <v>4582.5</v>
          </cell>
          <cell r="FL321">
            <v>391</v>
          </cell>
          <cell r="FN321">
            <v>4973.5</v>
          </cell>
          <cell r="FP321">
            <v>19980</v>
          </cell>
          <cell r="FR321">
            <v>19980</v>
          </cell>
          <cell r="FS321">
            <v>0</v>
          </cell>
          <cell r="FT321">
            <v>47236.418000000005</v>
          </cell>
          <cell r="FV321">
            <v>47236.418000000005</v>
          </cell>
          <cell r="FW321" t="str">
            <v>current taxes</v>
          </cell>
          <cell r="FX321">
            <v>4973.5</v>
          </cell>
          <cell r="FY321">
            <v>19980</v>
          </cell>
          <cell r="GA321">
            <v>24953.5</v>
          </cell>
          <cell r="GB321">
            <v>25288.113980757669</v>
          </cell>
          <cell r="GC321">
            <v>22282.918000000005</v>
          </cell>
          <cell r="GD321">
            <v>22581.720809019847</v>
          </cell>
          <cell r="GE321">
            <v>22282.918000000005</v>
          </cell>
          <cell r="GF321">
            <v>4.0207725592957839</v>
          </cell>
          <cell r="GG321">
            <v>40991.492295231874</v>
          </cell>
          <cell r="GH321">
            <v>0</v>
          </cell>
        </row>
        <row r="322">
          <cell r="FE322">
            <v>-946.06590812995842</v>
          </cell>
          <cell r="FF322">
            <v>-946.06590812995842</v>
          </cell>
          <cell r="FT322">
            <v>-946.06590812995842</v>
          </cell>
          <cell r="FV322">
            <v>-946.06590812995842</v>
          </cell>
          <cell r="FX322">
            <v>0</v>
          </cell>
          <cell r="FY322">
            <v>0</v>
          </cell>
          <cell r="GA322">
            <v>0</v>
          </cell>
          <cell r="GB322">
            <v>0</v>
          </cell>
          <cell r="GC322">
            <v>-946.06590812995842</v>
          </cell>
          <cell r="GD322">
            <v>-958.75217977836371</v>
          </cell>
          <cell r="GE322">
            <v>-946.06590812995842</v>
          </cell>
          <cell r="GF322" t="e">
            <v>#DIV/0!</v>
          </cell>
        </row>
        <row r="323">
          <cell r="A323" t="str">
            <v>deferred taxes</v>
          </cell>
          <cell r="G323">
            <v>1706.8080782126697</v>
          </cell>
          <cell r="I323">
            <v>1706.8080782126697</v>
          </cell>
          <cell r="O323">
            <v>56</v>
          </cell>
          <cell r="X323">
            <v>747.5</v>
          </cell>
          <cell r="Z323">
            <v>51</v>
          </cell>
          <cell r="AD323">
            <v>798.5</v>
          </cell>
          <cell r="AL323">
            <v>1725</v>
          </cell>
          <cell r="AP323">
            <v>1725</v>
          </cell>
          <cell r="AT323">
            <v>4286.3080782126699</v>
          </cell>
          <cell r="AX323">
            <v>4286.3080782126699</v>
          </cell>
          <cell r="AZ323" t="str">
            <v>deferred taxes</v>
          </cell>
          <cell r="BI323">
            <v>0</v>
          </cell>
          <cell r="BO323">
            <v>-572</v>
          </cell>
          <cell r="BX323">
            <v>353.5</v>
          </cell>
          <cell r="BZ323">
            <v>-146</v>
          </cell>
          <cell r="CD323">
            <v>207.5</v>
          </cell>
          <cell r="CL323">
            <v>0</v>
          </cell>
          <cell r="CP323">
            <v>0</v>
          </cell>
          <cell r="CQ323">
            <v>0</v>
          </cell>
          <cell r="CT323">
            <v>-364.5</v>
          </cell>
          <cell r="CU323">
            <v>0</v>
          </cell>
          <cell r="CX323">
            <v>-364.5</v>
          </cell>
          <cell r="FE323">
            <v>1121.7408198399999</v>
          </cell>
          <cell r="FF323">
            <v>1121.7408198399999</v>
          </cell>
          <cell r="FH323">
            <v>84</v>
          </cell>
          <cell r="FL323">
            <v>7</v>
          </cell>
          <cell r="FN323">
            <v>7</v>
          </cell>
          <cell r="FP323">
            <v>731</v>
          </cell>
          <cell r="FR323">
            <v>731</v>
          </cell>
          <cell r="FS323">
            <v>0</v>
          </cell>
          <cell r="FT323">
            <v>1943.7408198399999</v>
          </cell>
          <cell r="FV323">
            <v>1943.7408198399999</v>
          </cell>
          <cell r="FW323" t="str">
            <v>deferred taxes</v>
          </cell>
          <cell r="FX323">
            <v>7</v>
          </cell>
          <cell r="FY323">
            <v>731</v>
          </cell>
          <cell r="FZ323">
            <v>18203</v>
          </cell>
          <cell r="GA323">
            <v>18941</v>
          </cell>
          <cell r="GB323">
            <v>19194.989356584483</v>
          </cell>
          <cell r="GC323">
            <v>-16997.259180159999</v>
          </cell>
          <cell r="GD323">
            <v>-17225.183942467618</v>
          </cell>
          <cell r="GE323">
            <v>-16997.259180159999</v>
          </cell>
          <cell r="GF323">
            <v>0.45347669471544666</v>
          </cell>
          <cell r="GG323">
            <v>2407.3610904884972</v>
          </cell>
          <cell r="GH323">
            <v>0</v>
          </cell>
        </row>
        <row r="324">
          <cell r="A324" t="str">
            <v>Total Taxes</v>
          </cell>
          <cell r="C324">
            <v>0</v>
          </cell>
          <cell r="E324">
            <v>0</v>
          </cell>
          <cell r="G324">
            <v>6731.6253859049775</v>
          </cell>
          <cell r="I324">
            <v>6731.6253859049775</v>
          </cell>
          <cell r="O324">
            <v>194.5</v>
          </cell>
          <cell r="Q324">
            <v>0</v>
          </cell>
          <cell r="S324">
            <v>0</v>
          </cell>
          <cell r="U324">
            <v>0</v>
          </cell>
          <cell r="W324">
            <v>0</v>
          </cell>
          <cell r="X324">
            <v>1732.5</v>
          </cell>
          <cell r="Z324">
            <v>147.77769230769229</v>
          </cell>
          <cell r="AB324">
            <v>0</v>
          </cell>
          <cell r="AD324">
            <v>1879.2776923076924</v>
          </cell>
          <cell r="AF324">
            <v>0</v>
          </cell>
          <cell r="AJ324">
            <v>0</v>
          </cell>
          <cell r="AL324">
            <v>7229</v>
          </cell>
          <cell r="AP324">
            <v>7229</v>
          </cell>
          <cell r="AT324">
            <v>16034.403078212672</v>
          </cell>
          <cell r="AX324">
            <v>16034.403078212672</v>
          </cell>
          <cell r="AZ324" t="str">
            <v>Total Taxes</v>
          </cell>
          <cell r="BC324">
            <v>0</v>
          </cell>
          <cell r="BG324">
            <v>20714.29</v>
          </cell>
          <cell r="BI324">
            <v>20714.29</v>
          </cell>
          <cell r="BM324">
            <v>0</v>
          </cell>
          <cell r="BO324">
            <v>-110</v>
          </cell>
          <cell r="BQ324">
            <v>0</v>
          </cell>
          <cell r="BS324">
            <v>0</v>
          </cell>
          <cell r="BU324">
            <v>0</v>
          </cell>
          <cell r="BW324">
            <v>0</v>
          </cell>
          <cell r="BX324">
            <v>4186.5</v>
          </cell>
          <cell r="BZ324">
            <v>233.947</v>
          </cell>
          <cell r="CB324">
            <v>0</v>
          </cell>
          <cell r="CD324">
            <v>4420.4470000000001</v>
          </cell>
          <cell r="CF324">
            <v>0</v>
          </cell>
          <cell r="CH324">
            <v>0</v>
          </cell>
          <cell r="CJ324">
            <v>0</v>
          </cell>
          <cell r="CL324">
            <v>19761</v>
          </cell>
          <cell r="CN324">
            <v>0</v>
          </cell>
          <cell r="CP324">
            <v>19761</v>
          </cell>
          <cell r="CQ324">
            <v>0</v>
          </cell>
          <cell r="CR324">
            <v>0</v>
          </cell>
          <cell r="CT324">
            <v>44785.737000000001</v>
          </cell>
          <cell r="CU324">
            <v>0</v>
          </cell>
          <cell r="CV324">
            <v>0</v>
          </cell>
          <cell r="CX324">
            <v>44785.737000000001</v>
          </cell>
          <cell r="FC324">
            <v>1040.6279999999999</v>
          </cell>
          <cell r="FD324">
            <v>0</v>
          </cell>
          <cell r="FE324">
            <v>20889.964911710042</v>
          </cell>
          <cell r="FF324">
            <v>21930.592911710042</v>
          </cell>
          <cell r="FG324">
            <v>0</v>
          </cell>
          <cell r="FH324">
            <v>612</v>
          </cell>
          <cell r="FI324">
            <v>0</v>
          </cell>
          <cell r="FJ324">
            <v>0</v>
          </cell>
          <cell r="FK324">
            <v>4582.5</v>
          </cell>
          <cell r="FL324">
            <v>398</v>
          </cell>
          <cell r="FM324">
            <v>0</v>
          </cell>
          <cell r="FN324">
            <v>4980.5</v>
          </cell>
          <cell r="FO324">
            <v>0</v>
          </cell>
          <cell r="FP324">
            <v>20711</v>
          </cell>
          <cell r="FQ324">
            <v>0</v>
          </cell>
          <cell r="FR324">
            <v>20711</v>
          </cell>
          <cell r="FS324">
            <v>0</v>
          </cell>
          <cell r="FT324">
            <v>48234.092911710046</v>
          </cell>
          <cell r="FU324">
            <v>0</v>
          </cell>
          <cell r="FV324">
            <v>48234.092911710046</v>
          </cell>
          <cell r="FW324" t="str">
            <v>Total Taxes</v>
          </cell>
          <cell r="FX324">
            <v>4980.5</v>
          </cell>
          <cell r="FY324">
            <v>20711</v>
          </cell>
          <cell r="FZ324">
            <v>18203</v>
          </cell>
          <cell r="GA324">
            <v>43894.5</v>
          </cell>
          <cell r="GB324">
            <v>52229.220466626575</v>
          </cell>
          <cell r="GC324">
            <v>4339.5929117100459</v>
          </cell>
          <cell r="GD324">
            <v>4499.5593761304517</v>
          </cell>
          <cell r="GE324">
            <v>4339.5929117100459</v>
          </cell>
          <cell r="GF324">
            <v>3.008162678487849</v>
          </cell>
          <cell r="GG324">
            <v>43398.803937654775</v>
          </cell>
          <cell r="GH324">
            <v>0</v>
          </cell>
        </row>
        <row r="325">
          <cell r="AD325">
            <v>0</v>
          </cell>
          <cell r="AT325">
            <v>0</v>
          </cell>
          <cell r="CD325">
            <v>0</v>
          </cell>
          <cell r="CQ325">
            <v>0</v>
          </cell>
          <cell r="CT325">
            <v>0</v>
          </cell>
          <cell r="CU325">
            <v>0</v>
          </cell>
          <cell r="FN325">
            <v>0</v>
          </cell>
          <cell r="FS325">
            <v>0</v>
          </cell>
          <cell r="FX325">
            <v>0</v>
          </cell>
          <cell r="FY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 t="e">
            <v>#DIV/0!</v>
          </cell>
          <cell r="GH325">
            <v>0</v>
          </cell>
        </row>
        <row r="326">
          <cell r="A326" t="str">
            <v xml:space="preserve">MIN.INT.IN P.RESULTS </v>
          </cell>
          <cell r="I326">
            <v>0</v>
          </cell>
          <cell r="O326">
            <v>-20</v>
          </cell>
          <cell r="U326">
            <v>0</v>
          </cell>
          <cell r="AB326">
            <v>71</v>
          </cell>
          <cell r="AD326">
            <v>71</v>
          </cell>
          <cell r="AH326">
            <v>0</v>
          </cell>
          <cell r="AJ326">
            <v>0</v>
          </cell>
          <cell r="AL326">
            <v>0</v>
          </cell>
          <cell r="AN326">
            <v>3502</v>
          </cell>
          <cell r="AP326">
            <v>3502</v>
          </cell>
          <cell r="AT326">
            <v>3553</v>
          </cell>
          <cell r="AV326">
            <v>10596</v>
          </cell>
          <cell r="AX326">
            <v>14149</v>
          </cell>
          <cell r="AZ326" t="str">
            <v xml:space="preserve">MIN.INT.IN P.RESULTS </v>
          </cell>
          <cell r="BI326">
            <v>0</v>
          </cell>
          <cell r="BO326">
            <v>-85.5</v>
          </cell>
          <cell r="BU326">
            <v>0</v>
          </cell>
          <cell r="CB326">
            <v>185</v>
          </cell>
          <cell r="CD326">
            <v>185</v>
          </cell>
          <cell r="CH326">
            <v>0</v>
          </cell>
          <cell r="CJ326">
            <v>0</v>
          </cell>
          <cell r="CL326">
            <v>0</v>
          </cell>
          <cell r="CN326">
            <v>10867</v>
          </cell>
          <cell r="CP326">
            <v>10867</v>
          </cell>
          <cell r="CQ326">
            <v>0</v>
          </cell>
          <cell r="CT326">
            <v>10966.5</v>
          </cell>
          <cell r="CU326">
            <v>0</v>
          </cell>
          <cell r="CV326">
            <v>18799</v>
          </cell>
          <cell r="CX326">
            <v>29765.5</v>
          </cell>
          <cell r="FH326">
            <v>-84</v>
          </cell>
          <cell r="FM326">
            <v>235</v>
          </cell>
          <cell r="FN326">
            <v>235</v>
          </cell>
          <cell r="FO326">
            <v>0</v>
          </cell>
          <cell r="FP326">
            <v>0</v>
          </cell>
          <cell r="FQ326">
            <v>11813</v>
          </cell>
          <cell r="FR326">
            <v>11813</v>
          </cell>
          <cell r="FS326">
            <v>0</v>
          </cell>
          <cell r="FT326">
            <v>11964</v>
          </cell>
          <cell r="FU326">
            <v>27632.611900000007</v>
          </cell>
          <cell r="FV326">
            <v>39596.611900000004</v>
          </cell>
          <cell r="FW326" t="str">
            <v xml:space="preserve">MIN.INT.IN P.RESULTS </v>
          </cell>
          <cell r="FX326">
            <v>235</v>
          </cell>
          <cell r="FY326">
            <v>11813</v>
          </cell>
          <cell r="FZ326">
            <v>27674.913100000009</v>
          </cell>
          <cell r="GA326">
            <v>39722.913100000005</v>
          </cell>
          <cell r="GB326">
            <v>40255.577539043894</v>
          </cell>
          <cell r="GC326">
            <v>-126.3012000000017</v>
          </cell>
          <cell r="GD326">
            <v>-127.99483605532343</v>
          </cell>
          <cell r="GE326">
            <v>-126.3012000000017</v>
          </cell>
          <cell r="GF326">
            <v>2.7985449077673334</v>
          </cell>
          <cell r="GG326">
            <v>38553.507049408297</v>
          </cell>
          <cell r="GH326">
            <v>0</v>
          </cell>
        </row>
        <row r="327">
          <cell r="A327" t="str">
            <v>PROVISION for losses on other investments</v>
          </cell>
          <cell r="E327">
            <v>0</v>
          </cell>
          <cell r="G327">
            <v>0</v>
          </cell>
          <cell r="I327">
            <v>0</v>
          </cell>
          <cell r="M327">
            <v>0</v>
          </cell>
          <cell r="AT327">
            <v>0</v>
          </cell>
          <cell r="AX327">
            <v>0</v>
          </cell>
          <cell r="AZ327" t="str">
            <v>PROVISION for losses on other investments</v>
          </cell>
          <cell r="BG327">
            <v>0</v>
          </cell>
          <cell r="BI327">
            <v>0</v>
          </cell>
          <cell r="CD327">
            <v>0</v>
          </cell>
          <cell r="CQ327">
            <v>0</v>
          </cell>
          <cell r="CT327">
            <v>0</v>
          </cell>
          <cell r="CU327">
            <v>0</v>
          </cell>
          <cell r="CX327">
            <v>0</v>
          </cell>
          <cell r="FG327">
            <v>0</v>
          </cell>
          <cell r="FS327">
            <v>0</v>
          </cell>
          <cell r="FT327">
            <v>0</v>
          </cell>
          <cell r="FV327">
            <v>0</v>
          </cell>
          <cell r="FW327" t="str">
            <v>PROVISION for losses on other investments</v>
          </cell>
          <cell r="FX327">
            <v>0</v>
          </cell>
          <cell r="FY327">
            <v>0</v>
          </cell>
          <cell r="GA327">
            <v>0</v>
          </cell>
          <cell r="GB327">
            <v>0</v>
          </cell>
          <cell r="GC327">
            <v>0</v>
          </cell>
          <cell r="GD327">
            <v>0</v>
          </cell>
          <cell r="GE327">
            <v>0</v>
          </cell>
          <cell r="GF327" t="e">
            <v>#DIV/0!</v>
          </cell>
          <cell r="GG327">
            <v>0</v>
          </cell>
          <cell r="GH327">
            <v>0</v>
          </cell>
        </row>
        <row r="328">
          <cell r="A328" t="str">
            <v>EQUITY profit</v>
          </cell>
          <cell r="C328">
            <v>-14585.843999999999</v>
          </cell>
          <cell r="G328">
            <v>-4394.7905096153845</v>
          </cell>
          <cell r="I328">
            <v>-18980.634509615382</v>
          </cell>
          <cell r="M328">
            <v>0</v>
          </cell>
          <cell r="Q328">
            <v>916.93718461538447</v>
          </cell>
          <cell r="U328">
            <v>916.93718461538447</v>
          </cell>
          <cell r="W328">
            <v>-598</v>
          </cell>
          <cell r="X328">
            <v>253</v>
          </cell>
          <cell r="AB328">
            <v>165</v>
          </cell>
          <cell r="AD328">
            <v>736.93718461538447</v>
          </cell>
          <cell r="AF328">
            <v>44.587999999999994</v>
          </cell>
          <cell r="AH328">
            <v>-7257</v>
          </cell>
          <cell r="AJ328">
            <v>-7212.4120000000003</v>
          </cell>
          <cell r="AL328">
            <v>0</v>
          </cell>
          <cell r="AN328">
            <v>7212.4120000000003</v>
          </cell>
          <cell r="AP328">
            <v>0</v>
          </cell>
          <cell r="AT328">
            <v>-18243.697324999997</v>
          </cell>
          <cell r="AV328">
            <v>23915.480509615383</v>
          </cell>
          <cell r="AX328">
            <v>5671.7831846153858</v>
          </cell>
          <cell r="AZ328" t="str">
            <v>EQUITY profit</v>
          </cell>
          <cell r="BC328">
            <v>-21103.220999999998</v>
          </cell>
          <cell r="BE328">
            <v>0</v>
          </cell>
          <cell r="BG328">
            <v>7606.4459999999999</v>
          </cell>
          <cell r="BI328">
            <v>-13496.774999999998</v>
          </cell>
          <cell r="BQ328">
            <v>6114.8050000000003</v>
          </cell>
          <cell r="BS328">
            <v>571</v>
          </cell>
          <cell r="BU328">
            <v>6685.8050000000003</v>
          </cell>
          <cell r="BW328">
            <v>-5272.5</v>
          </cell>
          <cell r="BX328">
            <v>1194</v>
          </cell>
          <cell r="CB328">
            <v>436</v>
          </cell>
          <cell r="CD328">
            <v>3043.3050000000003</v>
          </cell>
          <cell r="CF328">
            <v>103.188</v>
          </cell>
          <cell r="CH328">
            <v>-22520.205999999998</v>
          </cell>
          <cell r="CJ328">
            <v>-22417.018</v>
          </cell>
          <cell r="CN328">
            <v>22417.205999999998</v>
          </cell>
          <cell r="CP328">
            <v>0.18799999999828287</v>
          </cell>
          <cell r="CQ328">
            <v>0</v>
          </cell>
          <cell r="CR328">
            <v>0</v>
          </cell>
          <cell r="CT328">
            <v>-10453.281999999999</v>
          </cell>
          <cell r="CU328">
            <v>0</v>
          </cell>
          <cell r="CV328">
            <v>43266.383999999998</v>
          </cell>
          <cell r="CX328">
            <v>32813.101999999999</v>
          </cell>
          <cell r="FC328">
            <v>-36973.22</v>
          </cell>
          <cell r="FD328">
            <v>0</v>
          </cell>
          <cell r="FE328">
            <v>224.10099999999937</v>
          </cell>
          <cell r="FF328">
            <v>-36749.118999999992</v>
          </cell>
          <cell r="FG328">
            <v>0</v>
          </cell>
          <cell r="FI328">
            <v>5559.44</v>
          </cell>
          <cell r="FJ328">
            <v>-4409</v>
          </cell>
          <cell r="FK328">
            <v>3062</v>
          </cell>
          <cell r="FM328">
            <v>546</v>
          </cell>
          <cell r="FN328">
            <v>4758.4399999999996</v>
          </cell>
          <cell r="FO328">
            <v>-24283.595218999999</v>
          </cell>
          <cell r="FP328">
            <v>0</v>
          </cell>
          <cell r="FQ328">
            <v>24283.595218999999</v>
          </cell>
          <cell r="FR328">
            <v>0</v>
          </cell>
          <cell r="FS328">
            <v>0</v>
          </cell>
          <cell r="FT328">
            <v>-31990.678999999993</v>
          </cell>
          <cell r="FU328">
            <v>62028.164600000004</v>
          </cell>
          <cell r="FV328">
            <v>30037.485600000011</v>
          </cell>
          <cell r="FW328" t="str">
            <v>EQUITY profit</v>
          </cell>
          <cell r="FX328">
            <v>4758.4399999999996</v>
          </cell>
          <cell r="FY328">
            <v>0</v>
          </cell>
          <cell r="GA328">
            <v>4758.4399999999996</v>
          </cell>
          <cell r="GB328">
            <v>4822.2483054720369</v>
          </cell>
          <cell r="GC328">
            <v>25279.045600000012</v>
          </cell>
          <cell r="GD328">
            <v>25618.024984774514</v>
          </cell>
          <cell r="GE328">
            <v>25279.045600000012</v>
          </cell>
          <cell r="GF328">
            <v>5.2959509597398178</v>
          </cell>
          <cell r="GG328">
            <v>31858.839444541212</v>
          </cell>
          <cell r="GH328">
            <v>0</v>
          </cell>
        </row>
        <row r="329">
          <cell r="A329" t="str">
            <v>profit FOR THE PERIOD</v>
          </cell>
          <cell r="C329">
            <v>-19834.165000000001</v>
          </cell>
          <cell r="E329">
            <v>-900.26299999999992</v>
          </cell>
          <cell r="G329">
            <v>3596.6195138175572</v>
          </cell>
          <cell r="I329">
            <v>-17137.808486182439</v>
          </cell>
          <cell r="M329">
            <v>-243.03250961538447</v>
          </cell>
          <cell r="O329">
            <v>67.5</v>
          </cell>
          <cell r="Q329">
            <v>-26021.178815384614</v>
          </cell>
          <cell r="S329">
            <v>202.167</v>
          </cell>
          <cell r="U329">
            <v>-25819.01181538462</v>
          </cell>
          <cell r="W329">
            <v>2415</v>
          </cell>
          <cell r="X329">
            <v>-2414.5</v>
          </cell>
          <cell r="Z329">
            <v>-236.24830769230772</v>
          </cell>
          <cell r="AB329">
            <v>236</v>
          </cell>
          <cell r="AD329">
            <v>-25819.760123076943</v>
          </cell>
          <cell r="AF329">
            <v>20.888999999999996</v>
          </cell>
          <cell r="AH329">
            <v>-7257</v>
          </cell>
          <cell r="AJ329">
            <v>-7236.1109999999999</v>
          </cell>
          <cell r="AL329">
            <v>-10759.302999999996</v>
          </cell>
          <cell r="AN329">
            <v>10759</v>
          </cell>
          <cell r="AP329">
            <v>-7236.413999999997</v>
          </cell>
          <cell r="AR329">
            <v>-1446.8339999999998</v>
          </cell>
          <cell r="AT329">
            <v>-51816.349118874787</v>
          </cell>
          <cell r="AV329">
            <v>34678.532509615383</v>
          </cell>
          <cell r="AX329">
            <v>-17137.81660925936</v>
          </cell>
          <cell r="AZ329" t="str">
            <v>profit FOR THE PERIOD</v>
          </cell>
          <cell r="BC329">
            <v>-32007.190129999995</v>
          </cell>
          <cell r="BE329">
            <v>-6478.8509999999997</v>
          </cell>
          <cell r="BG329">
            <v>15719.503536415281</v>
          </cell>
          <cell r="BI329">
            <v>-22766.537593584719</v>
          </cell>
          <cell r="BM329">
            <v>-1033.9669999999996</v>
          </cell>
          <cell r="BO329">
            <v>-2343.7750000000001</v>
          </cell>
          <cell r="BQ329">
            <v>-43468.535000000011</v>
          </cell>
          <cell r="BS329">
            <v>0</v>
          </cell>
          <cell r="BU329">
            <v>-43468.535000000011</v>
          </cell>
          <cell r="BW329">
            <v>9326.5</v>
          </cell>
          <cell r="BX329">
            <v>-9326.5</v>
          </cell>
          <cell r="BZ329">
            <v>-615.11900000000117</v>
          </cell>
          <cell r="CB329">
            <v>621</v>
          </cell>
          <cell r="CD329">
            <v>-43462.65400000001</v>
          </cell>
          <cell r="CF329">
            <v>234.655</v>
          </cell>
          <cell r="CH329">
            <v>-22520.205999999998</v>
          </cell>
          <cell r="CJ329">
            <v>-22285.550999999999</v>
          </cell>
          <cell r="CL329">
            <v>-33387</v>
          </cell>
          <cell r="CN329">
            <v>33387.205999999998</v>
          </cell>
          <cell r="CP329">
            <v>-22285.344999999998</v>
          </cell>
          <cell r="CQ329">
            <v>0</v>
          </cell>
          <cell r="CR329">
            <v>6482.66</v>
          </cell>
          <cell r="CT329">
            <v>-85409.800593584718</v>
          </cell>
          <cell r="CU329">
            <v>0.18200000000069849</v>
          </cell>
          <cell r="CV329">
            <v>62647.542000000009</v>
          </cell>
          <cell r="CX329">
            <v>-22762.258593584687</v>
          </cell>
          <cell r="FC329">
            <v>-62336.001999999993</v>
          </cell>
          <cell r="FD329">
            <v>-1023.9667266</v>
          </cell>
          <cell r="FE329">
            <v>22649.880226255285</v>
          </cell>
          <cell r="FF329">
            <v>-40710.088500344704</v>
          </cell>
          <cell r="FG329">
            <v>-1009.8980000000006</v>
          </cell>
          <cell r="FH329">
            <v>-603</v>
          </cell>
          <cell r="FI329">
            <v>-64587.78099999993</v>
          </cell>
          <cell r="FJ329">
            <v>7024</v>
          </cell>
          <cell r="FK329">
            <v>-7024</v>
          </cell>
          <cell r="FL329">
            <v>-780.8139999999994</v>
          </cell>
          <cell r="FM329">
            <v>781</v>
          </cell>
          <cell r="FN329">
            <v>-64587.595000000016</v>
          </cell>
          <cell r="FO329">
            <v>-24264.115218999999</v>
          </cell>
          <cell r="FP329">
            <v>-36291.262000000002</v>
          </cell>
          <cell r="FQ329">
            <v>36290.595218999995</v>
          </cell>
          <cell r="FR329">
            <v>-24264.782000000007</v>
          </cell>
          <cell r="FS329">
            <v>141.00399999999991</v>
          </cell>
          <cell r="FT329">
            <v>-131034.35950034461</v>
          </cell>
          <cell r="FU329">
            <v>90324.954500000007</v>
          </cell>
          <cell r="FV329">
            <v>-40709.405000344588</v>
          </cell>
          <cell r="FW329" t="str">
            <v>profit FOR THE PERIOD</v>
          </cell>
          <cell r="FX329">
            <v>-64587.595000000016</v>
          </cell>
          <cell r="FY329">
            <v>-24264.782000000007</v>
          </cell>
          <cell r="FZ329">
            <v>45877.476255000001</v>
          </cell>
          <cell r="GA329">
            <v>-42974.900744999934</v>
          </cell>
          <cell r="GB329">
            <v>-43551.172715302695</v>
          </cell>
          <cell r="GC329">
            <v>2265.4957446553053</v>
          </cell>
          <cell r="GD329">
            <v>2295.8749118867022</v>
          </cell>
          <cell r="GE329">
            <v>2265.4957446553453</v>
          </cell>
          <cell r="GF329">
            <v>2.3754137372639277</v>
          </cell>
          <cell r="GG329">
            <v>-23267.573073637159</v>
          </cell>
          <cell r="GH329">
            <v>0</v>
          </cell>
        </row>
        <row r="330">
          <cell r="A330" t="str">
            <v>DIVIDEND</v>
          </cell>
          <cell r="E330">
            <v>0</v>
          </cell>
          <cell r="G330">
            <v>0</v>
          </cell>
          <cell r="I330">
            <v>0</v>
          </cell>
          <cell r="O330">
            <v>0</v>
          </cell>
          <cell r="Q330">
            <v>0</v>
          </cell>
          <cell r="S330">
            <v>0</v>
          </cell>
          <cell r="U330">
            <v>0</v>
          </cell>
          <cell r="AD330">
            <v>0</v>
          </cell>
          <cell r="AH330">
            <v>4927.4849999999997</v>
          </cell>
          <cell r="AJ330">
            <v>4927.4849999999997</v>
          </cell>
          <cell r="AL330">
            <v>7305.3890000000001</v>
          </cell>
          <cell r="AN330">
            <v>-7305.3890000000001</v>
          </cell>
          <cell r="AP330">
            <v>4927.4849999999997</v>
          </cell>
          <cell r="AR330">
            <v>0</v>
          </cell>
          <cell r="AT330">
            <v>4927.4849999999997</v>
          </cell>
          <cell r="AV330">
            <v>-4927.4849999999997</v>
          </cell>
          <cell r="AX330">
            <v>0</v>
          </cell>
          <cell r="AZ330" t="str">
            <v>DIVIDEND</v>
          </cell>
          <cell r="BC330">
            <v>0</v>
          </cell>
          <cell r="BE330">
            <v>0</v>
          </cell>
          <cell r="BG330">
            <v>0</v>
          </cell>
          <cell r="BI330">
            <v>0</v>
          </cell>
          <cell r="BO330">
            <v>0</v>
          </cell>
          <cell r="BQ330">
            <v>0</v>
          </cell>
          <cell r="BS330">
            <v>0</v>
          </cell>
          <cell r="BU330">
            <v>0</v>
          </cell>
          <cell r="CB330">
            <v>0</v>
          </cell>
          <cell r="CD330">
            <v>0</v>
          </cell>
          <cell r="CH330">
            <v>20572</v>
          </cell>
          <cell r="CJ330">
            <v>20572</v>
          </cell>
          <cell r="CL330">
            <v>30500</v>
          </cell>
          <cell r="CN330">
            <v>-30500</v>
          </cell>
          <cell r="CP330">
            <v>20572</v>
          </cell>
          <cell r="CQ330">
            <v>0</v>
          </cell>
          <cell r="CR330">
            <v>0</v>
          </cell>
          <cell r="CT330">
            <v>20572</v>
          </cell>
          <cell r="CU330">
            <v>0</v>
          </cell>
          <cell r="CV330">
            <v>-20572</v>
          </cell>
          <cell r="CX330">
            <v>0</v>
          </cell>
          <cell r="FC330">
            <v>0</v>
          </cell>
          <cell r="FE330">
            <v>0</v>
          </cell>
          <cell r="FO330">
            <v>20572</v>
          </cell>
          <cell r="FP330">
            <v>30500</v>
          </cell>
          <cell r="FQ330">
            <v>-30500</v>
          </cell>
          <cell r="FR330">
            <v>20572</v>
          </cell>
          <cell r="FS330">
            <v>0</v>
          </cell>
          <cell r="FT330">
            <v>20572</v>
          </cell>
          <cell r="FU330">
            <v>-20572</v>
          </cell>
          <cell r="FV330">
            <v>0</v>
          </cell>
          <cell r="FW330" t="str">
            <v>DIVIDEND</v>
          </cell>
          <cell r="FX330">
            <v>0</v>
          </cell>
          <cell r="FY330">
            <v>20572</v>
          </cell>
          <cell r="GA330">
            <v>20572</v>
          </cell>
          <cell r="GB330">
            <v>20847.860252555623</v>
          </cell>
          <cell r="GC330">
            <v>0</v>
          </cell>
          <cell r="GD330">
            <v>0</v>
          </cell>
          <cell r="GE330">
            <v>-20572</v>
          </cell>
          <cell r="GF330" t="e">
            <v>#DIV/0!</v>
          </cell>
          <cell r="GG330">
            <v>105316.38551992163</v>
          </cell>
          <cell r="GH330">
            <v>0</v>
          </cell>
        </row>
        <row r="331">
          <cell r="A331" t="str">
            <v>profit AT BEG.OF PERIOD</v>
          </cell>
          <cell r="C331">
            <v>-4484.8019999999997</v>
          </cell>
          <cell r="E331">
            <v>-17308.024000000001</v>
          </cell>
          <cell r="G331">
            <v>0</v>
          </cell>
          <cell r="I331">
            <v>-21792.826000000001</v>
          </cell>
          <cell r="O331">
            <v>-1047</v>
          </cell>
          <cell r="Q331">
            <v>-48335</v>
          </cell>
          <cell r="U331">
            <v>-48335</v>
          </cell>
          <cell r="W331">
            <v>-1982</v>
          </cell>
          <cell r="X331">
            <v>1982</v>
          </cell>
          <cell r="Z331">
            <v>-171</v>
          </cell>
          <cell r="AB331">
            <v>171</v>
          </cell>
          <cell r="AD331">
            <v>-48335</v>
          </cell>
          <cell r="AF331">
            <v>-8383.8230000000003</v>
          </cell>
          <cell r="AH331">
            <v>0</v>
          </cell>
          <cell r="AJ331">
            <v>-8383.8230000000003</v>
          </cell>
          <cell r="AL331">
            <v>-12707</v>
          </cell>
          <cell r="AN331">
            <v>12707</v>
          </cell>
          <cell r="AP331">
            <v>-8383.8230000000003</v>
          </cell>
          <cell r="AR331">
            <v>355.00665158371038</v>
          </cell>
          <cell r="AT331">
            <v>-79203.642348416295</v>
          </cell>
          <cell r="AV331">
            <v>57410.816348416294</v>
          </cell>
          <cell r="AX331">
            <v>-21792.826000000001</v>
          </cell>
          <cell r="AZ331" t="str">
            <v>profit AT BEG.OF PERIOD</v>
          </cell>
          <cell r="BC331">
            <v>34143.971000000005</v>
          </cell>
          <cell r="BE331">
            <v>-60928.79</v>
          </cell>
          <cell r="BI331">
            <v>-26784.818999999996</v>
          </cell>
          <cell r="BO331">
            <v>-3193</v>
          </cell>
          <cell r="BQ331">
            <v>-142662</v>
          </cell>
          <cell r="BS331">
            <v>0</v>
          </cell>
          <cell r="BU331">
            <v>-142662</v>
          </cell>
          <cell r="BW331">
            <v>-25785</v>
          </cell>
          <cell r="BX331">
            <v>25785</v>
          </cell>
          <cell r="BZ331">
            <v>-147</v>
          </cell>
          <cell r="CB331">
            <v>147</v>
          </cell>
          <cell r="CD331">
            <v>-142662</v>
          </cell>
          <cell r="CF331">
            <v>-4038.6370000000002</v>
          </cell>
          <cell r="CH331">
            <v>0</v>
          </cell>
          <cell r="CJ331">
            <v>-4038.6370000000002</v>
          </cell>
          <cell r="CL331">
            <v>-7289</v>
          </cell>
          <cell r="CN331">
            <v>7289</v>
          </cell>
          <cell r="CP331">
            <v>-4038.6370000000002</v>
          </cell>
          <cell r="CQ331">
            <v>0</v>
          </cell>
          <cell r="CR331">
            <v>2845.42</v>
          </cell>
          <cell r="CT331">
            <v>-173833.03599999996</v>
          </cell>
          <cell r="CU331">
            <v>0</v>
          </cell>
          <cell r="CV331">
            <v>147048.217</v>
          </cell>
          <cell r="CX331">
            <v>-26784.818999999959</v>
          </cell>
          <cell r="FC331">
            <v>-32416.619000000006</v>
          </cell>
          <cell r="FD331">
            <v>-66383.893745399997</v>
          </cell>
          <cell r="FE331">
            <v>-214</v>
          </cell>
          <cell r="FF331">
            <v>-99014.512745400003</v>
          </cell>
          <cell r="FH331">
            <v>-4184</v>
          </cell>
          <cell r="FI331">
            <v>-196454.8</v>
          </cell>
          <cell r="FJ331">
            <v>-6854</v>
          </cell>
          <cell r="FK331">
            <v>6854</v>
          </cell>
          <cell r="FL331">
            <v>-623</v>
          </cell>
          <cell r="FM331">
            <v>623</v>
          </cell>
          <cell r="FN331">
            <v>-196454.8</v>
          </cell>
          <cell r="FO331">
            <v>-41473.955999999998</v>
          </cell>
          <cell r="FP331">
            <v>-62401</v>
          </cell>
          <cell r="FQ331">
            <v>62401</v>
          </cell>
          <cell r="FR331">
            <v>-41473.955999999998</v>
          </cell>
          <cell r="FS331">
            <v>3004.0590000000002</v>
          </cell>
          <cell r="FT331">
            <v>-338123.2097454</v>
          </cell>
          <cell r="FU331">
            <v>239108.69699999999</v>
          </cell>
          <cell r="FV331">
            <v>-99014.512745400018</v>
          </cell>
          <cell r="FW331" t="str">
            <v>profit AT BEG.OF PERIOD</v>
          </cell>
          <cell r="FX331">
            <v>-196454.8</v>
          </cell>
          <cell r="FY331">
            <v>-41473.955999999998</v>
          </cell>
          <cell r="GA331">
            <v>-237928.75599999999</v>
          </cell>
          <cell r="GB331">
            <v>-241119.26186818996</v>
          </cell>
          <cell r="GC331">
            <v>-99014.512745400018</v>
          </cell>
          <cell r="GD331">
            <v>-100342.24794336899</v>
          </cell>
          <cell r="GE331">
            <v>138914.24325459998</v>
          </cell>
          <cell r="GF331">
            <v>4.5434452945845578</v>
          </cell>
          <cell r="GG331">
            <v>-181066.42999538328</v>
          </cell>
          <cell r="GH331">
            <v>0</v>
          </cell>
        </row>
        <row r="332">
          <cell r="A332" t="str">
            <v>Discontinued operation</v>
          </cell>
          <cell r="FZ332">
            <v>-45877.913100000005</v>
          </cell>
          <cell r="GA332">
            <v>-45877.913100000005</v>
          </cell>
          <cell r="GB332">
            <v>-46493.113017095609</v>
          </cell>
          <cell r="GC332">
            <v>-42974.900744999934</v>
          </cell>
          <cell r="GD332">
            <v>-43551.172715302695</v>
          </cell>
        </row>
        <row r="333">
          <cell r="A333" t="str">
            <v>(PROF)LOSS AT END OF PERIOD</v>
          </cell>
          <cell r="B333">
            <v>0</v>
          </cell>
          <cell r="C333">
            <v>-24318.967000000001</v>
          </cell>
          <cell r="D333">
            <v>0</v>
          </cell>
          <cell r="E333">
            <v>-18208.287</v>
          </cell>
          <cell r="F333">
            <v>0</v>
          </cell>
          <cell r="G333">
            <v>3596.6195138175572</v>
          </cell>
          <cell r="H333">
            <v>0</v>
          </cell>
          <cell r="I333">
            <v>-38930.63448618244</v>
          </cell>
          <cell r="J333">
            <v>0</v>
          </cell>
          <cell r="K333">
            <v>0</v>
          </cell>
          <cell r="L333">
            <v>0</v>
          </cell>
          <cell r="M333">
            <v>-243.03250961538447</v>
          </cell>
          <cell r="N333">
            <v>0</v>
          </cell>
          <cell r="O333">
            <v>-979.5</v>
          </cell>
          <cell r="P333">
            <v>0</v>
          </cell>
          <cell r="Q333">
            <v>-74356.178815384614</v>
          </cell>
          <cell r="R333">
            <v>0</v>
          </cell>
          <cell r="S333">
            <v>202.167</v>
          </cell>
          <cell r="T333">
            <v>0</v>
          </cell>
          <cell r="U333">
            <v>-74154.011815384612</v>
          </cell>
          <cell r="V333">
            <v>0</v>
          </cell>
          <cell r="W333">
            <v>433</v>
          </cell>
          <cell r="X333">
            <v>-432.5</v>
          </cell>
          <cell r="Y333">
            <v>0</v>
          </cell>
          <cell r="Z333">
            <v>-407.24830769230772</v>
          </cell>
          <cell r="AA333">
            <v>0</v>
          </cell>
          <cell r="AB333">
            <v>407</v>
          </cell>
          <cell r="AC333">
            <v>0</v>
          </cell>
          <cell r="AD333">
            <v>-74154.760123076936</v>
          </cell>
          <cell r="AE333">
            <v>0</v>
          </cell>
          <cell r="AF333">
            <v>-8362.9340000000011</v>
          </cell>
          <cell r="AG333">
            <v>0</v>
          </cell>
          <cell r="AH333">
            <v>-2329.5149999999999</v>
          </cell>
          <cell r="AI333">
            <v>0</v>
          </cell>
          <cell r="AJ333">
            <v>-10692.449000000001</v>
          </cell>
          <cell r="AK333">
            <v>0</v>
          </cell>
          <cell r="AL333">
            <v>-16160.913999999997</v>
          </cell>
          <cell r="AM333">
            <v>0</v>
          </cell>
          <cell r="AN333">
            <v>16160.611000000001</v>
          </cell>
          <cell r="AO333">
            <v>0</v>
          </cell>
          <cell r="AP333">
            <v>-10692.751999999997</v>
          </cell>
          <cell r="AQ333">
            <v>0</v>
          </cell>
          <cell r="AR333">
            <v>-1091.8273484162894</v>
          </cell>
          <cell r="AS333">
            <v>0</v>
          </cell>
          <cell r="AT333">
            <v>-126092.50646729108</v>
          </cell>
          <cell r="AU333">
            <v>0</v>
          </cell>
          <cell r="AV333">
            <v>87161.863858031677</v>
          </cell>
          <cell r="AW333">
            <v>0</v>
          </cell>
          <cell r="AX333">
            <v>-38930.642609259361</v>
          </cell>
          <cell r="AZ333">
            <v>0</v>
          </cell>
          <cell r="BA333">
            <v>0</v>
          </cell>
          <cell r="BB333">
            <v>0</v>
          </cell>
          <cell r="BC333">
            <v>2136.7808700000096</v>
          </cell>
          <cell r="BD333">
            <v>0</v>
          </cell>
          <cell r="BE333">
            <v>-67407.641000000003</v>
          </cell>
          <cell r="BF333">
            <v>0</v>
          </cell>
          <cell r="BG333">
            <v>15719.503536415281</v>
          </cell>
          <cell r="BH333">
            <v>0</v>
          </cell>
          <cell r="BI333">
            <v>-49551.356593584715</v>
          </cell>
          <cell r="BJ333">
            <v>0</v>
          </cell>
          <cell r="BK333">
            <v>0</v>
          </cell>
          <cell r="BL333">
            <v>0</v>
          </cell>
          <cell r="BM333">
            <v>-1033.9669999999996</v>
          </cell>
          <cell r="BN333">
            <v>0</v>
          </cell>
          <cell r="BO333">
            <v>-5536.7749999999996</v>
          </cell>
          <cell r="BP333">
            <v>0</v>
          </cell>
          <cell r="BQ333">
            <v>-186130.535</v>
          </cell>
          <cell r="BR333">
            <v>0</v>
          </cell>
          <cell r="BS333">
            <v>0</v>
          </cell>
          <cell r="BT333">
            <v>0</v>
          </cell>
          <cell r="BU333">
            <v>-186130.535</v>
          </cell>
          <cell r="BV333">
            <v>0</v>
          </cell>
          <cell r="BW333">
            <v>-16458.5</v>
          </cell>
          <cell r="BX333">
            <v>16458.5</v>
          </cell>
          <cell r="BY333">
            <v>0</v>
          </cell>
          <cell r="BZ333">
            <v>-762.11900000000117</v>
          </cell>
          <cell r="CA333">
            <v>0</v>
          </cell>
          <cell r="CB333">
            <v>768</v>
          </cell>
          <cell r="CC333">
            <v>0</v>
          </cell>
          <cell r="CD333">
            <v>-186124.65400000001</v>
          </cell>
          <cell r="CE333">
            <v>0</v>
          </cell>
          <cell r="CF333">
            <v>-3803.982</v>
          </cell>
          <cell r="CG333">
            <v>0</v>
          </cell>
          <cell r="CH333">
            <v>-1948.2059999999983</v>
          </cell>
          <cell r="CI333">
            <v>0</v>
          </cell>
          <cell r="CJ333">
            <v>-5752.1879999999983</v>
          </cell>
          <cell r="CK333">
            <v>0</v>
          </cell>
          <cell r="CL333">
            <v>-10176</v>
          </cell>
          <cell r="CM333">
            <v>0</v>
          </cell>
          <cell r="CN333">
            <v>10176.205999999998</v>
          </cell>
          <cell r="CO333">
            <v>0</v>
          </cell>
          <cell r="CP333">
            <v>-5751.9819999999963</v>
          </cell>
          <cell r="CQ333">
            <v>0</v>
          </cell>
          <cell r="CR333">
            <v>9328.08</v>
          </cell>
          <cell r="CS333">
            <v>0</v>
          </cell>
          <cell r="CT333">
            <v>-238670.83659358468</v>
          </cell>
          <cell r="CU333">
            <v>0.18200000000069849</v>
          </cell>
          <cell r="CV333">
            <v>189123.75900000002</v>
          </cell>
          <cell r="CW333">
            <v>0</v>
          </cell>
          <cell r="CX333">
            <v>-49547.077593584647</v>
          </cell>
          <cell r="FC333">
            <v>-94752.620999999999</v>
          </cell>
          <cell r="FD333">
            <v>-67407.860472</v>
          </cell>
          <cell r="FE333">
            <v>22435.880226255285</v>
          </cell>
          <cell r="FF333">
            <v>-139724.60124574471</v>
          </cell>
          <cell r="FG333">
            <v>-1009.8980000000006</v>
          </cell>
          <cell r="FH333">
            <v>-4787</v>
          </cell>
          <cell r="FI333">
            <v>-261042.58099999992</v>
          </cell>
          <cell r="FJ333">
            <v>170</v>
          </cell>
          <cell r="FK333">
            <v>-170</v>
          </cell>
          <cell r="FL333">
            <v>-1403.8139999999994</v>
          </cell>
          <cell r="FM333">
            <v>1404</v>
          </cell>
          <cell r="FN333">
            <v>-261042.39500000002</v>
          </cell>
          <cell r="FO333">
            <v>-45166.071219000005</v>
          </cell>
          <cell r="FP333">
            <v>-68192.262000000002</v>
          </cell>
          <cell r="FQ333">
            <v>68191.595218999995</v>
          </cell>
          <cell r="FR333">
            <v>-45166.738000000012</v>
          </cell>
          <cell r="FS333">
            <v>3145.0630000000001</v>
          </cell>
          <cell r="FT333">
            <v>-448585.56924574461</v>
          </cell>
          <cell r="FU333">
            <v>308861.65149999998</v>
          </cell>
          <cell r="FV333">
            <v>-139723.91774574461</v>
          </cell>
          <cell r="FW333">
            <v>0</v>
          </cell>
          <cell r="FX333">
            <v>-261042.39500000002</v>
          </cell>
          <cell r="FY333">
            <v>-45166.738000000012</v>
          </cell>
          <cell r="FZ333">
            <v>-0.43684500000381377</v>
          </cell>
          <cell r="GA333">
            <v>-306209.56984499993</v>
          </cell>
          <cell r="GB333">
            <v>-310315.6873480326</v>
          </cell>
          <cell r="GC333">
            <v>-139723.91774574463</v>
          </cell>
          <cell r="GD333">
            <v>-141597.54574678498</v>
          </cell>
          <cell r="GE333">
            <v>120607.73899925532</v>
          </cell>
          <cell r="GF333" t="e">
            <v>#DIV/0!</v>
          </cell>
          <cell r="GG333">
            <v>-99017.617549098795</v>
          </cell>
          <cell r="GH333">
            <v>0</v>
          </cell>
        </row>
        <row r="334">
          <cell r="BG334">
            <v>507.01699999999983</v>
          </cell>
          <cell r="BI334">
            <v>1027.0169999999998</v>
          </cell>
          <cell r="BU334">
            <v>-915.53500000001077</v>
          </cell>
          <cell r="CQ334">
            <v>0</v>
          </cell>
          <cell r="CR334">
            <v>4537.8620000000001</v>
          </cell>
          <cell r="CT334">
            <v>0.18199999997159466</v>
          </cell>
        </row>
        <row r="335">
          <cell r="E335" t="str">
            <v xml:space="preserve">     טל"כ=&gt;</v>
          </cell>
          <cell r="I335">
            <v>0</v>
          </cell>
          <cell r="U335">
            <v>0</v>
          </cell>
          <cell r="AD335">
            <v>1.0000000000145519</v>
          </cell>
          <cell r="AJ335">
            <v>0</v>
          </cell>
          <cell r="AP335">
            <v>0</v>
          </cell>
          <cell r="AT335">
            <v>3.2514435588382185E-11</v>
          </cell>
          <cell r="AX335">
            <v>-8.1230769210378639E-3</v>
          </cell>
          <cell r="BE335" t="str">
            <v xml:space="preserve">     טל"כ=&gt;</v>
          </cell>
          <cell r="BG335">
            <v>-16287.686593584715</v>
          </cell>
          <cell r="BK335">
            <v>1033.9590000000001</v>
          </cell>
          <cell r="BU335">
            <v>-146169</v>
          </cell>
          <cell r="BZ335">
            <v>-212.1</v>
          </cell>
          <cell r="CQ335">
            <v>0</v>
          </cell>
          <cell r="CR335" t="str">
            <v xml:space="preserve"> </v>
          </cell>
          <cell r="CX335">
            <v>4.2790000000677537</v>
          </cell>
        </row>
        <row r="336">
          <cell r="B336" t="str">
            <v>{r 4}+{l 4}-{l 2}~{D}{l 4}</v>
          </cell>
          <cell r="M336" t="str">
            <v>\h</v>
          </cell>
          <cell r="U336" t="str">
            <v>/RV{ESC}{R 3}~~{R}/RV{ESC}{R 3}~~{R 2}+{l 3}+{L 6}~{R}+{L 3}+{L 6}~{D}{L 4}</v>
          </cell>
          <cell r="BQ336" t="str">
            <v xml:space="preserve"> </v>
          </cell>
          <cell r="BU336">
            <v>-139155</v>
          </cell>
          <cell r="BZ336">
            <v>4413.1000000000004</v>
          </cell>
          <cell r="CQ336">
            <v>0</v>
          </cell>
          <cell r="CR336" t="str">
            <v xml:space="preserve"> </v>
          </cell>
        </row>
        <row r="423">
          <cell r="A423" t="str">
            <v>RIVON-ALIS MEUCHAD</v>
          </cell>
          <cell r="AL423" t="str">
            <v>RIVON-ALIS</v>
          </cell>
        </row>
        <row r="424">
          <cell r="C424" t="str">
            <v>1-9/98</v>
          </cell>
          <cell r="E424" t="str">
            <v>1-9/98</v>
          </cell>
          <cell r="G424" t="str">
            <v>1-9/98</v>
          </cell>
          <cell r="I424" t="str">
            <v>10-12/97</v>
          </cell>
          <cell r="M424" t="str">
            <v>10-12/97</v>
          </cell>
          <cell r="Q424" t="str">
            <v>10-12/97</v>
          </cell>
          <cell r="S424" t="str">
            <v>10/97-9/98</v>
          </cell>
          <cell r="U424" t="str">
            <v>10/97-9/98</v>
          </cell>
          <cell r="Z424" t="str">
            <v>10/97-9/98</v>
          </cell>
          <cell r="AB424" t="str">
            <v>10/97-9/98</v>
          </cell>
          <cell r="AD424" t="str">
            <v>1-9/98</v>
          </cell>
          <cell r="AF424" t="str">
            <v>10/97-9/98</v>
          </cell>
          <cell r="AH424" t="str">
            <v>10/97-9/98</v>
          </cell>
          <cell r="AJ424" t="str">
            <v>10/97-9/98</v>
          </cell>
          <cell r="AL424" t="str">
            <v>10/97-9/98</v>
          </cell>
          <cell r="AR424" t="str">
            <v>TOTAL      A.L.I.S.</v>
          </cell>
          <cell r="AV424" t="str">
            <v>CONSOLIDATED</v>
          </cell>
        </row>
        <row r="425">
          <cell r="A425">
            <v>36661.599853703701</v>
          </cell>
          <cell r="C425" t="str">
            <v>A.C.T.V.</v>
          </cell>
          <cell r="E425" t="str">
            <v>A.L.I.S</v>
          </cell>
          <cell r="G425" t="str">
            <v>TOTAL</v>
          </cell>
          <cell r="I425" t="str">
            <v>A.C.T.V.</v>
          </cell>
          <cell r="M425" t="str">
            <v>A.L.I.S</v>
          </cell>
          <cell r="Q425" t="str">
            <v>TOTAL</v>
          </cell>
          <cell r="S425" t="str">
            <v>A.C.T.V.</v>
          </cell>
          <cell r="U425" t="str">
            <v>A.L.I.S</v>
          </cell>
          <cell r="Z425" t="str">
            <v>TOTAL</v>
          </cell>
          <cell r="AB425" t="str">
            <v>Pnai Plus</v>
          </cell>
          <cell r="AD425" t="str">
            <v>נטקום</v>
          </cell>
          <cell r="AF425" t="str">
            <v>G.C.&amp; CO.</v>
          </cell>
          <cell r="AH425" t="str">
            <v>S.S.C.</v>
          </cell>
          <cell r="AJ425" t="str">
            <v>MERCAZ</v>
          </cell>
          <cell r="AL425" t="str">
            <v>TOTAL</v>
          </cell>
          <cell r="AN425">
            <v>36661.599853703701</v>
          </cell>
          <cell r="AR425" t="str">
            <v>1-9/98</v>
          </cell>
          <cell r="AT425" t="str">
            <v>10-12/97</v>
          </cell>
          <cell r="AV425" t="str">
            <v>10/97-9/98</v>
          </cell>
          <cell r="AX425" t="str">
            <v>Check</v>
          </cell>
        </row>
        <row r="426">
          <cell r="A426">
            <v>36661.599853703701</v>
          </cell>
          <cell r="AN426">
            <v>36661.599853703701</v>
          </cell>
        </row>
        <row r="427">
          <cell r="A427" t="str">
            <v>INCOME</v>
          </cell>
          <cell r="C427" t="str">
            <v>000$</v>
          </cell>
          <cell r="E427" t="str">
            <v>000$</v>
          </cell>
          <cell r="G427" t="str">
            <v>000$</v>
          </cell>
          <cell r="I427" t="str">
            <v>000$</v>
          </cell>
          <cell r="M427" t="str">
            <v>000$</v>
          </cell>
          <cell r="Q427" t="str">
            <v>000$</v>
          </cell>
          <cell r="S427" t="str">
            <v>000$</v>
          </cell>
          <cell r="U427" t="str">
            <v>000$</v>
          </cell>
          <cell r="Z427" t="str">
            <v>000$</v>
          </cell>
          <cell r="AB427" t="str">
            <v>000$</v>
          </cell>
          <cell r="AD427" t="str">
            <v>000$</v>
          </cell>
          <cell r="AF427" t="str">
            <v>000$</v>
          </cell>
          <cell r="AH427" t="str">
            <v>000$</v>
          </cell>
          <cell r="AJ427" t="str">
            <v>000$</v>
          </cell>
          <cell r="AL427" t="str">
            <v>000$</v>
          </cell>
          <cell r="AN427" t="str">
            <v>INCOME</v>
          </cell>
          <cell r="AR427" t="str">
            <v>000$</v>
          </cell>
          <cell r="AT427" t="str">
            <v>000$</v>
          </cell>
          <cell r="AV427" t="str">
            <v>000$</v>
          </cell>
        </row>
        <row r="428">
          <cell r="A428" t="str">
            <v>subscribership fees</v>
          </cell>
          <cell r="C428">
            <v>0</v>
          </cell>
          <cell r="E428">
            <v>0</v>
          </cell>
          <cell r="G428">
            <v>0</v>
          </cell>
          <cell r="I428">
            <v>0</v>
          </cell>
          <cell r="M428">
            <v>0</v>
          </cell>
          <cell r="Q428">
            <v>0</v>
          </cell>
          <cell r="S428">
            <v>0</v>
          </cell>
          <cell r="U428">
            <v>0</v>
          </cell>
          <cell r="Z428">
            <v>0</v>
          </cell>
          <cell r="AB428">
            <v>0</v>
          </cell>
          <cell r="AD428">
            <v>0</v>
          </cell>
          <cell r="AF428">
            <v>0</v>
          </cell>
          <cell r="AH428">
            <v>0</v>
          </cell>
          <cell r="AJ428">
            <v>0</v>
          </cell>
          <cell r="AL428">
            <v>0</v>
          </cell>
          <cell r="AN428" t="str">
            <v>subscribership fees</v>
          </cell>
          <cell r="AR428">
            <v>-134757.45000000001</v>
          </cell>
          <cell r="AT428">
            <v>-27217</v>
          </cell>
          <cell r="AV428">
            <v>-161974.45000000001</v>
          </cell>
        </row>
        <row r="429">
          <cell r="A429" t="str">
            <v>installation</v>
          </cell>
          <cell r="C429">
            <v>0</v>
          </cell>
          <cell r="E429">
            <v>0</v>
          </cell>
          <cell r="G429">
            <v>0</v>
          </cell>
          <cell r="I429">
            <v>0</v>
          </cell>
          <cell r="M429">
            <v>0</v>
          </cell>
          <cell r="Q429">
            <v>0</v>
          </cell>
          <cell r="S429">
            <v>0</v>
          </cell>
          <cell r="U429">
            <v>0</v>
          </cell>
          <cell r="Z429">
            <v>0</v>
          </cell>
          <cell r="AB429">
            <v>0</v>
          </cell>
          <cell r="AD429">
            <v>0</v>
          </cell>
          <cell r="AF429">
            <v>0</v>
          </cell>
          <cell r="AH429">
            <v>0</v>
          </cell>
          <cell r="AJ429">
            <v>0</v>
          </cell>
          <cell r="AL429">
            <v>0</v>
          </cell>
          <cell r="AN429" t="str">
            <v>installation</v>
          </cell>
          <cell r="AR429">
            <v>-4511.7450000000008</v>
          </cell>
          <cell r="AT429">
            <v>-2388</v>
          </cell>
          <cell r="AV429">
            <v>-6899.7450000000008</v>
          </cell>
        </row>
        <row r="430">
          <cell r="A430" t="str">
            <v>deposits</v>
          </cell>
          <cell r="C430">
            <v>0</v>
          </cell>
          <cell r="E430">
            <v>0</v>
          </cell>
          <cell r="G430">
            <v>0</v>
          </cell>
          <cell r="I430">
            <v>0</v>
          </cell>
          <cell r="M430">
            <v>0</v>
          </cell>
          <cell r="Q430">
            <v>0</v>
          </cell>
          <cell r="S430">
            <v>0</v>
          </cell>
          <cell r="U430">
            <v>0</v>
          </cell>
          <cell r="Z430">
            <v>0</v>
          </cell>
          <cell r="AB430">
            <v>0</v>
          </cell>
          <cell r="AD430">
            <v>0</v>
          </cell>
          <cell r="AF430">
            <v>0</v>
          </cell>
          <cell r="AH430">
            <v>0</v>
          </cell>
          <cell r="AJ430">
            <v>0</v>
          </cell>
          <cell r="AL430">
            <v>0</v>
          </cell>
          <cell r="AN430" t="str">
            <v>deposits</v>
          </cell>
          <cell r="AR430">
            <v>0</v>
          </cell>
          <cell r="AT430">
            <v>-1771</v>
          </cell>
          <cell r="AV430">
            <v>-1771</v>
          </cell>
        </row>
        <row r="431">
          <cell r="A431" t="str">
            <v>management fees-from GC&amp;co</v>
          </cell>
          <cell r="C431">
            <v>-3399.067</v>
          </cell>
          <cell r="E431">
            <v>0</v>
          </cell>
          <cell r="G431">
            <v>-3399.067</v>
          </cell>
          <cell r="I431">
            <v>-639</v>
          </cell>
          <cell r="M431">
            <v>0</v>
          </cell>
          <cell r="Q431">
            <v>-639</v>
          </cell>
          <cell r="S431">
            <v>-4038.067</v>
          </cell>
          <cell r="U431">
            <v>0</v>
          </cell>
          <cell r="Z431">
            <v>-4038.067</v>
          </cell>
          <cell r="AB431">
            <v>0</v>
          </cell>
          <cell r="AD431">
            <v>0</v>
          </cell>
          <cell r="AF431">
            <v>0</v>
          </cell>
          <cell r="AH431">
            <v>0</v>
          </cell>
          <cell r="AJ431">
            <v>0</v>
          </cell>
          <cell r="AL431">
            <v>-4038.067</v>
          </cell>
          <cell r="AN431" t="str">
            <v>management fees</v>
          </cell>
          <cell r="AR431">
            <v>0</v>
          </cell>
          <cell r="AT431">
            <v>0</v>
          </cell>
          <cell r="AV431">
            <v>0</v>
          </cell>
        </row>
        <row r="432">
          <cell r="A432" t="str">
            <v>management fees-from others</v>
          </cell>
          <cell r="C432">
            <v>-909.452</v>
          </cell>
          <cell r="E432">
            <v>-104.727</v>
          </cell>
          <cell r="G432">
            <v>-1014.179</v>
          </cell>
          <cell r="I432">
            <v>-240</v>
          </cell>
          <cell r="M432">
            <v>0</v>
          </cell>
          <cell r="Q432">
            <v>-240</v>
          </cell>
          <cell r="S432">
            <v>-1149.452</v>
          </cell>
          <cell r="U432">
            <v>-104.727</v>
          </cell>
          <cell r="Z432">
            <v>-1254.1790000000001</v>
          </cell>
          <cell r="AB432">
            <v>0</v>
          </cell>
          <cell r="AD432">
            <v>0</v>
          </cell>
          <cell r="AF432">
            <v>0</v>
          </cell>
          <cell r="AH432">
            <v>0</v>
          </cell>
          <cell r="AJ432">
            <v>0</v>
          </cell>
          <cell r="AL432">
            <v>-1254.1790000000001</v>
          </cell>
          <cell r="AN432" t="str">
            <v>management fees</v>
          </cell>
          <cell r="AR432">
            <v>0</v>
          </cell>
          <cell r="AT432">
            <v>0</v>
          </cell>
          <cell r="AV432">
            <v>0</v>
          </cell>
        </row>
        <row r="433">
          <cell r="A433" t="str">
            <v>other</v>
          </cell>
          <cell r="C433">
            <v>0</v>
          </cell>
          <cell r="E433">
            <v>0</v>
          </cell>
          <cell r="G433">
            <v>0</v>
          </cell>
          <cell r="I433">
            <v>0</v>
          </cell>
          <cell r="M433">
            <v>0</v>
          </cell>
          <cell r="Q433">
            <v>0</v>
          </cell>
          <cell r="S433">
            <v>0</v>
          </cell>
          <cell r="U433">
            <v>0</v>
          </cell>
          <cell r="Z433">
            <v>0</v>
          </cell>
          <cell r="AB433">
            <v>0</v>
          </cell>
          <cell r="AD433">
            <v>-12206</v>
          </cell>
          <cell r="AF433">
            <v>0</v>
          </cell>
          <cell r="AH433">
            <v>0</v>
          </cell>
          <cell r="AJ433">
            <v>0</v>
          </cell>
          <cell r="AL433">
            <v>-12206</v>
          </cell>
          <cell r="AN433" t="str">
            <v>other</v>
          </cell>
          <cell r="AR433">
            <v>-12206</v>
          </cell>
          <cell r="AT433">
            <v>-5539</v>
          </cell>
          <cell r="AV433">
            <v>-17745</v>
          </cell>
        </row>
        <row r="434">
          <cell r="A434" t="str">
            <v>other</v>
          </cell>
          <cell r="AD434">
            <v>0</v>
          </cell>
          <cell r="AL434">
            <v>0</v>
          </cell>
          <cell r="AN434" t="str">
            <v>other</v>
          </cell>
          <cell r="AR434">
            <v>-809.81699999999989</v>
          </cell>
          <cell r="AT434">
            <v>-303</v>
          </cell>
          <cell r="AV434">
            <v>-1112.817</v>
          </cell>
        </row>
        <row r="435">
          <cell r="A435" t="str">
            <v>services</v>
          </cell>
          <cell r="C435">
            <v>0</v>
          </cell>
          <cell r="E435">
            <v>0</v>
          </cell>
          <cell r="G435">
            <v>0</v>
          </cell>
          <cell r="I435">
            <v>0</v>
          </cell>
          <cell r="M435">
            <v>-600</v>
          </cell>
          <cell r="Q435">
            <v>-600</v>
          </cell>
          <cell r="S435">
            <v>0</v>
          </cell>
          <cell r="U435">
            <v>-600</v>
          </cell>
          <cell r="Z435">
            <v>-600</v>
          </cell>
          <cell r="AB435">
            <v>0</v>
          </cell>
          <cell r="AD435">
            <v>0</v>
          </cell>
          <cell r="AF435">
            <v>0</v>
          </cell>
          <cell r="AJ435">
            <v>0</v>
          </cell>
          <cell r="AL435">
            <v>-600</v>
          </cell>
          <cell r="AN435" t="str">
            <v>services</v>
          </cell>
          <cell r="AR435">
            <v>-335.60650000000004</v>
          </cell>
          <cell r="AT435">
            <v>-563</v>
          </cell>
          <cell r="AV435">
            <v>-898.6065000000001</v>
          </cell>
        </row>
        <row r="436">
          <cell r="C436">
            <v>-4308.5190000000002</v>
          </cell>
          <cell r="E436">
            <v>-104.727</v>
          </cell>
          <cell r="G436">
            <v>-4413.2460000000001</v>
          </cell>
          <cell r="I436">
            <v>-879</v>
          </cell>
          <cell r="M436">
            <v>-600</v>
          </cell>
          <cell r="Q436">
            <v>-1479</v>
          </cell>
          <cell r="S436">
            <v>-5187.5190000000002</v>
          </cell>
          <cell r="U436">
            <v>-704.72699999999998</v>
          </cell>
          <cell r="Z436">
            <v>-5892.2460000000001</v>
          </cell>
          <cell r="AB436">
            <v>0</v>
          </cell>
          <cell r="AD436">
            <v>-12206</v>
          </cell>
          <cell r="AF436">
            <v>0</v>
          </cell>
          <cell r="AH436">
            <v>0</v>
          </cell>
          <cell r="AJ436">
            <v>0</v>
          </cell>
          <cell r="AL436">
            <v>-18098.245999999999</v>
          </cell>
          <cell r="AR436">
            <v>-155540.94890865387</v>
          </cell>
          <cell r="AT436">
            <v>-37781</v>
          </cell>
          <cell r="AV436">
            <v>-190401.61850000001</v>
          </cell>
          <cell r="AX436">
            <v>-2920.3304086538556</v>
          </cell>
        </row>
        <row r="438">
          <cell r="A438" t="str">
            <v>OPERATING EXP.</v>
          </cell>
          <cell r="AN438" t="str">
            <v>OPERATING EXP.</v>
          </cell>
        </row>
        <row r="439">
          <cell r="A439" t="str">
            <v>salaries</v>
          </cell>
          <cell r="C439">
            <v>0</v>
          </cell>
          <cell r="E439">
            <v>0</v>
          </cell>
          <cell r="G439">
            <v>0</v>
          </cell>
          <cell r="I439">
            <v>0</v>
          </cell>
          <cell r="M439">
            <v>0</v>
          </cell>
          <cell r="Q439">
            <v>0</v>
          </cell>
          <cell r="S439">
            <v>0</v>
          </cell>
          <cell r="U439">
            <v>0</v>
          </cell>
          <cell r="Z439">
            <v>0</v>
          </cell>
          <cell r="AB439">
            <v>0</v>
          </cell>
          <cell r="AD439">
            <v>8538</v>
          </cell>
          <cell r="AF439">
            <v>0</v>
          </cell>
          <cell r="AH439">
            <v>0</v>
          </cell>
          <cell r="AJ439">
            <v>0</v>
          </cell>
          <cell r="AL439">
            <v>8538</v>
          </cell>
          <cell r="AN439" t="str">
            <v>salaries</v>
          </cell>
          <cell r="AR439">
            <v>8593.4211682692294</v>
          </cell>
          <cell r="AT439">
            <v>2098</v>
          </cell>
          <cell r="AV439">
            <v>10691.421168269229</v>
          </cell>
        </row>
        <row r="440">
          <cell r="A440" t="str">
            <v>purchases</v>
          </cell>
          <cell r="AD440">
            <v>0</v>
          </cell>
          <cell r="AL440">
            <v>0</v>
          </cell>
          <cell r="AN440" t="str">
            <v>purchases</v>
          </cell>
          <cell r="AR440">
            <v>8538</v>
          </cell>
          <cell r="AT440">
            <v>4629</v>
          </cell>
          <cell r="AV440">
            <v>13167</v>
          </cell>
        </row>
        <row r="441">
          <cell r="A441" t="str">
            <v>capitalization sal.</v>
          </cell>
          <cell r="C441">
            <v>-9.7430000000000003</v>
          </cell>
          <cell r="E441">
            <v>0</v>
          </cell>
          <cell r="G441">
            <v>-9.7430000000000003</v>
          </cell>
          <cell r="I441">
            <v>-39</v>
          </cell>
          <cell r="M441">
            <v>0</v>
          </cell>
          <cell r="Q441">
            <v>-39</v>
          </cell>
          <cell r="S441">
            <v>-48.743000000000002</v>
          </cell>
          <cell r="U441">
            <v>0</v>
          </cell>
          <cell r="Z441">
            <v>-48.743000000000002</v>
          </cell>
          <cell r="AB441">
            <v>0</v>
          </cell>
          <cell r="AD441">
            <v>0</v>
          </cell>
          <cell r="AF441">
            <v>0</v>
          </cell>
          <cell r="AH441">
            <v>0</v>
          </cell>
          <cell r="AJ441">
            <v>0</v>
          </cell>
          <cell r="AL441">
            <v>-48.743000000000002</v>
          </cell>
          <cell r="AN441" t="str">
            <v>capitalization sal.</v>
          </cell>
          <cell r="AR441">
            <v>-9.7430000000000003</v>
          </cell>
          <cell r="AT441">
            <v>-39</v>
          </cell>
          <cell r="AV441">
            <v>-48.743000000000002</v>
          </cell>
        </row>
        <row r="442">
          <cell r="A442" t="str">
            <v>consulting</v>
          </cell>
          <cell r="C442">
            <v>0</v>
          </cell>
          <cell r="E442">
            <v>0</v>
          </cell>
          <cell r="G442">
            <v>0</v>
          </cell>
          <cell r="I442">
            <v>0</v>
          </cell>
          <cell r="M442">
            <v>0</v>
          </cell>
          <cell r="Q442">
            <v>0</v>
          </cell>
          <cell r="S442">
            <v>0</v>
          </cell>
          <cell r="U442">
            <v>0</v>
          </cell>
          <cell r="Z442">
            <v>0</v>
          </cell>
          <cell r="AB442">
            <v>0</v>
          </cell>
          <cell r="AD442">
            <v>0</v>
          </cell>
          <cell r="AF442">
            <v>0</v>
          </cell>
          <cell r="AH442">
            <v>0</v>
          </cell>
          <cell r="AJ442">
            <v>0</v>
          </cell>
          <cell r="AL442">
            <v>0</v>
          </cell>
          <cell r="AN442" t="str">
            <v>consulting</v>
          </cell>
          <cell r="AR442">
            <v>22.762</v>
          </cell>
          <cell r="AT442">
            <v>11</v>
          </cell>
          <cell r="AV442">
            <v>33.762</v>
          </cell>
        </row>
        <row r="443">
          <cell r="A443" t="str">
            <v>FRANCHISE EXP&amp;ROYALTIES</v>
          </cell>
          <cell r="C443">
            <v>0</v>
          </cell>
          <cell r="E443">
            <v>0</v>
          </cell>
          <cell r="G443">
            <v>0</v>
          </cell>
          <cell r="I443">
            <v>0</v>
          </cell>
          <cell r="M443">
            <v>0</v>
          </cell>
          <cell r="Q443">
            <v>0</v>
          </cell>
          <cell r="S443">
            <v>0</v>
          </cell>
          <cell r="U443">
            <v>0</v>
          </cell>
          <cell r="Z443">
            <v>0</v>
          </cell>
          <cell r="AB443">
            <v>0</v>
          </cell>
          <cell r="AD443">
            <v>0</v>
          </cell>
          <cell r="AF443">
            <v>0</v>
          </cell>
          <cell r="AH443">
            <v>0</v>
          </cell>
          <cell r="AJ443">
            <v>0</v>
          </cell>
          <cell r="AL443">
            <v>0</v>
          </cell>
          <cell r="AN443" t="str">
            <v>bidding</v>
          </cell>
          <cell r="AR443">
            <v>9742.8120000000017</v>
          </cell>
          <cell r="AT443">
            <v>2099</v>
          </cell>
          <cell r="AV443">
            <v>11841.812000000002</v>
          </cell>
        </row>
        <row r="444">
          <cell r="A444" t="str">
            <v>car &amp; travel</v>
          </cell>
          <cell r="C444">
            <v>0</v>
          </cell>
          <cell r="E444">
            <v>0</v>
          </cell>
          <cell r="G444">
            <v>0</v>
          </cell>
          <cell r="I444">
            <v>0</v>
          </cell>
          <cell r="M444">
            <v>0</v>
          </cell>
          <cell r="Q444">
            <v>0</v>
          </cell>
          <cell r="S444">
            <v>0</v>
          </cell>
          <cell r="U444">
            <v>0</v>
          </cell>
          <cell r="Z444">
            <v>0</v>
          </cell>
          <cell r="AB444">
            <v>0</v>
          </cell>
          <cell r="AD444">
            <v>0</v>
          </cell>
          <cell r="AF444">
            <v>0</v>
          </cell>
          <cell r="AH444">
            <v>0</v>
          </cell>
          <cell r="AJ444">
            <v>0</v>
          </cell>
          <cell r="AL444">
            <v>0</v>
          </cell>
          <cell r="AN444" t="str">
            <v>planning</v>
          </cell>
          <cell r="AR444">
            <v>1272.9879999999998</v>
          </cell>
          <cell r="AT444">
            <v>344</v>
          </cell>
          <cell r="AV444">
            <v>1616.9879999999998</v>
          </cell>
        </row>
        <row r="445">
          <cell r="A445" t="str">
            <v>programming</v>
          </cell>
          <cell r="C445">
            <v>0</v>
          </cell>
          <cell r="E445">
            <v>0</v>
          </cell>
          <cell r="G445">
            <v>0</v>
          </cell>
          <cell r="I445">
            <v>0</v>
          </cell>
          <cell r="M445">
            <v>0</v>
          </cell>
          <cell r="Q445">
            <v>0</v>
          </cell>
          <cell r="S445">
            <v>0</v>
          </cell>
          <cell r="U445">
            <v>0</v>
          </cell>
          <cell r="Z445">
            <v>0</v>
          </cell>
          <cell r="AB445">
            <v>0</v>
          </cell>
          <cell r="AD445" t="e">
            <v>#REF!</v>
          </cell>
          <cell r="AF445">
            <v>0</v>
          </cell>
          <cell r="AH445">
            <v>0</v>
          </cell>
          <cell r="AJ445">
            <v>0</v>
          </cell>
          <cell r="AL445" t="e">
            <v>#REF!</v>
          </cell>
          <cell r="AN445" t="str">
            <v>programming</v>
          </cell>
          <cell r="AR445">
            <v>20627.863000000001</v>
          </cell>
          <cell r="AT445">
            <v>3736</v>
          </cell>
          <cell r="AV445">
            <v>24363.863000000001</v>
          </cell>
        </row>
        <row r="446">
          <cell r="AD446">
            <v>0</v>
          </cell>
          <cell r="AL446">
            <v>0</v>
          </cell>
          <cell r="AN446" t="str">
            <v>cost of publication</v>
          </cell>
          <cell r="AT446">
            <v>1907</v>
          </cell>
          <cell r="AV446">
            <v>1907</v>
          </cell>
        </row>
        <row r="447">
          <cell r="A447" t="str">
            <v>rent&amp;maint.-(head-end)</v>
          </cell>
          <cell r="C447">
            <v>0</v>
          </cell>
          <cell r="E447">
            <v>0</v>
          </cell>
          <cell r="G447">
            <v>0</v>
          </cell>
          <cell r="I447">
            <v>0</v>
          </cell>
          <cell r="M447">
            <v>0</v>
          </cell>
          <cell r="Q447">
            <v>0</v>
          </cell>
          <cell r="S447">
            <v>0</v>
          </cell>
          <cell r="U447">
            <v>0</v>
          </cell>
          <cell r="Z447">
            <v>0</v>
          </cell>
          <cell r="AB447">
            <v>0</v>
          </cell>
          <cell r="AD447">
            <v>0</v>
          </cell>
          <cell r="AF447">
            <v>0</v>
          </cell>
          <cell r="AH447">
            <v>0</v>
          </cell>
          <cell r="AJ447">
            <v>0</v>
          </cell>
          <cell r="AL447">
            <v>0</v>
          </cell>
          <cell r="AN447" t="str">
            <v>maintanence (head-end&amp;distr.)</v>
          </cell>
          <cell r="AR447">
            <v>5928.5914999999995</v>
          </cell>
          <cell r="AT447">
            <v>-21</v>
          </cell>
          <cell r="AV447">
            <v>5907.5914999999995</v>
          </cell>
        </row>
        <row r="448">
          <cell r="A448" t="str">
            <v>rent&amp;maint.-(network)</v>
          </cell>
          <cell r="C448">
            <v>0</v>
          </cell>
          <cell r="E448">
            <v>0</v>
          </cell>
          <cell r="G448">
            <v>0</v>
          </cell>
          <cell r="I448">
            <v>0</v>
          </cell>
          <cell r="M448">
            <v>0</v>
          </cell>
          <cell r="Q448">
            <v>0</v>
          </cell>
          <cell r="S448">
            <v>0</v>
          </cell>
          <cell r="U448">
            <v>0</v>
          </cell>
          <cell r="Z448">
            <v>0</v>
          </cell>
          <cell r="AB448">
            <v>0</v>
          </cell>
          <cell r="AD448">
            <v>0</v>
          </cell>
          <cell r="AF448">
            <v>0</v>
          </cell>
          <cell r="AH448">
            <v>0</v>
          </cell>
          <cell r="AJ448">
            <v>0</v>
          </cell>
          <cell r="AL448">
            <v>0</v>
          </cell>
          <cell r="AR448">
            <v>4708.0169999999998</v>
          </cell>
          <cell r="AT448">
            <v>1643</v>
          </cell>
          <cell r="AV448">
            <v>6351.0169999999998</v>
          </cell>
        </row>
        <row r="449">
          <cell r="A449" t="str">
            <v>amortization</v>
          </cell>
          <cell r="C449">
            <v>0</v>
          </cell>
          <cell r="E449">
            <v>0</v>
          </cell>
          <cell r="G449">
            <v>0</v>
          </cell>
          <cell r="I449">
            <v>2</v>
          </cell>
          <cell r="M449">
            <v>0</v>
          </cell>
          <cell r="Q449">
            <v>2</v>
          </cell>
          <cell r="S449">
            <v>2</v>
          </cell>
          <cell r="U449">
            <v>0</v>
          </cell>
          <cell r="Z449">
            <v>2</v>
          </cell>
          <cell r="AB449">
            <v>0</v>
          </cell>
          <cell r="AD449">
            <v>0</v>
          </cell>
          <cell r="AF449">
            <v>0</v>
          </cell>
          <cell r="AH449">
            <v>0</v>
          </cell>
          <cell r="AJ449">
            <v>0</v>
          </cell>
          <cell r="AL449">
            <v>2</v>
          </cell>
          <cell r="AN449" t="str">
            <v>amortization</v>
          </cell>
          <cell r="AR449">
            <v>64.872000000000014</v>
          </cell>
          <cell r="AT449">
            <v>118</v>
          </cell>
          <cell r="AV449">
            <v>182.87200000000001</v>
          </cell>
        </row>
        <row r="450">
          <cell r="A450" t="str">
            <v>depreciation</v>
          </cell>
          <cell r="C450">
            <v>0</v>
          </cell>
          <cell r="E450">
            <v>0</v>
          </cell>
          <cell r="G450">
            <v>0</v>
          </cell>
          <cell r="I450">
            <v>0</v>
          </cell>
          <cell r="M450">
            <v>0</v>
          </cell>
          <cell r="Q450">
            <v>0</v>
          </cell>
          <cell r="S450">
            <v>0</v>
          </cell>
          <cell r="U450">
            <v>0</v>
          </cell>
          <cell r="Z450">
            <v>0</v>
          </cell>
          <cell r="AB450">
            <v>0</v>
          </cell>
          <cell r="AD450">
            <v>0</v>
          </cell>
          <cell r="AF450">
            <v>0</v>
          </cell>
          <cell r="AH450">
            <v>0</v>
          </cell>
          <cell r="AJ450">
            <v>0</v>
          </cell>
          <cell r="AL450">
            <v>0</v>
          </cell>
          <cell r="AN450" t="str">
            <v>depreciation</v>
          </cell>
          <cell r="AR450">
            <v>21122.614000000001</v>
          </cell>
          <cell r="AT450">
            <v>4792</v>
          </cell>
          <cell r="AV450">
            <v>25914.614000000001</v>
          </cell>
        </row>
        <row r="451">
          <cell r="A451" t="str">
            <v>abandonment of subscribers</v>
          </cell>
          <cell r="C451">
            <v>0</v>
          </cell>
          <cell r="E451">
            <v>0</v>
          </cell>
          <cell r="G451">
            <v>0</v>
          </cell>
          <cell r="I451">
            <v>0</v>
          </cell>
          <cell r="M451">
            <v>0</v>
          </cell>
          <cell r="Q451">
            <v>0</v>
          </cell>
          <cell r="S451">
            <v>0</v>
          </cell>
          <cell r="U451">
            <v>0</v>
          </cell>
          <cell r="Z451">
            <v>0</v>
          </cell>
          <cell r="AB451">
            <v>0</v>
          </cell>
          <cell r="AD451">
            <v>0</v>
          </cell>
          <cell r="AF451">
            <v>0</v>
          </cell>
          <cell r="AH451">
            <v>0</v>
          </cell>
          <cell r="AJ451">
            <v>0</v>
          </cell>
          <cell r="AL451">
            <v>0</v>
          </cell>
          <cell r="AN451" t="str">
            <v>abandonment of subscribers</v>
          </cell>
          <cell r="AR451">
            <v>569.93299999999999</v>
          </cell>
          <cell r="AT451">
            <v>639</v>
          </cell>
          <cell r="AV451">
            <v>1208.933</v>
          </cell>
        </row>
        <row r="452">
          <cell r="A452" t="str">
            <v>capit.fraction</v>
          </cell>
          <cell r="C452">
            <v>0</v>
          </cell>
          <cell r="E452">
            <v>0</v>
          </cell>
          <cell r="G452">
            <v>0</v>
          </cell>
          <cell r="I452">
            <v>0</v>
          </cell>
          <cell r="M452">
            <v>0</v>
          </cell>
          <cell r="Q452">
            <v>0</v>
          </cell>
          <cell r="S452">
            <v>0</v>
          </cell>
          <cell r="U452">
            <v>0</v>
          </cell>
          <cell r="Z452">
            <v>0</v>
          </cell>
          <cell r="AB452">
            <v>0</v>
          </cell>
          <cell r="AD452">
            <v>0</v>
          </cell>
          <cell r="AF452">
            <v>0</v>
          </cell>
          <cell r="AH452">
            <v>0</v>
          </cell>
          <cell r="AJ452">
            <v>0</v>
          </cell>
          <cell r="AL452">
            <v>0</v>
          </cell>
          <cell r="AN452" t="str">
            <v>capit.fraction</v>
          </cell>
          <cell r="AR452">
            <v>0</v>
          </cell>
          <cell r="AT452">
            <v>-12</v>
          </cell>
          <cell r="AV452">
            <v>-12</v>
          </cell>
        </row>
        <row r="453">
          <cell r="A453" t="str">
            <v>part.in exp.</v>
          </cell>
          <cell r="C453">
            <v>0</v>
          </cell>
          <cell r="E453">
            <v>0</v>
          </cell>
          <cell r="G453">
            <v>0</v>
          </cell>
          <cell r="I453">
            <v>0</v>
          </cell>
          <cell r="M453">
            <v>0</v>
          </cell>
          <cell r="Q453">
            <v>0</v>
          </cell>
          <cell r="S453">
            <v>0</v>
          </cell>
          <cell r="U453">
            <v>0</v>
          </cell>
          <cell r="Z453">
            <v>0</v>
          </cell>
          <cell r="AB453">
            <v>0</v>
          </cell>
          <cell r="AF453">
            <v>0</v>
          </cell>
          <cell r="AH453">
            <v>0</v>
          </cell>
          <cell r="AJ453">
            <v>0</v>
          </cell>
          <cell r="AL453">
            <v>0</v>
          </cell>
          <cell r="AN453" t="str">
            <v>other</v>
          </cell>
          <cell r="AR453">
            <v>0</v>
          </cell>
          <cell r="AT453">
            <v>0</v>
          </cell>
          <cell r="AV453">
            <v>0</v>
          </cell>
        </row>
        <row r="454">
          <cell r="C454">
            <v>-9.7430000000000003</v>
          </cell>
          <cell r="E454">
            <v>0</v>
          </cell>
          <cell r="G454">
            <v>-9.7430000000000003</v>
          </cell>
          <cell r="I454">
            <v>-37</v>
          </cell>
          <cell r="M454">
            <v>0</v>
          </cell>
          <cell r="Q454">
            <v>-37</v>
          </cell>
          <cell r="S454">
            <v>-46.743000000000002</v>
          </cell>
          <cell r="U454">
            <v>0</v>
          </cell>
          <cell r="Z454">
            <v>-46.743000000000002</v>
          </cell>
          <cell r="AB454">
            <v>0</v>
          </cell>
          <cell r="AD454" t="e">
            <v>#REF!</v>
          </cell>
          <cell r="AF454">
            <v>0</v>
          </cell>
          <cell r="AH454">
            <v>0</v>
          </cell>
          <cell r="AJ454">
            <v>0</v>
          </cell>
          <cell r="AL454" t="e">
            <v>#REF!</v>
          </cell>
          <cell r="AR454">
            <v>81182.130668269252</v>
          </cell>
          <cell r="AT454">
            <v>21944</v>
          </cell>
          <cell r="AV454">
            <v>103126.13066826922</v>
          </cell>
          <cell r="AX454">
            <v>0</v>
          </cell>
        </row>
        <row r="456">
          <cell r="A456" t="str">
            <v>OPER. profit(PROFIT)</v>
          </cell>
          <cell r="C456">
            <v>-4318.2620000000006</v>
          </cell>
          <cell r="E456">
            <v>-104.727</v>
          </cell>
          <cell r="G456">
            <v>-4422.9890000000005</v>
          </cell>
          <cell r="I456">
            <v>-916</v>
          </cell>
          <cell r="M456">
            <v>-600</v>
          </cell>
          <cell r="Q456">
            <v>-1516</v>
          </cell>
          <cell r="S456">
            <v>-5234.2620000000006</v>
          </cell>
          <cell r="U456">
            <v>-704.72699999999998</v>
          </cell>
          <cell r="Z456">
            <v>-5938.9890000000005</v>
          </cell>
          <cell r="AB456">
            <v>0</v>
          </cell>
          <cell r="AD456" t="e">
            <v>#REF!</v>
          </cell>
          <cell r="AF456">
            <v>0</v>
          </cell>
          <cell r="AH456">
            <v>0</v>
          </cell>
          <cell r="AJ456">
            <v>0</v>
          </cell>
          <cell r="AL456" t="e">
            <v>#REF!</v>
          </cell>
          <cell r="AN456" t="str">
            <v>OPER. LOSS(PROFIT)</v>
          </cell>
          <cell r="AR456">
            <v>-74358.818240384615</v>
          </cell>
          <cell r="AT456">
            <v>-15837</v>
          </cell>
          <cell r="AV456">
            <v>-87275.487831730788</v>
          </cell>
        </row>
        <row r="458">
          <cell r="A458" t="str">
            <v>MARKETING</v>
          </cell>
          <cell r="AN458" t="str">
            <v>MARKETING</v>
          </cell>
        </row>
        <row r="459">
          <cell r="A459" t="str">
            <v>salaries</v>
          </cell>
          <cell r="C459">
            <v>0</v>
          </cell>
          <cell r="E459">
            <v>0</v>
          </cell>
          <cell r="G459">
            <v>0</v>
          </cell>
          <cell r="I459">
            <v>-85</v>
          </cell>
          <cell r="M459">
            <v>392</v>
          </cell>
          <cell r="Q459">
            <v>307</v>
          </cell>
          <cell r="S459">
            <v>-85</v>
          </cell>
          <cell r="U459">
            <v>392</v>
          </cell>
          <cell r="Z459">
            <v>307</v>
          </cell>
          <cell r="AB459">
            <v>0</v>
          </cell>
          <cell r="AD459">
            <v>1387</v>
          </cell>
          <cell r="AF459">
            <v>0</v>
          </cell>
          <cell r="AH459">
            <v>0</v>
          </cell>
          <cell r="AJ459">
            <v>0</v>
          </cell>
          <cell r="AL459">
            <v>1694</v>
          </cell>
          <cell r="AN459" t="str">
            <v>salaries</v>
          </cell>
          <cell r="AR459">
            <v>5330.4089999999997</v>
          </cell>
          <cell r="AT459">
            <v>1421</v>
          </cell>
          <cell r="AV459">
            <v>6751.4089999999997</v>
          </cell>
        </row>
        <row r="460">
          <cell r="A460" t="str">
            <v>part.in exp.</v>
          </cell>
          <cell r="C460">
            <v>0</v>
          </cell>
          <cell r="E460">
            <v>0</v>
          </cell>
          <cell r="G460">
            <v>0</v>
          </cell>
          <cell r="I460">
            <v>0</v>
          </cell>
          <cell r="M460">
            <v>0</v>
          </cell>
          <cell r="Q460">
            <v>0</v>
          </cell>
          <cell r="S460">
            <v>0</v>
          </cell>
          <cell r="U460">
            <v>0</v>
          </cell>
          <cell r="Z460">
            <v>0</v>
          </cell>
          <cell r="AB460">
            <v>0</v>
          </cell>
          <cell r="AD460">
            <v>0</v>
          </cell>
          <cell r="AF460">
            <v>0</v>
          </cell>
          <cell r="AH460">
            <v>0</v>
          </cell>
          <cell r="AJ460">
            <v>0</v>
          </cell>
          <cell r="AL460">
            <v>0</v>
          </cell>
          <cell r="AN460" t="str">
            <v>part.in exp.</v>
          </cell>
          <cell r="AR460">
            <v>0</v>
          </cell>
          <cell r="AT460">
            <v>0</v>
          </cell>
          <cell r="AV460">
            <v>0</v>
          </cell>
        </row>
        <row r="461">
          <cell r="A461" t="str">
            <v>bad debts</v>
          </cell>
          <cell r="C461">
            <v>0</v>
          </cell>
          <cell r="E461">
            <v>0</v>
          </cell>
          <cell r="G461">
            <v>0</v>
          </cell>
          <cell r="I461">
            <v>0</v>
          </cell>
          <cell r="M461">
            <v>0</v>
          </cell>
          <cell r="Q461">
            <v>0</v>
          </cell>
          <cell r="S461">
            <v>0</v>
          </cell>
          <cell r="U461">
            <v>0</v>
          </cell>
          <cell r="Z461">
            <v>0</v>
          </cell>
          <cell r="AB461">
            <v>0</v>
          </cell>
          <cell r="AD461">
            <v>0</v>
          </cell>
          <cell r="AF461">
            <v>0</v>
          </cell>
          <cell r="AH461">
            <v>0</v>
          </cell>
          <cell r="AJ461">
            <v>0</v>
          </cell>
          <cell r="AL461">
            <v>0</v>
          </cell>
          <cell r="AN461" t="str">
            <v>bad debts</v>
          </cell>
          <cell r="AR461">
            <v>608.56181730769231</v>
          </cell>
          <cell r="AT461">
            <v>92</v>
          </cell>
          <cell r="AV461">
            <v>700.56181730769231</v>
          </cell>
        </row>
        <row r="462">
          <cell r="A462" t="str">
            <v>office maint.</v>
          </cell>
          <cell r="C462">
            <v>0</v>
          </cell>
          <cell r="E462">
            <v>0</v>
          </cell>
          <cell r="G462">
            <v>0</v>
          </cell>
          <cell r="I462">
            <v>0</v>
          </cell>
          <cell r="M462">
            <v>80</v>
          </cell>
          <cell r="Q462">
            <v>80</v>
          </cell>
          <cell r="S462">
            <v>0</v>
          </cell>
          <cell r="U462">
            <v>80</v>
          </cell>
          <cell r="Z462">
            <v>80</v>
          </cell>
          <cell r="AB462">
            <v>0</v>
          </cell>
          <cell r="AD462">
            <v>0</v>
          </cell>
          <cell r="AF462">
            <v>0</v>
          </cell>
          <cell r="AH462">
            <v>0</v>
          </cell>
          <cell r="AJ462">
            <v>0</v>
          </cell>
          <cell r="AL462">
            <v>80</v>
          </cell>
          <cell r="AN462" t="str">
            <v>office maint.</v>
          </cell>
          <cell r="AR462">
            <v>90.584999999999994</v>
          </cell>
          <cell r="AT462">
            <v>268</v>
          </cell>
          <cell r="AV462">
            <v>358.58499999999998</v>
          </cell>
        </row>
        <row r="463">
          <cell r="A463" t="str">
            <v>car &amp; travel</v>
          </cell>
          <cell r="C463">
            <v>0</v>
          </cell>
          <cell r="E463">
            <v>0</v>
          </cell>
          <cell r="G463">
            <v>0</v>
          </cell>
          <cell r="I463">
            <v>85</v>
          </cell>
          <cell r="M463">
            <v>-55</v>
          </cell>
          <cell r="Q463">
            <v>30</v>
          </cell>
          <cell r="S463">
            <v>85</v>
          </cell>
          <cell r="U463">
            <v>-55</v>
          </cell>
          <cell r="Z463">
            <v>30</v>
          </cell>
          <cell r="AB463">
            <v>0</v>
          </cell>
          <cell r="AD463">
            <v>126.5</v>
          </cell>
          <cell r="AF463">
            <v>0</v>
          </cell>
          <cell r="AH463">
            <v>0</v>
          </cell>
          <cell r="AJ463">
            <v>0</v>
          </cell>
          <cell r="AL463">
            <v>156.5</v>
          </cell>
          <cell r="AN463" t="str">
            <v>car &amp; travel</v>
          </cell>
          <cell r="AR463">
            <v>174.1</v>
          </cell>
          <cell r="AT463">
            <v>87</v>
          </cell>
          <cell r="AV463">
            <v>261.10000000000002</v>
          </cell>
        </row>
        <row r="464">
          <cell r="A464" t="str">
            <v>amortization</v>
          </cell>
          <cell r="C464">
            <v>0</v>
          </cell>
          <cell r="E464">
            <v>0</v>
          </cell>
          <cell r="G464">
            <v>0</v>
          </cell>
          <cell r="I464">
            <v>0</v>
          </cell>
          <cell r="M464">
            <v>0</v>
          </cell>
          <cell r="Q464">
            <v>0</v>
          </cell>
          <cell r="S464">
            <v>0</v>
          </cell>
          <cell r="U464">
            <v>0</v>
          </cell>
          <cell r="Z464">
            <v>0</v>
          </cell>
          <cell r="AB464">
            <v>0</v>
          </cell>
          <cell r="AD464">
            <v>0</v>
          </cell>
          <cell r="AF464">
            <v>0</v>
          </cell>
          <cell r="AH464">
            <v>0</v>
          </cell>
          <cell r="AJ464">
            <v>0</v>
          </cell>
          <cell r="AL464">
            <v>0</v>
          </cell>
          <cell r="AN464" t="str">
            <v>amortization</v>
          </cell>
          <cell r="AR464">
            <v>0.89900000000000002</v>
          </cell>
          <cell r="AT464">
            <v>5</v>
          </cell>
          <cell r="AV464">
            <v>5.899</v>
          </cell>
        </row>
        <row r="465">
          <cell r="A465" t="str">
            <v>advertizment</v>
          </cell>
          <cell r="C465">
            <v>0.67900000000000005</v>
          </cell>
          <cell r="E465">
            <v>0</v>
          </cell>
          <cell r="G465">
            <v>0.67900000000000005</v>
          </cell>
          <cell r="I465">
            <v>0</v>
          </cell>
          <cell r="M465">
            <v>25</v>
          </cell>
          <cell r="Q465">
            <v>25</v>
          </cell>
          <cell r="S465">
            <v>0.67900000000000005</v>
          </cell>
          <cell r="U465">
            <v>25</v>
          </cell>
          <cell r="Z465">
            <v>25.678999999999998</v>
          </cell>
          <cell r="AB465">
            <v>0</v>
          </cell>
          <cell r="AD465">
            <v>231.5</v>
          </cell>
          <cell r="AF465">
            <v>0</v>
          </cell>
          <cell r="AH465">
            <v>0</v>
          </cell>
          <cell r="AJ465">
            <v>0</v>
          </cell>
          <cell r="AL465">
            <v>257.17899999999997</v>
          </cell>
          <cell r="AN465" t="str">
            <v>advertizment</v>
          </cell>
          <cell r="AR465">
            <v>1567.4035624999999</v>
          </cell>
          <cell r="AT465">
            <v>35</v>
          </cell>
          <cell r="AV465">
            <v>1602.4035624999999</v>
          </cell>
        </row>
        <row r="466">
          <cell r="C466">
            <v>0.67900000000000005</v>
          </cell>
          <cell r="E466">
            <v>0</v>
          </cell>
          <cell r="G466">
            <v>0.67900000000000005</v>
          </cell>
          <cell r="I466">
            <v>0</v>
          </cell>
          <cell r="M466">
            <v>442</v>
          </cell>
          <cell r="Q466">
            <v>442</v>
          </cell>
          <cell r="S466">
            <v>0.67900000000000005</v>
          </cell>
          <cell r="U466">
            <v>442</v>
          </cell>
          <cell r="Z466">
            <v>442.67899999999997</v>
          </cell>
          <cell r="AB466">
            <v>0</v>
          </cell>
          <cell r="AD466">
            <v>1745</v>
          </cell>
          <cell r="AF466">
            <v>0</v>
          </cell>
          <cell r="AH466">
            <v>0</v>
          </cell>
          <cell r="AJ466">
            <v>0</v>
          </cell>
          <cell r="AL466">
            <v>2187.6790000000001</v>
          </cell>
          <cell r="AR466">
            <v>7771.9583798076928</v>
          </cell>
          <cell r="AT466">
            <v>1908</v>
          </cell>
          <cell r="AV466">
            <v>9679.9583798076928</v>
          </cell>
          <cell r="AX466">
            <v>0</v>
          </cell>
        </row>
        <row r="468">
          <cell r="A468" t="str">
            <v>ADM. &amp;GENERAL</v>
          </cell>
          <cell r="AN468" t="str">
            <v>ADM. &amp;GENERAL</v>
          </cell>
        </row>
        <row r="469">
          <cell r="A469" t="str">
            <v>salaries</v>
          </cell>
          <cell r="C469">
            <v>0</v>
          </cell>
          <cell r="E469">
            <v>0</v>
          </cell>
          <cell r="G469">
            <v>0</v>
          </cell>
          <cell r="I469">
            <v>0</v>
          </cell>
          <cell r="M469">
            <v>0</v>
          </cell>
          <cell r="Q469">
            <v>0</v>
          </cell>
          <cell r="S469">
            <v>0</v>
          </cell>
          <cell r="U469">
            <v>0</v>
          </cell>
          <cell r="Z469">
            <v>0</v>
          </cell>
          <cell r="AB469">
            <v>0</v>
          </cell>
          <cell r="AD469">
            <v>434.5</v>
          </cell>
          <cell r="AF469">
            <v>0</v>
          </cell>
          <cell r="AH469">
            <v>0</v>
          </cell>
          <cell r="AJ469">
            <v>0</v>
          </cell>
          <cell r="AL469">
            <v>434.5</v>
          </cell>
          <cell r="AN469" t="str">
            <v>salaries</v>
          </cell>
          <cell r="AR469">
            <v>3719.9182403846157</v>
          </cell>
          <cell r="AT469">
            <v>1460</v>
          </cell>
          <cell r="AV469">
            <v>5179.9182403846153</v>
          </cell>
        </row>
        <row r="470">
          <cell r="A470" t="str">
            <v>management fees</v>
          </cell>
          <cell r="C470">
            <v>2000</v>
          </cell>
          <cell r="E470">
            <v>0</v>
          </cell>
          <cell r="G470">
            <v>2000</v>
          </cell>
          <cell r="I470">
            <v>500</v>
          </cell>
          <cell r="M470">
            <v>0</v>
          </cell>
          <cell r="Q470">
            <v>500</v>
          </cell>
          <cell r="S470">
            <v>2500</v>
          </cell>
          <cell r="U470">
            <v>0</v>
          </cell>
          <cell r="Z470">
            <v>2500</v>
          </cell>
          <cell r="AB470">
            <v>0</v>
          </cell>
          <cell r="AD470">
            <v>0</v>
          </cell>
          <cell r="AF470">
            <v>0</v>
          </cell>
          <cell r="AH470">
            <v>0</v>
          </cell>
          <cell r="AJ470">
            <v>0</v>
          </cell>
          <cell r="AL470">
            <v>2500</v>
          </cell>
          <cell r="AN470" t="str">
            <v>management fees</v>
          </cell>
          <cell r="AR470">
            <v>4190.3710000000001</v>
          </cell>
          <cell r="AT470">
            <v>1056</v>
          </cell>
          <cell r="AV470">
            <v>5246.3710000000001</v>
          </cell>
        </row>
        <row r="471">
          <cell r="A471" t="str">
            <v>part.in exp.</v>
          </cell>
          <cell r="C471">
            <v>0</v>
          </cell>
          <cell r="E471">
            <v>0</v>
          </cell>
          <cell r="G471">
            <v>0</v>
          </cell>
          <cell r="I471">
            <v>0</v>
          </cell>
          <cell r="M471">
            <v>0</v>
          </cell>
          <cell r="Q471">
            <v>0</v>
          </cell>
          <cell r="S471">
            <v>0</v>
          </cell>
          <cell r="U471">
            <v>0</v>
          </cell>
          <cell r="Z471">
            <v>0</v>
          </cell>
          <cell r="AB471">
            <v>0</v>
          </cell>
          <cell r="AD471">
            <v>0</v>
          </cell>
          <cell r="AF471">
            <v>0</v>
          </cell>
          <cell r="AH471">
            <v>0</v>
          </cell>
          <cell r="AJ471">
            <v>0</v>
          </cell>
          <cell r="AL471">
            <v>0</v>
          </cell>
          <cell r="AN471" t="str">
            <v>part.in exp.</v>
          </cell>
          <cell r="AR471">
            <v>-0.20800000000008367</v>
          </cell>
          <cell r="AT471">
            <v>0</v>
          </cell>
          <cell r="AV471">
            <v>-0.20800000000008367</v>
          </cell>
        </row>
        <row r="472">
          <cell r="A472" t="str">
            <v>computer&amp;bookkeeping</v>
          </cell>
          <cell r="C472">
            <v>16.603999999999999</v>
          </cell>
          <cell r="E472">
            <v>0</v>
          </cell>
          <cell r="G472">
            <v>16.603999999999999</v>
          </cell>
          <cell r="I472">
            <v>0</v>
          </cell>
          <cell r="M472">
            <v>0</v>
          </cell>
          <cell r="Q472">
            <v>0</v>
          </cell>
          <cell r="S472">
            <v>16.603999999999999</v>
          </cell>
          <cell r="U472">
            <v>0</v>
          </cell>
          <cell r="Z472">
            <v>16.603999999999999</v>
          </cell>
          <cell r="AB472">
            <v>0</v>
          </cell>
          <cell r="AD472">
            <v>0</v>
          </cell>
          <cell r="AF472">
            <v>0</v>
          </cell>
          <cell r="AH472">
            <v>0</v>
          </cell>
          <cell r="AJ472">
            <v>0</v>
          </cell>
          <cell r="AL472">
            <v>16.603999999999999</v>
          </cell>
          <cell r="AN472" t="str">
            <v>computer&amp;bookkeeping</v>
          </cell>
          <cell r="AR472">
            <v>584.14300000000003</v>
          </cell>
          <cell r="AT472">
            <v>96</v>
          </cell>
          <cell r="AV472">
            <v>680.14300000000003</v>
          </cell>
        </row>
        <row r="473">
          <cell r="A473" t="str">
            <v>office maint.&amp;other</v>
          </cell>
          <cell r="C473" t="e">
            <v>#REF!</v>
          </cell>
          <cell r="E473">
            <v>0</v>
          </cell>
          <cell r="G473" t="e">
            <v>#REF!</v>
          </cell>
          <cell r="I473">
            <v>0</v>
          </cell>
          <cell r="M473">
            <v>0</v>
          </cell>
          <cell r="Q473">
            <v>0</v>
          </cell>
          <cell r="S473" t="e">
            <v>#REF!</v>
          </cell>
          <cell r="U473">
            <v>0</v>
          </cell>
          <cell r="Z473" t="e">
            <v>#REF!</v>
          </cell>
          <cell r="AB473">
            <v>0</v>
          </cell>
          <cell r="AD473">
            <v>304</v>
          </cell>
          <cell r="AF473">
            <v>0</v>
          </cell>
          <cell r="AH473">
            <v>0</v>
          </cell>
          <cell r="AJ473">
            <v>0</v>
          </cell>
          <cell r="AL473" t="e">
            <v>#REF!</v>
          </cell>
          <cell r="AN473" t="str">
            <v>office maint.&amp;other</v>
          </cell>
          <cell r="AR473">
            <v>2814.3020144230773</v>
          </cell>
          <cell r="AT473">
            <v>712</v>
          </cell>
          <cell r="AV473">
            <v>3526.3020144230773</v>
          </cell>
        </row>
        <row r="474">
          <cell r="A474" t="str">
            <v>car &amp; travel</v>
          </cell>
          <cell r="C474">
            <v>13.955</v>
          </cell>
          <cell r="E474">
            <v>0</v>
          </cell>
          <cell r="G474">
            <v>13.955</v>
          </cell>
          <cell r="I474">
            <v>0</v>
          </cell>
          <cell r="M474">
            <v>0</v>
          </cell>
          <cell r="Q474">
            <v>0</v>
          </cell>
          <cell r="S474">
            <v>13.955</v>
          </cell>
          <cell r="U474">
            <v>0</v>
          </cell>
          <cell r="Z474">
            <v>13.955</v>
          </cell>
          <cell r="AB474">
            <v>0</v>
          </cell>
          <cell r="AD474">
            <v>41</v>
          </cell>
          <cell r="AF474">
            <v>0</v>
          </cell>
          <cell r="AH474">
            <v>0</v>
          </cell>
          <cell r="AJ474">
            <v>0</v>
          </cell>
          <cell r="AL474">
            <v>54.954999999999998</v>
          </cell>
          <cell r="AN474" t="str">
            <v>car &amp; travel</v>
          </cell>
          <cell r="AR474">
            <v>380.77140865384615</v>
          </cell>
          <cell r="AT474">
            <v>161</v>
          </cell>
          <cell r="AV474">
            <v>541.77140865384615</v>
          </cell>
        </row>
        <row r="475">
          <cell r="A475" t="str">
            <v>amortization</v>
          </cell>
          <cell r="C475">
            <v>3.0120000000000005</v>
          </cell>
          <cell r="E475">
            <v>0</v>
          </cell>
          <cell r="G475">
            <v>3.0120000000000005</v>
          </cell>
          <cell r="I475">
            <v>68</v>
          </cell>
          <cell r="M475">
            <v>0</v>
          </cell>
          <cell r="Q475">
            <v>68</v>
          </cell>
          <cell r="S475">
            <v>71.012</v>
          </cell>
          <cell r="U475">
            <v>0</v>
          </cell>
          <cell r="Z475">
            <v>71.012</v>
          </cell>
          <cell r="AB475">
            <v>0</v>
          </cell>
          <cell r="AD475">
            <v>0</v>
          </cell>
          <cell r="AF475">
            <v>0</v>
          </cell>
          <cell r="AH475">
            <v>0</v>
          </cell>
          <cell r="AJ475">
            <v>0</v>
          </cell>
          <cell r="AL475">
            <v>71.012</v>
          </cell>
          <cell r="AN475" t="str">
            <v>amortization</v>
          </cell>
          <cell r="AR475">
            <v>3526.3830000000007</v>
          </cell>
          <cell r="AT475">
            <v>131</v>
          </cell>
          <cell r="AV475">
            <v>3657.3830000000007</v>
          </cell>
        </row>
        <row r="476">
          <cell r="A476" t="str">
            <v>depreciation</v>
          </cell>
          <cell r="C476">
            <v>0</v>
          </cell>
          <cell r="E476">
            <v>0</v>
          </cell>
          <cell r="G476">
            <v>0</v>
          </cell>
          <cell r="I476">
            <v>0</v>
          </cell>
          <cell r="M476">
            <v>1</v>
          </cell>
          <cell r="Q476">
            <v>1</v>
          </cell>
          <cell r="S476">
            <v>0</v>
          </cell>
          <cell r="U476">
            <v>1</v>
          </cell>
          <cell r="Z476">
            <v>1</v>
          </cell>
          <cell r="AB476">
            <v>0</v>
          </cell>
          <cell r="AD476">
            <v>193</v>
          </cell>
          <cell r="AF476">
            <v>0</v>
          </cell>
          <cell r="AH476">
            <v>0</v>
          </cell>
          <cell r="AJ476">
            <v>0</v>
          </cell>
          <cell r="AL476">
            <v>194</v>
          </cell>
          <cell r="AN476" t="str">
            <v>depreciation</v>
          </cell>
          <cell r="AR476">
            <v>959.93616346153851</v>
          </cell>
          <cell r="AT476">
            <v>233</v>
          </cell>
          <cell r="AV476">
            <v>1192.9361634615384</v>
          </cell>
        </row>
        <row r="477">
          <cell r="A477" t="str">
            <v>professional fees</v>
          </cell>
          <cell r="C477">
            <v>141.12100000000001</v>
          </cell>
          <cell r="E477">
            <v>0</v>
          </cell>
          <cell r="G477">
            <v>141.12100000000001</v>
          </cell>
          <cell r="I477">
            <v>11</v>
          </cell>
          <cell r="M477">
            <v>4</v>
          </cell>
          <cell r="Q477">
            <v>15</v>
          </cell>
          <cell r="S477">
            <v>152.12100000000001</v>
          </cell>
          <cell r="U477">
            <v>4</v>
          </cell>
          <cell r="Z477">
            <v>156.12100000000001</v>
          </cell>
          <cell r="AB477">
            <v>0</v>
          </cell>
          <cell r="AD477">
            <v>113.5</v>
          </cell>
          <cell r="AF477">
            <v>0</v>
          </cell>
          <cell r="AH477">
            <v>0</v>
          </cell>
          <cell r="AJ477">
            <v>0</v>
          </cell>
          <cell r="AL477">
            <v>269.62099999999998</v>
          </cell>
          <cell r="AN477" t="str">
            <v>professional fees</v>
          </cell>
          <cell r="AR477">
            <v>1544.1325240384617</v>
          </cell>
          <cell r="AT477">
            <v>248</v>
          </cell>
          <cell r="AV477">
            <v>1792.1325240384617</v>
          </cell>
        </row>
        <row r="478">
          <cell r="A478" t="str">
            <v>other</v>
          </cell>
          <cell r="C478">
            <v>50</v>
          </cell>
          <cell r="E478">
            <v>0</v>
          </cell>
          <cell r="G478">
            <v>50</v>
          </cell>
          <cell r="I478">
            <v>0</v>
          </cell>
          <cell r="M478">
            <v>0</v>
          </cell>
          <cell r="Q478">
            <v>0</v>
          </cell>
          <cell r="S478">
            <v>50</v>
          </cell>
          <cell r="U478">
            <v>0</v>
          </cell>
          <cell r="Z478">
            <v>50</v>
          </cell>
          <cell r="AB478">
            <v>0</v>
          </cell>
          <cell r="AD478">
            <v>274</v>
          </cell>
          <cell r="AF478">
            <v>0</v>
          </cell>
          <cell r="AH478">
            <v>0</v>
          </cell>
          <cell r="AJ478">
            <v>0</v>
          </cell>
          <cell r="AL478">
            <v>324</v>
          </cell>
          <cell r="AN478" t="str">
            <v>other</v>
          </cell>
          <cell r="AR478">
            <v>0</v>
          </cell>
          <cell r="AT478">
            <v>151</v>
          </cell>
          <cell r="AV478">
            <v>151</v>
          </cell>
        </row>
        <row r="479">
          <cell r="A479" t="str">
            <v>part.in exp. others</v>
          </cell>
          <cell r="C479">
            <v>0</v>
          </cell>
          <cell r="E479">
            <v>0</v>
          </cell>
          <cell r="G479">
            <v>0</v>
          </cell>
          <cell r="I479">
            <v>0</v>
          </cell>
          <cell r="M479">
            <v>0</v>
          </cell>
          <cell r="Q479">
            <v>0</v>
          </cell>
          <cell r="S479">
            <v>0</v>
          </cell>
          <cell r="U479">
            <v>0</v>
          </cell>
          <cell r="Z479">
            <v>0</v>
          </cell>
          <cell r="AB479">
            <v>0</v>
          </cell>
          <cell r="AD479">
            <v>0</v>
          </cell>
          <cell r="AF479">
            <v>0</v>
          </cell>
          <cell r="AH479">
            <v>0</v>
          </cell>
          <cell r="AJ479">
            <v>0</v>
          </cell>
          <cell r="AL479">
            <v>0</v>
          </cell>
          <cell r="AN479" t="str">
            <v>part.in exp. others</v>
          </cell>
          <cell r="AR479">
            <v>-778.33799999999928</v>
          </cell>
          <cell r="AT479">
            <v>0</v>
          </cell>
          <cell r="AV479">
            <v>-778.33799999999928</v>
          </cell>
        </row>
        <row r="480">
          <cell r="C480" t="e">
            <v>#REF!</v>
          </cell>
          <cell r="E480">
            <v>0</v>
          </cell>
          <cell r="G480" t="e">
            <v>#REF!</v>
          </cell>
          <cell r="I480">
            <v>579</v>
          </cell>
          <cell r="M480">
            <v>5</v>
          </cell>
          <cell r="Q480">
            <v>584</v>
          </cell>
          <cell r="S480" t="e">
            <v>#REF!</v>
          </cell>
          <cell r="U480">
            <v>5</v>
          </cell>
          <cell r="Z480" t="e">
            <v>#REF!</v>
          </cell>
          <cell r="AB480">
            <v>0</v>
          </cell>
          <cell r="AD480">
            <v>1360</v>
          </cell>
          <cell r="AF480">
            <v>0</v>
          </cell>
          <cell r="AH480">
            <v>0</v>
          </cell>
          <cell r="AJ480">
            <v>0</v>
          </cell>
          <cell r="AL480" t="e">
            <v>#REF!</v>
          </cell>
          <cell r="AR480">
            <v>16941.411350961538</v>
          </cell>
          <cell r="AT480">
            <v>4248</v>
          </cell>
          <cell r="AV480">
            <v>21189.411350961538</v>
          </cell>
          <cell r="AX480">
            <v>0</v>
          </cell>
        </row>
        <row r="482">
          <cell r="A482" t="str">
            <v>FINANCING</v>
          </cell>
          <cell r="AN482" t="str">
            <v>FINANCING</v>
          </cell>
        </row>
        <row r="483">
          <cell r="A483" t="str">
            <v>income(bezek&amp;other)</v>
          </cell>
          <cell r="C483">
            <v>0</v>
          </cell>
          <cell r="E483">
            <v>0</v>
          </cell>
          <cell r="G483">
            <v>0</v>
          </cell>
          <cell r="I483">
            <v>0</v>
          </cell>
          <cell r="M483">
            <v>0</v>
          </cell>
          <cell r="Q483">
            <v>0</v>
          </cell>
          <cell r="S483">
            <v>0</v>
          </cell>
          <cell r="U483">
            <v>0</v>
          </cell>
          <cell r="Z483">
            <v>0</v>
          </cell>
          <cell r="AB483">
            <v>0</v>
          </cell>
          <cell r="AD483">
            <v>0</v>
          </cell>
          <cell r="AF483">
            <v>0</v>
          </cell>
          <cell r="AH483">
            <v>0</v>
          </cell>
          <cell r="AJ483">
            <v>0</v>
          </cell>
          <cell r="AL483">
            <v>0</v>
          </cell>
          <cell r="AN483" t="str">
            <v>income(bezek&amp;other)</v>
          </cell>
          <cell r="AR483">
            <v>-159.00400000000002</v>
          </cell>
          <cell r="AT483">
            <v>213</v>
          </cell>
          <cell r="AV483">
            <v>53.995999999999981</v>
          </cell>
        </row>
        <row r="484">
          <cell r="A484" t="str">
            <v>Affiliated(I.C.P.)</v>
          </cell>
          <cell r="C484">
            <v>0</v>
          </cell>
          <cell r="E484">
            <v>0</v>
          </cell>
          <cell r="G484">
            <v>0</v>
          </cell>
          <cell r="I484">
            <v>-5</v>
          </cell>
          <cell r="M484">
            <v>0</v>
          </cell>
          <cell r="Q484">
            <v>-5</v>
          </cell>
          <cell r="S484">
            <v>-5</v>
          </cell>
          <cell r="U484">
            <v>0</v>
          </cell>
          <cell r="Z484">
            <v>-5</v>
          </cell>
          <cell r="AB484">
            <v>0</v>
          </cell>
          <cell r="AD484">
            <v>0</v>
          </cell>
          <cell r="AF484">
            <v>0</v>
          </cell>
          <cell r="AH484">
            <v>0</v>
          </cell>
          <cell r="AJ484">
            <v>0</v>
          </cell>
          <cell r="AL484">
            <v>-5</v>
          </cell>
          <cell r="AN484" t="str">
            <v>susidiaries(icp&amp;telem)</v>
          </cell>
          <cell r="AR484">
            <v>-24.128</v>
          </cell>
          <cell r="AT484">
            <v>25</v>
          </cell>
          <cell r="AV484">
            <v>0.87199999999999989</v>
          </cell>
        </row>
        <row r="485">
          <cell r="A485" t="str">
            <v>income tax</v>
          </cell>
          <cell r="C485">
            <v>43.103577527963786</v>
          </cell>
          <cell r="E485">
            <v>0</v>
          </cell>
          <cell r="G485">
            <v>43.103577527963786</v>
          </cell>
          <cell r="I485">
            <v>-9</v>
          </cell>
          <cell r="M485">
            <v>0</v>
          </cell>
          <cell r="Q485">
            <v>-9</v>
          </cell>
          <cell r="S485">
            <v>34.103577527963786</v>
          </cell>
          <cell r="U485">
            <v>0</v>
          </cell>
          <cell r="Z485">
            <v>34.103577527963786</v>
          </cell>
          <cell r="AB485">
            <v>0</v>
          </cell>
          <cell r="AD485">
            <v>0</v>
          </cell>
          <cell r="AF485">
            <v>0</v>
          </cell>
          <cell r="AH485">
            <v>0</v>
          </cell>
          <cell r="AJ485">
            <v>0</v>
          </cell>
          <cell r="AL485">
            <v>34.103577527963786</v>
          </cell>
          <cell r="AN485" t="str">
            <v>income tax</v>
          </cell>
          <cell r="AR485">
            <v>-7.8964224720362139</v>
          </cell>
          <cell r="AT485">
            <v>36</v>
          </cell>
          <cell r="AV485">
            <v>28.103577527963786</v>
          </cell>
        </row>
        <row r="486">
          <cell r="A486" t="str">
            <v>capital notes/loans</v>
          </cell>
          <cell r="C486">
            <v>0</v>
          </cell>
          <cell r="E486">
            <v>0</v>
          </cell>
          <cell r="G486">
            <v>0</v>
          </cell>
          <cell r="I486">
            <v>0</v>
          </cell>
          <cell r="M486">
            <v>0</v>
          </cell>
          <cell r="Q486">
            <v>0</v>
          </cell>
          <cell r="S486">
            <v>0</v>
          </cell>
          <cell r="U486">
            <v>0</v>
          </cell>
          <cell r="Z486">
            <v>0</v>
          </cell>
          <cell r="AB486">
            <v>0</v>
          </cell>
          <cell r="AD486">
            <v>0</v>
          </cell>
          <cell r="AF486">
            <v>0</v>
          </cell>
          <cell r="AH486">
            <v>0</v>
          </cell>
          <cell r="AJ486">
            <v>0</v>
          </cell>
          <cell r="AL486">
            <v>0</v>
          </cell>
          <cell r="AN486" t="str">
            <v>capital notes/loans</v>
          </cell>
          <cell r="AR486">
            <v>-1749</v>
          </cell>
          <cell r="AT486">
            <v>131</v>
          </cell>
          <cell r="AV486">
            <v>-1618</v>
          </cell>
        </row>
        <row r="487">
          <cell r="A487" t="str">
            <v>aurec\stlm\dapim+other</v>
          </cell>
          <cell r="C487">
            <v>-1566.48794</v>
          </cell>
          <cell r="E487">
            <v>-794.78599999999994</v>
          </cell>
          <cell r="G487">
            <v>-2361.27394</v>
          </cell>
          <cell r="I487">
            <v>-969</v>
          </cell>
          <cell r="M487">
            <v>163</v>
          </cell>
          <cell r="Q487">
            <v>-806</v>
          </cell>
          <cell r="S487">
            <v>-2535.48794</v>
          </cell>
          <cell r="U487">
            <v>-631.78599999999994</v>
          </cell>
          <cell r="Z487">
            <v>-3167.27394</v>
          </cell>
          <cell r="AB487">
            <v>0</v>
          </cell>
          <cell r="AD487">
            <v>0</v>
          </cell>
          <cell r="AF487">
            <v>0</v>
          </cell>
          <cell r="AH487">
            <v>0</v>
          </cell>
          <cell r="AJ487">
            <v>0</v>
          </cell>
          <cell r="AL487">
            <v>-3167.27394</v>
          </cell>
          <cell r="AN487" t="str">
            <v>aurec\stlm\dapim+other</v>
          </cell>
          <cell r="AR487">
            <v>-3068.6519400000002</v>
          </cell>
          <cell r="AT487">
            <v>-436</v>
          </cell>
          <cell r="AV487">
            <v>-3504.6519400000002</v>
          </cell>
        </row>
        <row r="488">
          <cell r="A488" t="str">
            <v>capitalization</v>
          </cell>
          <cell r="C488">
            <v>0</v>
          </cell>
          <cell r="E488">
            <v>0</v>
          </cell>
          <cell r="G488">
            <v>0</v>
          </cell>
          <cell r="I488">
            <v>0</v>
          </cell>
          <cell r="M488">
            <v>0</v>
          </cell>
          <cell r="Q488">
            <v>0</v>
          </cell>
          <cell r="S488">
            <v>0</v>
          </cell>
          <cell r="U488">
            <v>0</v>
          </cell>
          <cell r="Z488">
            <v>0</v>
          </cell>
          <cell r="AB488">
            <v>0</v>
          </cell>
          <cell r="AD488">
            <v>0</v>
          </cell>
          <cell r="AF488">
            <v>0</v>
          </cell>
          <cell r="AH488">
            <v>0</v>
          </cell>
          <cell r="AJ488">
            <v>0</v>
          </cell>
          <cell r="AL488">
            <v>0</v>
          </cell>
          <cell r="AN488" t="str">
            <v>capitalization</v>
          </cell>
          <cell r="AR488">
            <v>0</v>
          </cell>
          <cell r="AT488">
            <v>0</v>
          </cell>
          <cell r="AV488">
            <v>0</v>
          </cell>
        </row>
        <row r="489">
          <cell r="A489" t="str">
            <v>expenses(customs&amp;other</v>
          </cell>
          <cell r="C489">
            <v>0</v>
          </cell>
          <cell r="E489">
            <v>0</v>
          </cell>
          <cell r="G489">
            <v>0</v>
          </cell>
          <cell r="I489">
            <v>-12</v>
          </cell>
          <cell r="M489">
            <v>-1</v>
          </cell>
          <cell r="Q489">
            <v>-13</v>
          </cell>
          <cell r="S489">
            <v>-12</v>
          </cell>
          <cell r="U489">
            <v>-1</v>
          </cell>
          <cell r="Z489">
            <v>-13</v>
          </cell>
          <cell r="AB489">
            <v>0</v>
          </cell>
          <cell r="AD489">
            <v>469.5</v>
          </cell>
          <cell r="AF489">
            <v>0</v>
          </cell>
          <cell r="AH489">
            <v>0</v>
          </cell>
          <cell r="AJ489">
            <v>0</v>
          </cell>
          <cell r="AL489">
            <v>456.5</v>
          </cell>
          <cell r="AN489" t="str">
            <v>expenses(customs&amp;other</v>
          </cell>
          <cell r="AR489">
            <v>82.066000000000003</v>
          </cell>
          <cell r="AT489">
            <v>-424</v>
          </cell>
          <cell r="AV489">
            <v>-341.93399999999997</v>
          </cell>
        </row>
        <row r="490">
          <cell r="A490" t="str">
            <v>expenses-banks,net</v>
          </cell>
          <cell r="C490">
            <v>-372.26099999999997</v>
          </cell>
          <cell r="E490">
            <v>0</v>
          </cell>
          <cell r="G490">
            <v>-372.26099999999997</v>
          </cell>
          <cell r="I490">
            <v>93</v>
          </cell>
          <cell r="M490">
            <v>0</v>
          </cell>
          <cell r="Q490">
            <v>93</v>
          </cell>
          <cell r="S490">
            <v>-279.26099999999997</v>
          </cell>
          <cell r="U490">
            <v>0</v>
          </cell>
          <cell r="Z490">
            <v>-279.26099999999997</v>
          </cell>
          <cell r="AB490">
            <v>0</v>
          </cell>
          <cell r="AF490">
            <v>0</v>
          </cell>
          <cell r="AH490">
            <v>0</v>
          </cell>
          <cell r="AJ490">
            <v>0</v>
          </cell>
          <cell r="AL490">
            <v>-279.26099999999997</v>
          </cell>
          <cell r="AN490" t="str">
            <v>expenses-banks,net</v>
          </cell>
          <cell r="AR490">
            <v>-713.21100000000001</v>
          </cell>
          <cell r="AT490">
            <v>261</v>
          </cell>
          <cell r="AV490">
            <v>-452.21100000000001</v>
          </cell>
        </row>
        <row r="491">
          <cell r="C491">
            <v>-1895.6453624720361</v>
          </cell>
          <cell r="E491">
            <v>-794.78599999999994</v>
          </cell>
          <cell r="G491">
            <v>-2690.4313624720362</v>
          </cell>
          <cell r="I491">
            <v>-902</v>
          </cell>
          <cell r="M491">
            <v>162</v>
          </cell>
          <cell r="Q491">
            <v>-740</v>
          </cell>
          <cell r="S491">
            <v>-2797.6453624720361</v>
          </cell>
          <cell r="U491">
            <v>-632.78599999999994</v>
          </cell>
          <cell r="Z491">
            <v>-3430.4313624720362</v>
          </cell>
          <cell r="AB491">
            <v>0</v>
          </cell>
          <cell r="AD491">
            <v>469.5</v>
          </cell>
          <cell r="AF491">
            <v>0</v>
          </cell>
          <cell r="AH491">
            <v>0</v>
          </cell>
          <cell r="AJ491">
            <v>0</v>
          </cell>
          <cell r="AL491">
            <v>-2960.9313624720362</v>
          </cell>
          <cell r="AR491">
            <v>-5639.8253624720364</v>
          </cell>
          <cell r="AT491">
            <v>-194</v>
          </cell>
          <cell r="AV491">
            <v>-5833.8253624720364</v>
          </cell>
          <cell r="AX491">
            <v>0</v>
          </cell>
        </row>
        <row r="493">
          <cell r="A493" t="str">
            <v>CAPITAL GAINS</v>
          </cell>
          <cell r="C493">
            <v>0</v>
          </cell>
          <cell r="E493">
            <v>-0.75</v>
          </cell>
          <cell r="G493">
            <v>-0.75</v>
          </cell>
          <cell r="I493">
            <v>0</v>
          </cell>
          <cell r="M493">
            <v>-3</v>
          </cell>
          <cell r="Q493">
            <v>-3</v>
          </cell>
          <cell r="S493">
            <v>0</v>
          </cell>
          <cell r="U493">
            <v>-3.75</v>
          </cell>
          <cell r="Z493">
            <v>-3.75</v>
          </cell>
          <cell r="AB493">
            <v>0</v>
          </cell>
          <cell r="AF493">
            <v>0</v>
          </cell>
          <cell r="AH493">
            <v>0</v>
          </cell>
          <cell r="AJ493">
            <v>0</v>
          </cell>
          <cell r="AL493">
            <v>-3.75</v>
          </cell>
          <cell r="AN493" t="str">
            <v>capital gains</v>
          </cell>
          <cell r="AR493">
            <v>-30.624000000000006</v>
          </cell>
          <cell r="AT493">
            <v>18</v>
          </cell>
          <cell r="AV493">
            <v>-12.624000000000006</v>
          </cell>
        </row>
        <row r="494">
          <cell r="A494" t="str">
            <v>other income</v>
          </cell>
          <cell r="AD494">
            <v>0</v>
          </cell>
          <cell r="AF494">
            <v>0</v>
          </cell>
          <cell r="AL494">
            <v>0</v>
          </cell>
          <cell r="AN494" t="str">
            <v>other income</v>
          </cell>
          <cell r="AR494">
            <v>0</v>
          </cell>
          <cell r="AT494">
            <v>0</v>
          </cell>
          <cell r="AV494">
            <v>0</v>
          </cell>
          <cell r="BB494" t="str">
            <v>GC&amp;Co.</v>
          </cell>
          <cell r="BC494">
            <v>0.3</v>
          </cell>
          <cell r="BE494">
            <v>0.7</v>
          </cell>
          <cell r="BG494" t="str">
            <v>part of</v>
          </cell>
        </row>
        <row r="495">
          <cell r="A495" t="str">
            <v>profit BEF. TAXES</v>
          </cell>
          <cell r="C495" t="e">
            <v>#REF!</v>
          </cell>
          <cell r="E495">
            <v>-900.26299999999992</v>
          </cell>
          <cell r="G495" t="e">
            <v>#REF!</v>
          </cell>
          <cell r="I495">
            <v>-1239</v>
          </cell>
          <cell r="M495">
            <v>6</v>
          </cell>
          <cell r="Q495">
            <v>-1233</v>
          </cell>
          <cell r="S495" t="e">
            <v>#REF!</v>
          </cell>
          <cell r="U495">
            <v>-894.26299999999992</v>
          </cell>
          <cell r="Z495" t="e">
            <v>#REF!</v>
          </cell>
          <cell r="AB495">
            <v>0</v>
          </cell>
          <cell r="AD495" t="e">
            <v>#REF!</v>
          </cell>
          <cell r="AF495">
            <v>0</v>
          </cell>
          <cell r="AH495">
            <v>0</v>
          </cell>
          <cell r="AJ495">
            <v>0</v>
          </cell>
          <cell r="AL495" t="e">
            <v>#REF!</v>
          </cell>
          <cell r="AN495" t="str">
            <v>profit BEF. TAXES</v>
          </cell>
          <cell r="AR495">
            <v>-55315.897872087422</v>
          </cell>
          <cell r="AT495">
            <v>-9857</v>
          </cell>
          <cell r="AV495">
            <v>-65172.897872087422</v>
          </cell>
          <cell r="BB495" t="str">
            <v>Total</v>
          </cell>
          <cell r="BC495" t="str">
            <v>Iediot</v>
          </cell>
          <cell r="BE495" t="str">
            <v>Special</v>
          </cell>
          <cell r="BG495" t="str">
            <v>Alis</v>
          </cell>
        </row>
        <row r="496">
          <cell r="BA496" t="str">
            <v>30.9.97</v>
          </cell>
          <cell r="BB496">
            <v>0</v>
          </cell>
          <cell r="BC496">
            <v>0</v>
          </cell>
          <cell r="BE496">
            <v>428.75</v>
          </cell>
          <cell r="BG496">
            <v>428.75</v>
          </cell>
        </row>
        <row r="497">
          <cell r="A497" t="str">
            <v>TAXES</v>
          </cell>
          <cell r="C497">
            <v>6731.6253859049775</v>
          </cell>
          <cell r="E497">
            <v>0</v>
          </cell>
          <cell r="G497">
            <v>6731.6253859049775</v>
          </cell>
          <cell r="I497">
            <v>1922</v>
          </cell>
          <cell r="M497">
            <v>0</v>
          </cell>
          <cell r="Q497">
            <v>1922</v>
          </cell>
          <cell r="S497">
            <v>8653.6253859049775</v>
          </cell>
          <cell r="U497">
            <v>0</v>
          </cell>
          <cell r="Z497">
            <v>8653.6253859049775</v>
          </cell>
          <cell r="AB497">
            <v>0</v>
          </cell>
          <cell r="AD497">
            <v>138.5</v>
          </cell>
          <cell r="AF497">
            <v>0</v>
          </cell>
          <cell r="AH497">
            <v>0</v>
          </cell>
          <cell r="AJ497">
            <v>0</v>
          </cell>
          <cell r="AL497">
            <v>8792.1253859049775</v>
          </cell>
          <cell r="AN497" t="str">
            <v>TAXES</v>
          </cell>
          <cell r="AR497">
            <v>16034.403078212672</v>
          </cell>
          <cell r="AT497">
            <v>2346</v>
          </cell>
          <cell r="AV497">
            <v>18380.403078212672</v>
          </cell>
          <cell r="BA497" t="str">
            <v>10-12/97</v>
          </cell>
          <cell r="BB497">
            <v>0</v>
          </cell>
          <cell r="BC497">
            <v>0</v>
          </cell>
          <cell r="BE497">
            <v>61.25</v>
          </cell>
          <cell r="BG497">
            <v>61.25</v>
          </cell>
        </row>
        <row r="499">
          <cell r="A499" t="str">
            <v xml:space="preserve">MIN.INT.IN P.RESULTS </v>
          </cell>
          <cell r="C499">
            <v>0</v>
          </cell>
          <cell r="E499">
            <v>0</v>
          </cell>
          <cell r="G499">
            <v>0</v>
          </cell>
          <cell r="I499">
            <v>0</v>
          </cell>
          <cell r="M499">
            <v>0</v>
          </cell>
          <cell r="Q499">
            <v>0</v>
          </cell>
          <cell r="S499">
            <v>0</v>
          </cell>
          <cell r="U499">
            <v>0</v>
          </cell>
          <cell r="Z499">
            <v>0</v>
          </cell>
          <cell r="AB499">
            <v>0</v>
          </cell>
          <cell r="AF499">
            <v>0</v>
          </cell>
          <cell r="AH499">
            <v>0</v>
          </cell>
          <cell r="AJ499">
            <v>0</v>
          </cell>
          <cell r="AL499">
            <v>0</v>
          </cell>
          <cell r="AN499" t="str">
            <v xml:space="preserve">MIN.INT.IN P.RESULTS </v>
          </cell>
          <cell r="AR499">
            <v>14149</v>
          </cell>
          <cell r="AT499">
            <v>3384</v>
          </cell>
          <cell r="AV499">
            <v>17533</v>
          </cell>
          <cell r="BA499" t="str">
            <v>1-9/97</v>
          </cell>
          <cell r="BB499">
            <v>0</v>
          </cell>
          <cell r="BC499">
            <v>0</v>
          </cell>
          <cell r="BE499">
            <v>245</v>
          </cell>
          <cell r="BG499">
            <v>245</v>
          </cell>
        </row>
        <row r="500">
          <cell r="A500" t="str">
            <v>PROVISION for losses on other investments</v>
          </cell>
          <cell r="C500">
            <v>0</v>
          </cell>
          <cell r="E500">
            <v>0</v>
          </cell>
          <cell r="G500">
            <v>0</v>
          </cell>
          <cell r="I500">
            <v>-4930</v>
          </cell>
          <cell r="Q500">
            <v>-4930</v>
          </cell>
          <cell r="S500">
            <v>-4930</v>
          </cell>
          <cell r="U500">
            <v>0</v>
          </cell>
          <cell r="Z500">
            <v>-4930</v>
          </cell>
          <cell r="AL500">
            <v>-4930</v>
          </cell>
          <cell r="AN500" t="str">
            <v>PROVISION for losses on other investments</v>
          </cell>
          <cell r="AR500">
            <v>0</v>
          </cell>
          <cell r="AT500">
            <v>-5172</v>
          </cell>
          <cell r="AV500">
            <v>-5172</v>
          </cell>
          <cell r="BB500">
            <v>0</v>
          </cell>
          <cell r="BC500">
            <v>0</v>
          </cell>
          <cell r="BE500">
            <v>735</v>
          </cell>
          <cell r="BG500">
            <v>735</v>
          </cell>
        </row>
        <row r="501">
          <cell r="A501" t="str">
            <v>EQUITY profit</v>
          </cell>
          <cell r="C501">
            <v>-18980.634509615382</v>
          </cell>
          <cell r="E501">
            <v>0</v>
          </cell>
          <cell r="G501">
            <v>-18980.634509615382</v>
          </cell>
          <cell r="I501">
            <v>-2060</v>
          </cell>
          <cell r="M501">
            <v>0</v>
          </cell>
          <cell r="Q501">
            <v>-2060</v>
          </cell>
          <cell r="S501">
            <v>-21040.634509615382</v>
          </cell>
          <cell r="U501">
            <v>0</v>
          </cell>
          <cell r="Z501">
            <v>-21040.634509615382</v>
          </cell>
          <cell r="AB501">
            <v>0</v>
          </cell>
          <cell r="AF501">
            <v>0</v>
          </cell>
          <cell r="AH501">
            <v>0</v>
          </cell>
          <cell r="AJ501">
            <v>0</v>
          </cell>
          <cell r="AL501">
            <v>-21040.634509615382</v>
          </cell>
          <cell r="AN501" t="str">
            <v>EQUITY profit</v>
          </cell>
          <cell r="AR501">
            <v>5671.7831846153858</v>
          </cell>
          <cell r="AT501">
            <v>3003</v>
          </cell>
          <cell r="AV501">
            <v>8674.7831846153858</v>
          </cell>
          <cell r="BB501">
            <v>74154.011815384612</v>
          </cell>
          <cell r="BC501">
            <v>735</v>
          </cell>
          <cell r="BG501">
            <v>735</v>
          </cell>
        </row>
        <row r="502">
          <cell r="A502" t="str">
            <v>S. profit to IEDIOT</v>
          </cell>
          <cell r="AB502">
            <v>0</v>
          </cell>
          <cell r="AF502">
            <v>0</v>
          </cell>
          <cell r="AL502">
            <v>0</v>
          </cell>
        </row>
        <row r="503">
          <cell r="A503" t="str">
            <v>profit FOR THE PERIOD</v>
          </cell>
          <cell r="C503" t="e">
            <v>#REF!</v>
          </cell>
          <cell r="G503" t="e">
            <v>#REF!</v>
          </cell>
          <cell r="I503">
            <v>-6307</v>
          </cell>
          <cell r="M503">
            <v>6</v>
          </cell>
          <cell r="Q503">
            <v>-6301</v>
          </cell>
          <cell r="S503" t="e">
            <v>#REF!</v>
          </cell>
          <cell r="U503">
            <v>-6</v>
          </cell>
          <cell r="Z503" t="e">
            <v>#REF!</v>
          </cell>
          <cell r="AB503">
            <v>0</v>
          </cell>
          <cell r="AD503" t="e">
            <v>#REF!</v>
          </cell>
          <cell r="AF503">
            <v>0</v>
          </cell>
          <cell r="AH503">
            <v>0</v>
          </cell>
          <cell r="AJ503">
            <v>0</v>
          </cell>
          <cell r="AL503" t="e">
            <v>#REF!</v>
          </cell>
          <cell r="AN503" t="str">
            <v>profit FOR THE PERIOD</v>
          </cell>
          <cell r="AR503">
            <v>-19460.711609259364</v>
          </cell>
          <cell r="AT503">
            <v>-6296</v>
          </cell>
          <cell r="AV503">
            <v>-25756.711609259364</v>
          </cell>
          <cell r="AX503">
            <v>0</v>
          </cell>
        </row>
        <row r="504">
          <cell r="A504" t="str">
            <v>S. profit to IEDIOT OB</v>
          </cell>
          <cell r="AB504">
            <v>0</v>
          </cell>
          <cell r="AF504">
            <v>0</v>
          </cell>
          <cell r="AL504">
            <v>0</v>
          </cell>
        </row>
        <row r="505">
          <cell r="A505" t="str">
            <v>profit AT BEG.OF PERIOD</v>
          </cell>
          <cell r="C505">
            <v>-4484.8019999999997</v>
          </cell>
          <cell r="E505">
            <v>-17308.024000000001</v>
          </cell>
          <cell r="G505">
            <v>-21792.826000000001</v>
          </cell>
          <cell r="I505">
            <v>-6907</v>
          </cell>
          <cell r="M505">
            <v>-17315</v>
          </cell>
          <cell r="Q505">
            <v>-24222</v>
          </cell>
          <cell r="S505">
            <v>-11391.802</v>
          </cell>
          <cell r="U505">
            <v>-34623.024000000005</v>
          </cell>
          <cell r="Z505">
            <v>-25491.826000000001</v>
          </cell>
          <cell r="AB505">
            <v>0</v>
          </cell>
          <cell r="AD505">
            <v>-1047</v>
          </cell>
          <cell r="AF505">
            <v>0</v>
          </cell>
          <cell r="AH505">
            <v>0</v>
          </cell>
          <cell r="AJ505">
            <v>0</v>
          </cell>
          <cell r="AL505">
            <v>-26538.826000000001</v>
          </cell>
          <cell r="AN505" t="str">
            <v>profit AT BEG.OF PERIOD</v>
          </cell>
          <cell r="AR505">
            <v>-21792</v>
          </cell>
          <cell r="AT505">
            <v>-25497</v>
          </cell>
          <cell r="AV505">
            <v>-25496</v>
          </cell>
          <cell r="AX505">
            <v>1042.8260000000009</v>
          </cell>
        </row>
        <row r="506">
          <cell r="A506" t="str">
            <v>DIVIDEND</v>
          </cell>
          <cell r="C506">
            <v>0</v>
          </cell>
          <cell r="G506">
            <v>0</v>
          </cell>
          <cell r="I506">
            <v>10000</v>
          </cell>
          <cell r="M506">
            <v>0</v>
          </cell>
          <cell r="Q506">
            <v>10000</v>
          </cell>
          <cell r="S506">
            <v>10000</v>
          </cell>
          <cell r="U506">
            <v>0</v>
          </cell>
          <cell r="Z506">
            <v>10000</v>
          </cell>
          <cell r="AB506">
            <v>0</v>
          </cell>
          <cell r="AF506">
            <v>0</v>
          </cell>
          <cell r="AH506">
            <v>0</v>
          </cell>
          <cell r="AJ506">
            <v>0</v>
          </cell>
          <cell r="AL506">
            <v>10000</v>
          </cell>
          <cell r="AN506" t="str">
            <v>DIVIDEND</v>
          </cell>
          <cell r="AR506">
            <v>0</v>
          </cell>
          <cell r="AT506">
            <v>10000</v>
          </cell>
          <cell r="AV506">
            <v>10000</v>
          </cell>
        </row>
        <row r="508">
          <cell r="A508" t="str">
            <v>BAL.OF profit AT END OF PERIOD</v>
          </cell>
          <cell r="C508" t="e">
            <v>#REF!</v>
          </cell>
          <cell r="E508">
            <v>-17308.024000000001</v>
          </cell>
          <cell r="G508" t="e">
            <v>#REF!</v>
          </cell>
          <cell r="I508">
            <v>-3214</v>
          </cell>
          <cell r="M508">
            <v>-17309</v>
          </cell>
          <cell r="Q508">
            <v>-20523</v>
          </cell>
          <cell r="S508" t="e">
            <v>#REF!</v>
          </cell>
          <cell r="U508">
            <v>-34629.024000000005</v>
          </cell>
          <cell r="Z508" t="e">
            <v>#REF!</v>
          </cell>
          <cell r="AB508">
            <v>0</v>
          </cell>
          <cell r="AD508" t="e">
            <v>#REF!</v>
          </cell>
          <cell r="AF508">
            <v>0</v>
          </cell>
          <cell r="AH508">
            <v>0</v>
          </cell>
          <cell r="AJ508">
            <v>0</v>
          </cell>
          <cell r="AL508" t="e">
            <v>#REF!</v>
          </cell>
          <cell r="AN508" t="str">
            <v>BAL.OF profit AT END OF PERIOD</v>
          </cell>
          <cell r="AR508">
            <v>-41252.711609259364</v>
          </cell>
          <cell r="AT508">
            <v>-21793</v>
          </cell>
          <cell r="AV508">
            <v>-41252.711609259364</v>
          </cell>
          <cell r="AX508" t="e">
            <v>#REF!</v>
          </cell>
        </row>
        <row r="509">
          <cell r="AP509">
            <v>-2322.9031230769251</v>
          </cell>
          <cell r="AR509">
            <v>-0.17399999999906868</v>
          </cell>
          <cell r="AT509">
            <v>-2322.0690000000031</v>
          </cell>
        </row>
      </sheetData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רכז ער&quot;ז"/>
      <sheetName val="עידן 1099"/>
      <sheetName val="ערוצי זהב 1099"/>
      <sheetName val="ערוצי אדום 1099"/>
      <sheetName val="טורים 98"/>
      <sheetName val="מדריכי פנאי"/>
      <sheetName val="netcom 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1998</v>
          </cell>
          <cell r="B1">
            <v>4.16</v>
          </cell>
          <cell r="G1" t="str">
            <v>עורק שמ"מ</v>
          </cell>
          <cell r="Q1" t="str">
            <v>דוחות מאוחדים</v>
          </cell>
          <cell r="AF1">
            <v>36160</v>
          </cell>
          <cell r="AZ1">
            <v>0</v>
          </cell>
          <cell r="BE1" t="str">
            <v>;</v>
          </cell>
          <cell r="BG1" t="str">
            <v>CONSOLIDATED STATEMENTS</v>
          </cell>
          <cell r="BS1" t="str">
            <v xml:space="preserve"> AS AT </v>
          </cell>
          <cell r="BU1">
            <v>36160</v>
          </cell>
          <cell r="CX1">
            <v>36160</v>
          </cell>
          <cell r="FG1" t="str">
            <v>מד"פ</v>
          </cell>
          <cell r="FH1" t="str">
            <v>נטקום</v>
          </cell>
          <cell r="FI1" t="str">
            <v>ער"ז</v>
          </cell>
          <cell r="FJ1" t="str">
            <v>עידן</v>
          </cell>
          <cell r="FK1" t="str">
            <v>עידן</v>
          </cell>
          <cell r="FL1" t="str">
            <v>ע.אדום</v>
          </cell>
          <cell r="FM1" t="str">
            <v>פקודת  איחוד</v>
          </cell>
          <cell r="FN1" t="str">
            <v>ער"ז</v>
          </cell>
          <cell r="FO1" t="str">
            <v>דרה"ש</v>
          </cell>
          <cell r="FP1" t="str">
            <v>ט.ל.מ.</v>
          </cell>
          <cell r="FQ1" t="str">
            <v>פקודת איחוד</v>
          </cell>
          <cell r="FR1" t="str">
            <v>דר"ש</v>
          </cell>
          <cell r="FS1" t="str">
            <v>מ. ער"ז</v>
          </cell>
          <cell r="FT1" t="str">
            <v>TOTAL</v>
          </cell>
          <cell r="FU1" t="str">
            <v>פקודות</v>
          </cell>
          <cell r="FV1" t="str">
            <v>TOTAL</v>
          </cell>
          <cell r="GG1" t="str">
            <v>TOTAL</v>
          </cell>
        </row>
        <row r="2">
          <cell r="A2">
            <v>36160</v>
          </cell>
          <cell r="B2">
            <v>3.536</v>
          </cell>
          <cell r="C2">
            <v>153.1</v>
          </cell>
          <cell r="AX2" t="str">
            <v>$</v>
          </cell>
          <cell r="FC2" t="str">
            <v>"31/12/98</v>
          </cell>
          <cell r="FG2" t="str">
            <v>"31/12/98</v>
          </cell>
          <cell r="FH2" t="str">
            <v>"31/12/98</v>
          </cell>
          <cell r="FI2" t="str">
            <v>"31/12/98</v>
          </cell>
          <cell r="FJ2" t="str">
            <v>כניסה לאיחוד</v>
          </cell>
          <cell r="FK2">
            <v>0.5</v>
          </cell>
          <cell r="FL2" t="str">
            <v>"31/12/98</v>
          </cell>
          <cell r="FN2" t="str">
            <v>מאוחד</v>
          </cell>
          <cell r="FO2" t="str">
            <v>"31/12/98</v>
          </cell>
          <cell r="FP2" t="str">
            <v>"31/12/98</v>
          </cell>
          <cell r="FR2" t="str">
            <v>מאוחד</v>
          </cell>
          <cell r="FS2" t="str">
            <v>"31/12/98</v>
          </cell>
          <cell r="FT2" t="str">
            <v>"31/12/98</v>
          </cell>
          <cell r="FU2" t="str">
            <v>נוספות</v>
          </cell>
          <cell r="FV2" t="str">
            <v>"31/12/98</v>
          </cell>
          <cell r="FW2" t="str">
            <v>שע"מ 1998</v>
          </cell>
          <cell r="FX2" t="str">
            <v>ער"ז מאוחד</v>
          </cell>
          <cell r="FY2" t="str">
            <v>דרום השרון מאוחד</v>
          </cell>
          <cell r="FZ2" t="str">
            <v>הוספת פקודות של ביטול מחזורים</v>
          </cell>
          <cell r="GA2" t="str">
            <v xml:space="preserve">ער"ז+דרהמ"ש בניטרול עסקאות עם </v>
          </cell>
          <cell r="GB2" t="str">
            <v xml:space="preserve">ער"ז+דרהמ"ש בניטרול עסקאות עם </v>
          </cell>
          <cell r="GC2" t="str">
            <v xml:space="preserve">עורק מאוחד בניטרול ער"ז </v>
          </cell>
          <cell r="GD2" t="str">
            <v xml:space="preserve">עורק מאוחד בניטרול ער"ז </v>
          </cell>
          <cell r="GE2" t="str">
            <v xml:space="preserve">עורק מאוחד בניטרול ער"ז </v>
          </cell>
          <cell r="GG2" t="str">
            <v>31/12/97</v>
          </cell>
          <cell r="GS2" t="str">
            <v>{EDIT}*a:Gx44/a:Gy44~{DOWN}</v>
          </cell>
        </row>
        <row r="3">
          <cell r="B3" t="str">
            <v xml:space="preserve">    =1$</v>
          </cell>
          <cell r="C3" t="str">
            <v>מדד</v>
          </cell>
          <cell r="G3" t="str">
            <v>עורק שמ"מ</v>
          </cell>
          <cell r="S3" t="str">
            <v>ערוצי זהב</v>
          </cell>
          <cell r="AB3" t="str">
            <v>ערוצי זהב - מאוחד</v>
          </cell>
          <cell r="AF3" t="str">
            <v>דרום השרון</v>
          </cell>
          <cell r="AJ3" t="str">
            <v>דרה"ש</v>
          </cell>
          <cell r="AL3" t="str">
            <v>ט.ל.מ.</v>
          </cell>
          <cell r="AP3" t="str">
            <v>דרה"ש - מאוחד</v>
          </cell>
          <cell r="AR3" t="str">
            <v>מרכז ער"ז</v>
          </cell>
          <cell r="AX3" t="str">
            <v>עורק שמ"מ - מאוחד</v>
          </cell>
          <cell r="BG3" t="str">
            <v>A.C.T.V.</v>
          </cell>
          <cell r="BS3" t="str">
            <v>G.C.&amp; CO.</v>
          </cell>
          <cell r="BZ3" t="str">
            <v>G.C.&amp; CO. CONSOLIDATED</v>
          </cell>
          <cell r="CF3" t="str">
            <v>SOUTH SHARON COMM.</v>
          </cell>
          <cell r="CL3" t="str">
            <v>T.L.M</v>
          </cell>
          <cell r="CN3" t="str">
            <v>S.S.C.-CONSOLIDATED</v>
          </cell>
          <cell r="CR3" t="str">
            <v>MERCAZ</v>
          </cell>
          <cell r="CV3" t="str">
            <v xml:space="preserve">CONSOLIDATED </v>
          </cell>
          <cell r="FC3" t="str">
            <v>שמ"מ חברה</v>
          </cell>
          <cell r="FD3" t="str">
            <v>שמ"מ</v>
          </cell>
          <cell r="FE3" t="str">
            <v>פקודות נוספות</v>
          </cell>
          <cell r="FF3" t="str">
            <v>TOTAL</v>
          </cell>
          <cell r="FG3" t="str">
            <v>מד"פ</v>
          </cell>
          <cell r="FH3" t="str">
            <v>נטקום</v>
          </cell>
          <cell r="FI3" t="str">
            <v>ער"ז</v>
          </cell>
          <cell r="FL3" t="str">
            <v>ע.אדום</v>
          </cell>
          <cell r="FO3" t="str">
            <v>דרה"ש</v>
          </cell>
          <cell r="FP3" t="str">
            <v>ט.ל.מ.</v>
          </cell>
          <cell r="FS3" t="str">
            <v>מ. ער"ז</v>
          </cell>
          <cell r="FT3" t="str">
            <v>שממ - מאוחד</v>
          </cell>
          <cell r="FX3" t="str">
            <v>מותאם למדד 12/98</v>
          </cell>
          <cell r="FY3" t="str">
            <v>מותאם למדד 12/98</v>
          </cell>
          <cell r="FZ3" t="str">
            <v>בין דרום השרון ער"ז לשאר הקבוצה</v>
          </cell>
          <cell r="GA3" t="str">
            <v>שאר הקבוצה</v>
          </cell>
          <cell r="GB3" t="str">
            <v>ש"ח 12/99</v>
          </cell>
          <cell r="GD3" t="str">
            <v>ודרום השרון</v>
          </cell>
          <cell r="GE3" t="str">
            <v>ודרום השרון</v>
          </cell>
          <cell r="GG3" t="str">
            <v>שממ מאוחד</v>
          </cell>
        </row>
        <row r="4">
          <cell r="C4" t="str">
            <v>U.S dollar</v>
          </cell>
          <cell r="BB4" t="str">
            <v>Nominal NIS</v>
          </cell>
          <cell r="CX4" t="str">
            <v>Nominal NIS</v>
          </cell>
          <cell r="FC4" t="str">
            <v>Adjusted NIS</v>
          </cell>
          <cell r="GD4" t="str">
            <v>ש"ח 12/99</v>
          </cell>
        </row>
        <row r="5">
          <cell r="A5" t="str">
            <v>בדיקת איזון</v>
          </cell>
          <cell r="C5">
            <v>-654.16539999999804</v>
          </cell>
          <cell r="E5">
            <v>6.2999999998282874E-2</v>
          </cell>
          <cell r="G5">
            <v>655.80807821267035</v>
          </cell>
          <cell r="I5">
            <v>1.7056782126746839</v>
          </cell>
          <cell r="M5">
            <v>-2.1664038461537132</v>
          </cell>
          <cell r="O5">
            <v>-0.5</v>
          </cell>
          <cell r="Q5">
            <v>0.28200000003562309</v>
          </cell>
          <cell r="S5">
            <v>0</v>
          </cell>
          <cell r="U5">
            <v>0.28200000000651926</v>
          </cell>
          <cell r="W5">
            <v>-1.25</v>
          </cell>
          <cell r="X5">
            <v>0</v>
          </cell>
          <cell r="Z5">
            <v>2.5950000000002547</v>
          </cell>
          <cell r="AB5">
            <v>-0.64581538461561649</v>
          </cell>
          <cell r="AD5">
            <v>-0.19281538468203507</v>
          </cell>
          <cell r="AF5">
            <v>9.9999999656574801E-4</v>
          </cell>
          <cell r="AH5">
            <v>0</v>
          </cell>
          <cell r="AJ5">
            <v>9.9999999656574801E-4</v>
          </cell>
          <cell r="AL5">
            <v>-0.21899999999732245</v>
          </cell>
          <cell r="AN5">
            <v>0.9180000000014843</v>
          </cell>
          <cell r="AP5">
            <v>0.70000000000436557</v>
          </cell>
          <cell r="AR5">
            <v>1.1666515837059706</v>
          </cell>
          <cell r="AT5">
            <v>0.55073075788095593</v>
          </cell>
          <cell r="AV5">
            <v>-1.8870480769110145</v>
          </cell>
          <cell r="AX5">
            <v>-1.336317318957299</v>
          </cell>
          <cell r="AZ5" t="str">
            <v>ACTIV</v>
          </cell>
          <cell r="BC5">
            <v>-0.67198000004282221</v>
          </cell>
          <cell r="BE5">
            <v>0.67900000000372529</v>
          </cell>
          <cell r="BG5">
            <v>0</v>
          </cell>
          <cell r="BI5">
            <v>7.0200000773184001E-3</v>
          </cell>
          <cell r="BM5">
            <v>-4.9999999964711606E-4</v>
          </cell>
          <cell r="BO5">
            <v>0.22499999999854481</v>
          </cell>
          <cell r="BQ5">
            <v>-8.999999996740371E-2</v>
          </cell>
          <cell r="BS5">
            <v>0</v>
          </cell>
          <cell r="BU5">
            <v>-8.999999996740371E-2</v>
          </cell>
          <cell r="BW5">
            <v>-0.28299999999580905</v>
          </cell>
          <cell r="BX5">
            <v>0</v>
          </cell>
          <cell r="BZ5">
            <v>-7.8000000003157766E-2</v>
          </cell>
          <cell r="CB5">
            <v>-0.78099999999994907</v>
          </cell>
          <cell r="CD5">
            <v>-1.2319999999599531</v>
          </cell>
          <cell r="CF5">
            <v>-0.5</v>
          </cell>
          <cell r="CH5">
            <v>0</v>
          </cell>
          <cell r="CJ5">
            <v>-0.50000000000090949</v>
          </cell>
          <cell r="CL5">
            <v>-1.1000000000058208</v>
          </cell>
          <cell r="CN5">
            <v>-0.79200000000128057</v>
          </cell>
          <cell r="CP5">
            <v>-2.3919999999925494</v>
          </cell>
          <cell r="CR5">
            <v>-0.30799999998998828</v>
          </cell>
          <cell r="CT5">
            <v>-3.4974800001364201</v>
          </cell>
          <cell r="CV5">
            <v>0.38790000014705583</v>
          </cell>
          <cell r="CX5">
            <v>-3.1095799999311566</v>
          </cell>
          <cell r="FC5">
            <v>-0.10369562375126407</v>
          </cell>
          <cell r="FD5">
            <v>-0.22047200000088196</v>
          </cell>
          <cell r="FE5">
            <v>1.2446000000054482</v>
          </cell>
          <cell r="FF5">
            <v>0.92043237620964646</v>
          </cell>
          <cell r="FG5">
            <v>-1.5000000005329639E-3</v>
          </cell>
          <cell r="FH5">
            <v>0</v>
          </cell>
          <cell r="FI5">
            <v>-0.23599999980069697</v>
          </cell>
          <cell r="FJ5">
            <v>-0.28299999999580905</v>
          </cell>
          <cell r="FK5">
            <v>0</v>
          </cell>
          <cell r="FL5">
            <v>0.12900000000081491</v>
          </cell>
          <cell r="FM5">
            <v>0.31099999999969441</v>
          </cell>
          <cell r="FN5">
            <v>-7.9000000027008355E-2</v>
          </cell>
          <cell r="FO5">
            <v>0</v>
          </cell>
          <cell r="FP5">
            <v>-0.45207184844184667</v>
          </cell>
          <cell r="FQ5">
            <v>-0.3090000000083819</v>
          </cell>
          <cell r="FR5">
            <v>-0.76107184845022857</v>
          </cell>
          <cell r="FS5">
            <v>-0.11200000000826549</v>
          </cell>
          <cell r="FT5">
            <v>-3.3139471663162112E-2</v>
          </cell>
          <cell r="FU5">
            <v>-3.4795708599267527</v>
          </cell>
          <cell r="FV5">
            <v>-4.1310970068443567</v>
          </cell>
          <cell r="FX5">
            <v>-7.9000000027008355E-2</v>
          </cell>
          <cell r="FY5">
            <v>-0.76107184845022857</v>
          </cell>
          <cell r="FZ5">
            <v>-4.6048449999507284</v>
          </cell>
          <cell r="GA5">
            <v>-5.4449168485589325</v>
          </cell>
          <cell r="GB5">
            <v>-5.5179304655175656</v>
          </cell>
          <cell r="GC5">
            <v>-4.1310970068443567</v>
          </cell>
          <cell r="GD5">
            <v>-4.1864929564762861</v>
          </cell>
          <cell r="GE5">
            <v>-56728.977280158928</v>
          </cell>
          <cell r="GG5">
            <v>7.5622143634827808</v>
          </cell>
        </row>
        <row r="6">
          <cell r="A6" t="str">
            <v>ACTIV</v>
          </cell>
          <cell r="C6" t="str">
            <v>שממ</v>
          </cell>
          <cell r="E6" t="str">
            <v>שממ</v>
          </cell>
          <cell r="G6" t="str">
            <v>פ. נוספות</v>
          </cell>
          <cell r="I6" t="str">
            <v>TOTAL</v>
          </cell>
          <cell r="K6" t="str">
            <v>טלפאואר</v>
          </cell>
          <cell r="M6" t="str">
            <v>מד"פ</v>
          </cell>
          <cell r="O6" t="str">
            <v>נטקום</v>
          </cell>
          <cell r="Q6" t="str">
            <v>ער"ז</v>
          </cell>
          <cell r="S6" t="str">
            <v>פ. נוספות</v>
          </cell>
          <cell r="U6" t="str">
            <v>TOTAL</v>
          </cell>
          <cell r="W6" t="str">
            <v>עידן</v>
          </cell>
          <cell r="X6" t="str">
            <v>עידן</v>
          </cell>
          <cell r="Z6" t="str">
            <v>ע. אדום</v>
          </cell>
          <cell r="AB6" t="str">
            <v>פ.נוספות</v>
          </cell>
          <cell r="AD6" t="str">
            <v>TOTAL</v>
          </cell>
          <cell r="AF6" t="str">
            <v>דרה"ש</v>
          </cell>
          <cell r="AH6" t="str">
            <v>פ. נוספות</v>
          </cell>
          <cell r="AJ6" t="str">
            <v>TOTAL</v>
          </cell>
          <cell r="AL6" t="str">
            <v>ט.ל.מ.</v>
          </cell>
          <cell r="AN6" t="str">
            <v>פ. נוספות</v>
          </cell>
          <cell r="AP6" t="str">
            <v>TOTAL</v>
          </cell>
          <cell r="AR6" t="str">
            <v>מרכז ער"ז</v>
          </cell>
          <cell r="AT6" t="str">
            <v>TOTAL</v>
          </cell>
          <cell r="AV6" t="str">
            <v>פ. נוספות</v>
          </cell>
          <cell r="AX6" t="str">
            <v>TOTAL</v>
          </cell>
          <cell r="AZ6">
            <v>36661.599855671295</v>
          </cell>
          <cell r="BC6" t="str">
            <v>A.C.T.V.</v>
          </cell>
          <cell r="BE6" t="str">
            <v>A.L.I.S</v>
          </cell>
          <cell r="BG6" t="str">
            <v>J.ENTRIES</v>
          </cell>
          <cell r="BI6" t="str">
            <v>TOTAL</v>
          </cell>
          <cell r="BK6" t="str">
            <v>T.POWER</v>
          </cell>
          <cell r="BM6" t="str">
            <v>Madrichei Pnai</v>
          </cell>
          <cell r="BO6" t="str">
            <v>Netcom</v>
          </cell>
          <cell r="BQ6" t="str">
            <v>G.C.&amp; CO.</v>
          </cell>
          <cell r="BS6" t="str">
            <v>J.ENTRIES</v>
          </cell>
          <cell r="BU6" t="str">
            <v>TOTAL</v>
          </cell>
          <cell r="BW6" t="str">
            <v>IDAN</v>
          </cell>
          <cell r="BX6" t="str">
            <v>עידן %50</v>
          </cell>
          <cell r="BZ6" t="str">
            <v>EDOM</v>
          </cell>
          <cell r="CB6" t="str">
            <v>J.ENTRIES</v>
          </cell>
          <cell r="CD6" t="str">
            <v>Total</v>
          </cell>
          <cell r="CF6" t="str">
            <v>S.S.C.</v>
          </cell>
          <cell r="CH6" t="str">
            <v>J.ENTRIES</v>
          </cell>
          <cell r="CJ6" t="str">
            <v>TOTAL</v>
          </cell>
          <cell r="CL6" t="str">
            <v>T.L.M</v>
          </cell>
          <cell r="CN6" t="str">
            <v>J.ENTRIES</v>
          </cell>
          <cell r="CP6" t="str">
            <v>TOTAL</v>
          </cell>
          <cell r="CR6" t="str">
            <v>MERCAZ</v>
          </cell>
          <cell r="CT6" t="str">
            <v>TOTAL</v>
          </cell>
          <cell r="CV6" t="str">
            <v>J.ENTRIES</v>
          </cell>
          <cell r="CX6" t="str">
            <v>TOTAL</v>
          </cell>
          <cell r="FW6" t="str">
            <v>ACTIVE</v>
          </cell>
          <cell r="GT6" t="str">
            <v>{edit}*A:hX90/A:hY96~{down}</v>
          </cell>
        </row>
        <row r="7">
          <cell r="FX7">
            <v>0</v>
          </cell>
          <cell r="FY7">
            <v>0</v>
          </cell>
        </row>
        <row r="8">
          <cell r="FX8">
            <v>0</v>
          </cell>
          <cell r="FY8">
            <v>0</v>
          </cell>
        </row>
        <row r="9">
          <cell r="FX9">
            <v>0</v>
          </cell>
          <cell r="FY9">
            <v>0</v>
          </cell>
        </row>
        <row r="10">
          <cell r="FX10">
            <v>0</v>
          </cell>
          <cell r="FY10">
            <v>0</v>
          </cell>
        </row>
        <row r="11">
          <cell r="FX11">
            <v>0</v>
          </cell>
          <cell r="FY11">
            <v>0</v>
          </cell>
        </row>
        <row r="12">
          <cell r="A12" t="str">
            <v>FIXED ASSETS</v>
          </cell>
          <cell r="E12">
            <v>0.15899999999996339</v>
          </cell>
          <cell r="M12">
            <v>1.8028846153844924E-2</v>
          </cell>
          <cell r="O12">
            <v>0</v>
          </cell>
          <cell r="U12">
            <v>-0.96399999999266583</v>
          </cell>
          <cell r="Z12">
            <v>-7.5000000000272848E-2</v>
          </cell>
          <cell r="AB12" t="str">
            <v xml:space="preserve"> </v>
          </cell>
          <cell r="AL12">
            <v>-0.21699999998963904</v>
          </cell>
          <cell r="AP12">
            <v>-0.21699999998963904</v>
          </cell>
          <cell r="AR12">
            <v>0</v>
          </cell>
          <cell r="AX12">
            <v>444.32902884625946</v>
          </cell>
          <cell r="AZ12" t="str">
            <v>FIXED ASSETS</v>
          </cell>
          <cell r="BE12">
            <v>0</v>
          </cell>
          <cell r="BG12">
            <v>0</v>
          </cell>
          <cell r="BM12">
            <v>53.964500000000001</v>
          </cell>
          <cell r="BO12">
            <v>0</v>
          </cell>
          <cell r="BQ12">
            <v>-5750.8410000000149</v>
          </cell>
          <cell r="BU12">
            <v>-5750.8410000000149</v>
          </cell>
          <cell r="BZ12">
            <v>-495.48500000000058</v>
          </cell>
          <cell r="CB12">
            <v>-7.8000000003157766E-2</v>
          </cell>
          <cell r="CL12">
            <v>-15947</v>
          </cell>
          <cell r="CR12">
            <v>2998.4870000000083</v>
          </cell>
          <cell r="FG12">
            <v>-1140.7650000000001</v>
          </cell>
          <cell r="FP12">
            <v>-0.1463096016086638</v>
          </cell>
          <cell r="FV12">
            <v>0.24459787225350738</v>
          </cell>
          <cell r="FW12" t="str">
            <v>FIXED ASSETS</v>
          </cell>
          <cell r="FX12">
            <v>0</v>
          </cell>
          <cell r="FY12">
            <v>0</v>
          </cell>
          <cell r="GA12">
            <v>0</v>
          </cell>
        </row>
        <row r="13">
          <cell r="A13" t="str">
            <v>total-cost</v>
          </cell>
          <cell r="I13">
            <v>0</v>
          </cell>
          <cell r="M13">
            <v>17.48497596153846</v>
          </cell>
          <cell r="O13">
            <v>1144</v>
          </cell>
          <cell r="Q13">
            <v>112483.67600000001</v>
          </cell>
          <cell r="U13">
            <v>112483.67600000001</v>
          </cell>
          <cell r="W13">
            <v>41905.5</v>
          </cell>
          <cell r="X13">
            <v>41905.5</v>
          </cell>
          <cell r="Z13">
            <v>1896.7860000000001</v>
          </cell>
          <cell r="AB13">
            <v>1377.838</v>
          </cell>
          <cell r="AD13">
            <v>199569.3</v>
          </cell>
          <cell r="AL13">
            <v>86659</v>
          </cell>
          <cell r="AN13">
            <v>0</v>
          </cell>
          <cell r="AP13">
            <v>86659</v>
          </cell>
          <cell r="AR13">
            <v>21867.181</v>
          </cell>
          <cell r="AT13">
            <v>309256.96597596159</v>
          </cell>
          <cell r="AV13">
            <v>0</v>
          </cell>
          <cell r="AX13">
            <v>309256.96597596159</v>
          </cell>
          <cell r="AY13">
            <v>0</v>
          </cell>
          <cell r="AZ13" t="str">
            <v>total-cost</v>
          </cell>
          <cell r="BC13">
            <v>0</v>
          </cell>
          <cell r="BE13">
            <v>0</v>
          </cell>
          <cell r="BG13">
            <v>0</v>
          </cell>
          <cell r="BI13">
            <v>0</v>
          </cell>
          <cell r="BM13">
            <v>69.030500000000004</v>
          </cell>
          <cell r="BO13">
            <v>3768.5</v>
          </cell>
          <cell r="BQ13">
            <v>326524.80499999999</v>
          </cell>
          <cell r="BU13">
            <v>326524.80499999999</v>
          </cell>
          <cell r="BW13">
            <v>117928.5</v>
          </cell>
          <cell r="BX13">
            <v>117928.5</v>
          </cell>
          <cell r="BZ13">
            <v>6038.6689999999999</v>
          </cell>
          <cell r="CD13">
            <v>568420.47399999993</v>
          </cell>
          <cell r="CH13">
            <v>0</v>
          </cell>
          <cell r="CJ13">
            <v>0</v>
          </cell>
          <cell r="CL13">
            <v>254841</v>
          </cell>
          <cell r="CN13">
            <v>0</v>
          </cell>
          <cell r="CP13">
            <v>254841</v>
          </cell>
          <cell r="CR13">
            <v>76213.039000000004</v>
          </cell>
          <cell r="CT13">
            <v>903312.04349999991</v>
          </cell>
          <cell r="CV13">
            <v>0</v>
          </cell>
          <cell r="CX13">
            <v>903312.04349999991</v>
          </cell>
          <cell r="FF13">
            <v>0</v>
          </cell>
          <cell r="FG13">
            <v>72.737499999999997</v>
          </cell>
          <cell r="FH13">
            <v>4569</v>
          </cell>
          <cell r="FI13">
            <v>492225.87800000003</v>
          </cell>
          <cell r="FJ13">
            <v>184884.5</v>
          </cell>
          <cell r="FK13">
            <v>184884.5</v>
          </cell>
          <cell r="FL13">
            <v>7273.2939999999999</v>
          </cell>
          <cell r="FN13">
            <v>869268.17200000002</v>
          </cell>
          <cell r="FO13">
            <v>0</v>
          </cell>
          <cell r="FP13">
            <v>372163.45852384064</v>
          </cell>
          <cell r="FQ13">
            <v>0</v>
          </cell>
          <cell r="FR13">
            <v>372163.45852384064</v>
          </cell>
          <cell r="FS13">
            <v>83754.096999999994</v>
          </cell>
          <cell r="FT13">
            <v>1329827.4650238408</v>
          </cell>
          <cell r="FU13">
            <v>0</v>
          </cell>
          <cell r="FV13">
            <v>1329827.4650238408</v>
          </cell>
          <cell r="FW13" t="str">
            <v>total-cost</v>
          </cell>
          <cell r="FX13">
            <v>869268.17200000002</v>
          </cell>
          <cell r="FY13">
            <v>372163.45852384064</v>
          </cell>
          <cell r="GA13">
            <v>1241431.6305238407</v>
          </cell>
          <cell r="GB13">
            <v>1258078.6090931019</v>
          </cell>
          <cell r="GC13">
            <v>1329827.4650238408</v>
          </cell>
          <cell r="GD13">
            <v>1347659.7876155614</v>
          </cell>
          <cell r="GE13">
            <v>88395.834500000114</v>
          </cell>
          <cell r="GF13">
            <v>4.3000727916576915</v>
          </cell>
          <cell r="GG13">
            <v>834613</v>
          </cell>
          <cell r="GH13">
            <v>-834613</v>
          </cell>
          <cell r="GT13" t="str">
            <v>{MENUBRANCH main}</v>
          </cell>
        </row>
        <row r="14">
          <cell r="A14" t="str">
            <v>Depreciation</v>
          </cell>
          <cell r="G14">
            <v>0</v>
          </cell>
          <cell r="I14">
            <v>0</v>
          </cell>
          <cell r="M14">
            <v>-3.9669471153846154</v>
          </cell>
          <cell r="O14">
            <v>-428</v>
          </cell>
          <cell r="Q14">
            <v>-54907.004000000001</v>
          </cell>
          <cell r="U14">
            <v>-54907.004000000001</v>
          </cell>
          <cell r="W14">
            <v>-20771.5</v>
          </cell>
          <cell r="X14">
            <v>-20771.5</v>
          </cell>
          <cell r="Z14">
            <v>-546.55600000000004</v>
          </cell>
          <cell r="AB14">
            <v>-80.430000000000007</v>
          </cell>
          <cell r="AD14">
            <v>-97076.99</v>
          </cell>
          <cell r="AL14">
            <v>-35176</v>
          </cell>
          <cell r="AN14">
            <v>0</v>
          </cell>
          <cell r="AP14">
            <v>-35176</v>
          </cell>
          <cell r="AR14">
            <v>-1266.8440000000001</v>
          </cell>
          <cell r="AT14">
            <v>-133951.80094711535</v>
          </cell>
          <cell r="AV14">
            <v>0</v>
          </cell>
          <cell r="AX14">
            <v>-133951.80094711535</v>
          </cell>
          <cell r="AY14">
            <v>0</v>
          </cell>
          <cell r="AZ14" t="str">
            <v>Depreciation</v>
          </cell>
          <cell r="BC14">
            <v>0</v>
          </cell>
          <cell r="BE14">
            <v>0</v>
          </cell>
          <cell r="BG14">
            <v>0</v>
          </cell>
          <cell r="BI14">
            <v>0</v>
          </cell>
          <cell r="BM14">
            <v>-15.066000000000001</v>
          </cell>
          <cell r="BO14">
            <v>-1337.5</v>
          </cell>
          <cell r="BQ14">
            <v>-137589.96799999999</v>
          </cell>
          <cell r="BU14">
            <v>-137589.96799999999</v>
          </cell>
          <cell r="BW14">
            <v>-53533</v>
          </cell>
          <cell r="BX14">
            <v>-53533</v>
          </cell>
          <cell r="BZ14">
            <v>-1706.154</v>
          </cell>
          <cell r="CB14">
            <v>0</v>
          </cell>
          <cell r="CD14">
            <v>-246362.122</v>
          </cell>
          <cell r="CH14">
            <v>0</v>
          </cell>
          <cell r="CJ14">
            <v>0</v>
          </cell>
          <cell r="CL14">
            <v>-97795</v>
          </cell>
          <cell r="CN14">
            <v>0</v>
          </cell>
          <cell r="CP14">
            <v>-97795</v>
          </cell>
          <cell r="CR14">
            <v>-4389.5519999999997</v>
          </cell>
          <cell r="CT14">
            <v>-349899.24</v>
          </cell>
          <cell r="CV14">
            <v>0</v>
          </cell>
          <cell r="CX14">
            <v>-349899.24</v>
          </cell>
          <cell r="DU14">
            <v>-17553</v>
          </cell>
          <cell r="FC14">
            <v>0</v>
          </cell>
          <cell r="FE14">
            <v>0</v>
          </cell>
          <cell r="FF14">
            <v>0</v>
          </cell>
          <cell r="FG14">
            <v>-16.502500000000001</v>
          </cell>
          <cell r="FH14">
            <v>-1762</v>
          </cell>
          <cell r="FI14">
            <v>-252037.40599999999</v>
          </cell>
          <cell r="FJ14">
            <v>-95140.5</v>
          </cell>
          <cell r="FK14">
            <v>-95140.5</v>
          </cell>
          <cell r="FL14">
            <v>-2079.0160000000001</v>
          </cell>
          <cell r="FM14">
            <v>0</v>
          </cell>
          <cell r="FN14">
            <v>-444397.42199999996</v>
          </cell>
          <cell r="FO14">
            <v>0</v>
          </cell>
          <cell r="FP14">
            <v>-155845</v>
          </cell>
          <cell r="FQ14">
            <v>0</v>
          </cell>
          <cell r="FR14">
            <v>-155845</v>
          </cell>
          <cell r="FS14">
            <v>-4815.6570000000002</v>
          </cell>
          <cell r="FT14">
            <v>-606836.58149999997</v>
          </cell>
          <cell r="FU14">
            <v>0</v>
          </cell>
          <cell r="FV14">
            <v>-606836.58149999997</v>
          </cell>
          <cell r="FW14" t="str">
            <v>Depreciation</v>
          </cell>
          <cell r="FX14">
            <v>-444397.42199999996</v>
          </cell>
          <cell r="FY14">
            <v>-155845</v>
          </cell>
          <cell r="GA14">
            <v>-600242.42200000002</v>
          </cell>
          <cell r="GB14">
            <v>-608291.37329921825</v>
          </cell>
          <cell r="GC14">
            <v>-606836.58149999997</v>
          </cell>
          <cell r="GD14">
            <v>-614973.95718698134</v>
          </cell>
          <cell r="GE14">
            <v>-6594.1594999999506</v>
          </cell>
          <cell r="GF14">
            <v>4.5302607147445615</v>
          </cell>
          <cell r="GG14">
            <v>-319946.32149902027</v>
          </cell>
          <cell r="GH14">
            <v>0</v>
          </cell>
        </row>
        <row r="15">
          <cell r="A15" t="str">
            <v>Total Fix.Assets</v>
          </cell>
          <cell r="C15">
            <v>0</v>
          </cell>
          <cell r="E15">
            <v>0</v>
          </cell>
          <cell r="G15">
            <v>0</v>
          </cell>
          <cell r="I15">
            <v>0</v>
          </cell>
          <cell r="M15">
            <v>13.518028846153845</v>
          </cell>
          <cell r="O15">
            <v>716</v>
          </cell>
          <cell r="Q15">
            <v>57576.672000000006</v>
          </cell>
          <cell r="S15">
            <v>0</v>
          </cell>
          <cell r="U15">
            <v>57576.672000000006</v>
          </cell>
          <cell r="W15">
            <v>21134</v>
          </cell>
          <cell r="X15">
            <v>21134</v>
          </cell>
          <cell r="Z15">
            <v>1350.23</v>
          </cell>
          <cell r="AB15">
            <v>1297.4079999999999</v>
          </cell>
          <cell r="AD15">
            <v>102492.31</v>
          </cell>
          <cell r="AH15">
            <v>0</v>
          </cell>
          <cell r="AJ15">
            <v>0</v>
          </cell>
          <cell r="AL15">
            <v>51483</v>
          </cell>
          <cell r="AN15">
            <v>0</v>
          </cell>
          <cell r="AP15">
            <v>51483</v>
          </cell>
          <cell r="AR15">
            <v>20600.337</v>
          </cell>
          <cell r="AT15">
            <v>175305.16502884624</v>
          </cell>
          <cell r="AV15">
            <v>0</v>
          </cell>
          <cell r="AX15">
            <v>175305.16502884624</v>
          </cell>
          <cell r="AY15">
            <v>0</v>
          </cell>
          <cell r="AZ15" t="str">
            <v>Total Fix.Assets</v>
          </cell>
          <cell r="BC15">
            <v>0</v>
          </cell>
          <cell r="BE15">
            <v>0</v>
          </cell>
          <cell r="BG15">
            <v>0</v>
          </cell>
          <cell r="BI15">
            <v>0</v>
          </cell>
          <cell r="BM15">
            <v>53.964500000000001</v>
          </cell>
          <cell r="BO15">
            <v>2431</v>
          </cell>
          <cell r="BQ15">
            <v>188934.837</v>
          </cell>
          <cell r="BS15">
            <v>0</v>
          </cell>
          <cell r="BU15">
            <v>188934.837</v>
          </cell>
          <cell r="BW15">
            <v>64395.5</v>
          </cell>
          <cell r="BX15">
            <v>64395.5</v>
          </cell>
          <cell r="BZ15">
            <v>4332.5149999999994</v>
          </cell>
          <cell r="CB15">
            <v>0</v>
          </cell>
          <cell r="CD15">
            <v>322058.35200000001</v>
          </cell>
          <cell r="CF15">
            <v>0</v>
          </cell>
          <cell r="CH15">
            <v>0</v>
          </cell>
          <cell r="CJ15">
            <v>0</v>
          </cell>
          <cell r="CL15">
            <v>157046</v>
          </cell>
          <cell r="CN15">
            <v>0</v>
          </cell>
          <cell r="CP15">
            <v>157046</v>
          </cell>
          <cell r="CR15">
            <v>71823.487000000008</v>
          </cell>
          <cell r="CT15">
            <v>553412.80349999992</v>
          </cell>
          <cell r="CV15">
            <v>0</v>
          </cell>
          <cell r="CX15">
            <v>553412.80349999992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56.234999999999999</v>
          </cell>
          <cell r="FH15">
            <v>2807</v>
          </cell>
          <cell r="FI15">
            <v>240188.47200000004</v>
          </cell>
          <cell r="FJ15">
            <v>89744</v>
          </cell>
          <cell r="FK15">
            <v>89744</v>
          </cell>
          <cell r="FL15">
            <v>5194.2780000000002</v>
          </cell>
          <cell r="FM15">
            <v>0</v>
          </cell>
          <cell r="FN15">
            <v>424870.75</v>
          </cell>
          <cell r="FO15">
            <v>0</v>
          </cell>
          <cell r="FP15">
            <v>216318.45852384064</v>
          </cell>
          <cell r="FQ15">
            <v>0</v>
          </cell>
          <cell r="FR15">
            <v>216318.45852384064</v>
          </cell>
          <cell r="FS15">
            <v>78938.44</v>
          </cell>
          <cell r="FT15">
            <v>722990.88352384081</v>
          </cell>
          <cell r="FU15">
            <v>0</v>
          </cell>
          <cell r="FV15">
            <v>722990.88352384081</v>
          </cell>
          <cell r="FW15" t="str">
            <v>Total Fix.Assets</v>
          </cell>
          <cell r="FX15">
            <v>424870.75</v>
          </cell>
          <cell r="FY15">
            <v>216318.45852384064</v>
          </cell>
          <cell r="FZ15">
            <v>0</v>
          </cell>
          <cell r="GA15">
            <v>641189.20852384064</v>
          </cell>
          <cell r="GB15">
            <v>649787.23579388368</v>
          </cell>
          <cell r="GC15">
            <v>722990.88352384081</v>
          </cell>
          <cell r="GD15">
            <v>732685.83042858006</v>
          </cell>
          <cell r="GE15">
            <v>81801.675000000163</v>
          </cell>
          <cell r="GF15">
            <v>4.124184723278824</v>
          </cell>
          <cell r="GG15">
            <v>514666.67850097973</v>
          </cell>
          <cell r="GH15">
            <v>0</v>
          </cell>
          <cell r="GT15" t="str">
            <v xml:space="preserve"> עורק שמ"מ </v>
          </cell>
        </row>
        <row r="16">
          <cell r="FX16">
            <v>0</v>
          </cell>
          <cell r="FY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</row>
        <row r="17">
          <cell r="A17" t="str">
            <v>INVESTMENTS</v>
          </cell>
          <cell r="AT17">
            <v>0</v>
          </cell>
          <cell r="AY17">
            <v>0</v>
          </cell>
          <cell r="AZ17" t="str">
            <v>INVESTMENTS</v>
          </cell>
          <cell r="BX17">
            <v>0</v>
          </cell>
          <cell r="CD17">
            <v>0</v>
          </cell>
          <cell r="FS17">
            <v>0</v>
          </cell>
          <cell r="FT17">
            <v>0</v>
          </cell>
          <cell r="FW17" t="str">
            <v>INVESTMENTS</v>
          </cell>
          <cell r="FX17">
            <v>0</v>
          </cell>
          <cell r="FY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 t="e">
            <v>#DIV/0!</v>
          </cell>
          <cell r="GH17">
            <v>0</v>
          </cell>
        </row>
        <row r="18">
          <cell r="A18" t="str">
            <v>G.C.&amp; CO.</v>
          </cell>
          <cell r="B18">
            <v>0.7</v>
          </cell>
          <cell r="C18">
            <v>-3591.5340000000001</v>
          </cell>
          <cell r="G18">
            <v>984.702</v>
          </cell>
          <cell r="I18">
            <v>-2606.8320000000003</v>
          </cell>
          <cell r="U18">
            <v>0</v>
          </cell>
          <cell r="AD18">
            <v>0</v>
          </cell>
          <cell r="AJ18">
            <v>0</v>
          </cell>
          <cell r="AP18">
            <v>0</v>
          </cell>
          <cell r="AR18">
            <v>0</v>
          </cell>
          <cell r="AT18">
            <v>-2606.8320000000003</v>
          </cell>
          <cell r="AV18">
            <v>2606.8320000000003</v>
          </cell>
          <cell r="AX18">
            <v>0</v>
          </cell>
          <cell r="AY18">
            <v>0</v>
          </cell>
          <cell r="AZ18" t="str">
            <v>G.C.&amp; CO.</v>
          </cell>
          <cell r="BA18">
            <v>0.7</v>
          </cell>
          <cell r="BC18">
            <v>-14783.111000000001</v>
          </cell>
          <cell r="BE18">
            <v>0</v>
          </cell>
          <cell r="BG18">
            <v>26872.384000000002</v>
          </cell>
          <cell r="BI18">
            <v>12089.273000000001</v>
          </cell>
          <cell r="BQ18">
            <v>0</v>
          </cell>
          <cell r="BU18">
            <v>0</v>
          </cell>
          <cell r="BX18">
            <v>0</v>
          </cell>
          <cell r="CD18">
            <v>0</v>
          </cell>
          <cell r="CF18">
            <v>0</v>
          </cell>
          <cell r="CH18">
            <v>0</v>
          </cell>
          <cell r="CJ18">
            <v>0</v>
          </cell>
          <cell r="CN18">
            <v>0</v>
          </cell>
          <cell r="CP18">
            <v>0</v>
          </cell>
          <cell r="CR18">
            <v>0</v>
          </cell>
          <cell r="CT18">
            <v>12089.273000000001</v>
          </cell>
          <cell r="CV18">
            <v>-12089.273000000001</v>
          </cell>
          <cell r="CX18">
            <v>0</v>
          </cell>
          <cell r="FC18">
            <v>11180.316000000001</v>
          </cell>
          <cell r="FF18">
            <v>11180.316000000001</v>
          </cell>
          <cell r="FR18">
            <v>0</v>
          </cell>
          <cell r="FS18">
            <v>0</v>
          </cell>
          <cell r="FT18">
            <v>11180.316000000001</v>
          </cell>
          <cell r="FU18">
            <v>-11180.316000000001</v>
          </cell>
          <cell r="FV18">
            <v>0</v>
          </cell>
          <cell r="FW18" t="str">
            <v>G.C.&amp; CO.</v>
          </cell>
          <cell r="FX18">
            <v>0</v>
          </cell>
          <cell r="FY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 t="e">
            <v>#DIV/0!</v>
          </cell>
          <cell r="GH18">
            <v>0</v>
          </cell>
        </row>
        <row r="19">
          <cell r="A19" t="str">
            <v xml:space="preserve"> long term loans</v>
          </cell>
          <cell r="I19">
            <v>0</v>
          </cell>
          <cell r="U19">
            <v>0</v>
          </cell>
          <cell r="AD19">
            <v>0</v>
          </cell>
          <cell r="AJ19">
            <v>0</v>
          </cell>
          <cell r="AN19">
            <v>0</v>
          </cell>
          <cell r="AP19">
            <v>0</v>
          </cell>
          <cell r="AR19">
            <v>0</v>
          </cell>
          <cell r="AT19">
            <v>0</v>
          </cell>
          <cell r="AV19">
            <v>0</v>
          </cell>
          <cell r="AX19">
            <v>0</v>
          </cell>
          <cell r="AY19">
            <v>0</v>
          </cell>
          <cell r="AZ19" t="str">
            <v xml:space="preserve"> long term loans</v>
          </cell>
          <cell r="BC19">
            <v>0</v>
          </cell>
          <cell r="BE19">
            <v>0</v>
          </cell>
          <cell r="BG19">
            <v>0</v>
          </cell>
          <cell r="BI19">
            <v>0</v>
          </cell>
          <cell r="BQ19">
            <v>0</v>
          </cell>
          <cell r="BU19">
            <v>0</v>
          </cell>
          <cell r="BX19">
            <v>0</v>
          </cell>
          <cell r="CD19">
            <v>0</v>
          </cell>
          <cell r="CF19">
            <v>0</v>
          </cell>
          <cell r="CH19">
            <v>0</v>
          </cell>
          <cell r="CJ19">
            <v>0</v>
          </cell>
          <cell r="CP19">
            <v>0</v>
          </cell>
          <cell r="CR19">
            <v>0</v>
          </cell>
          <cell r="CT19">
            <v>0</v>
          </cell>
          <cell r="CV19">
            <v>0</v>
          </cell>
          <cell r="CX19">
            <v>0</v>
          </cell>
          <cell r="FF19">
            <v>0</v>
          </cell>
          <cell r="FN19">
            <v>0</v>
          </cell>
          <cell r="FO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 t="str">
            <v xml:space="preserve"> long term loans</v>
          </cell>
          <cell r="FX19">
            <v>0</v>
          </cell>
          <cell r="FY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 t="e">
            <v>#DIV/0!</v>
          </cell>
          <cell r="GH19">
            <v>0</v>
          </cell>
        </row>
        <row r="20">
          <cell r="A20" t="str">
            <v xml:space="preserve"> accumulated profit</v>
          </cell>
          <cell r="C20">
            <v>33834.866000000002</v>
          </cell>
          <cell r="I20">
            <v>33834.866000000002</v>
          </cell>
          <cell r="U20">
            <v>0</v>
          </cell>
          <cell r="AD20">
            <v>0</v>
          </cell>
          <cell r="AJ20">
            <v>0</v>
          </cell>
          <cell r="AP20">
            <v>0</v>
          </cell>
          <cell r="AR20">
            <v>0</v>
          </cell>
          <cell r="AT20">
            <v>33834.866000000002</v>
          </cell>
          <cell r="AV20">
            <v>-33834.866000000002</v>
          </cell>
          <cell r="AX20">
            <v>0</v>
          </cell>
          <cell r="AY20">
            <v>0</v>
          </cell>
          <cell r="AZ20" t="str">
            <v xml:space="preserve"> accumulated profit</v>
          </cell>
          <cell r="BC20">
            <v>99863.627999999997</v>
          </cell>
          <cell r="BE20">
            <v>0</v>
          </cell>
          <cell r="BG20">
            <v>0</v>
          </cell>
          <cell r="BI20">
            <v>99863.627999999997</v>
          </cell>
          <cell r="BQ20">
            <v>0</v>
          </cell>
          <cell r="BU20">
            <v>0</v>
          </cell>
          <cell r="BX20">
            <v>0</v>
          </cell>
          <cell r="CD20">
            <v>0</v>
          </cell>
          <cell r="CF20">
            <v>0</v>
          </cell>
          <cell r="CH20">
            <v>0</v>
          </cell>
          <cell r="CJ20">
            <v>0</v>
          </cell>
          <cell r="CP20">
            <v>0</v>
          </cell>
          <cell r="CR20">
            <v>0</v>
          </cell>
          <cell r="CT20">
            <v>99863.627999999997</v>
          </cell>
          <cell r="CV20">
            <v>-99863.627999999997</v>
          </cell>
          <cell r="CX20">
            <v>0</v>
          </cell>
          <cell r="FC20">
            <v>137520.64990202483</v>
          </cell>
          <cell r="FF20">
            <v>137520.64990202483</v>
          </cell>
          <cell r="FN20">
            <v>0</v>
          </cell>
          <cell r="FO20">
            <v>0</v>
          </cell>
          <cell r="FR20">
            <v>0</v>
          </cell>
          <cell r="FS20">
            <v>0</v>
          </cell>
          <cell r="FT20">
            <v>137520.64990202483</v>
          </cell>
          <cell r="FU20">
            <v>-137520.64990202483</v>
          </cell>
          <cell r="FV20">
            <v>0</v>
          </cell>
          <cell r="FW20" t="str">
            <v xml:space="preserve"> accumulated profit</v>
          </cell>
          <cell r="FX20">
            <v>0</v>
          </cell>
          <cell r="FY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 t="e">
            <v>#DIV/0!</v>
          </cell>
          <cell r="GH20">
            <v>0</v>
          </cell>
          <cell r="GT20" t="str">
            <v xml:space="preserve">דוח דולר  </v>
          </cell>
        </row>
        <row r="21">
          <cell r="A21" t="str">
            <v xml:space="preserve"> profit-(equity method)</v>
          </cell>
          <cell r="C21">
            <v>13677</v>
          </cell>
          <cell r="E21" t="str">
            <v xml:space="preserve"> </v>
          </cell>
          <cell r="G21">
            <v>4397</v>
          </cell>
          <cell r="I21">
            <v>18074</v>
          </cell>
          <cell r="U21">
            <v>0</v>
          </cell>
          <cell r="AD21">
            <v>0</v>
          </cell>
          <cell r="AJ21">
            <v>0</v>
          </cell>
          <cell r="AP21">
            <v>0</v>
          </cell>
          <cell r="AR21">
            <v>0</v>
          </cell>
          <cell r="AT21">
            <v>18074</v>
          </cell>
          <cell r="AV21">
            <v>-18074</v>
          </cell>
          <cell r="AX21">
            <v>0</v>
          </cell>
          <cell r="AY21">
            <v>0</v>
          </cell>
          <cell r="AZ21" t="str">
            <v xml:space="preserve"> profit-(equity method)</v>
          </cell>
          <cell r="BC21">
            <v>31186</v>
          </cell>
          <cell r="BE21">
            <v>0</v>
          </cell>
          <cell r="BG21">
            <v>-758</v>
          </cell>
          <cell r="BI21">
            <v>30428</v>
          </cell>
          <cell r="BQ21">
            <v>0</v>
          </cell>
          <cell r="BU21">
            <v>0</v>
          </cell>
          <cell r="BX21">
            <v>0</v>
          </cell>
          <cell r="CD21">
            <v>0</v>
          </cell>
          <cell r="CF21">
            <v>0</v>
          </cell>
          <cell r="CH21">
            <v>0</v>
          </cell>
          <cell r="CJ21">
            <v>0</v>
          </cell>
          <cell r="CP21">
            <v>0</v>
          </cell>
          <cell r="CR21">
            <v>0</v>
          </cell>
          <cell r="CT21">
            <v>30428</v>
          </cell>
          <cell r="CV21">
            <v>-30428</v>
          </cell>
          <cell r="CX21">
            <v>0</v>
          </cell>
          <cell r="FC21">
            <v>44193</v>
          </cell>
          <cell r="FE21">
            <v>1019</v>
          </cell>
          <cell r="FF21">
            <v>45212</v>
          </cell>
          <cell r="FN21">
            <v>0</v>
          </cell>
          <cell r="FO21">
            <v>0</v>
          </cell>
          <cell r="FR21">
            <v>0</v>
          </cell>
          <cell r="FS21">
            <v>0</v>
          </cell>
          <cell r="FT21">
            <v>45212</v>
          </cell>
          <cell r="FU21">
            <v>-45212</v>
          </cell>
          <cell r="FV21">
            <v>0</v>
          </cell>
          <cell r="FW21" t="str">
            <v xml:space="preserve"> profit-(equity method)</v>
          </cell>
          <cell r="FX21">
            <v>0</v>
          </cell>
          <cell r="FY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 t="e">
            <v>#DIV/0!</v>
          </cell>
          <cell r="GH21">
            <v>0</v>
          </cell>
        </row>
        <row r="22">
          <cell r="A22" t="str">
            <v xml:space="preserve"> s. IEDIOT accumulated loss</v>
          </cell>
          <cell r="C22">
            <v>-735</v>
          </cell>
          <cell r="I22">
            <v>-735</v>
          </cell>
          <cell r="U22">
            <v>0</v>
          </cell>
          <cell r="AD22">
            <v>0</v>
          </cell>
          <cell r="AJ22">
            <v>0</v>
          </cell>
          <cell r="AP22">
            <v>0</v>
          </cell>
          <cell r="AT22">
            <v>-735</v>
          </cell>
          <cell r="AV22">
            <v>735</v>
          </cell>
          <cell r="AX22">
            <v>0</v>
          </cell>
          <cell r="AY22">
            <v>0</v>
          </cell>
          <cell r="AZ22" t="str">
            <v xml:space="preserve"> s. IEDIOT accumulated loss</v>
          </cell>
          <cell r="BC22">
            <v>-2458.9899999999998</v>
          </cell>
          <cell r="BG22">
            <v>0</v>
          </cell>
          <cell r="BI22">
            <v>-2458.9899999999998</v>
          </cell>
          <cell r="BU22">
            <v>0</v>
          </cell>
          <cell r="BX22">
            <v>0</v>
          </cell>
          <cell r="CD22">
            <v>0</v>
          </cell>
          <cell r="CJ22">
            <v>0</v>
          </cell>
          <cell r="CP22">
            <v>0</v>
          </cell>
          <cell r="CT22">
            <v>-2458.9899999999998</v>
          </cell>
          <cell r="CV22">
            <v>2458.9899999999998</v>
          </cell>
          <cell r="CX22">
            <v>0</v>
          </cell>
          <cell r="FC22">
            <v>-2791.5806662312216</v>
          </cell>
          <cell r="FF22">
            <v>-2791.5806662312216</v>
          </cell>
          <cell r="FN22">
            <v>0</v>
          </cell>
          <cell r="FO22">
            <v>0</v>
          </cell>
          <cell r="FR22">
            <v>0</v>
          </cell>
          <cell r="FS22">
            <v>0</v>
          </cell>
          <cell r="FT22">
            <v>-2791.5806662312216</v>
          </cell>
          <cell r="FU22">
            <v>2791.5806662312216</v>
          </cell>
          <cell r="FV22">
            <v>0</v>
          </cell>
          <cell r="FW22" t="str">
            <v xml:space="preserve"> s. IEDIOT accumulated loss</v>
          </cell>
          <cell r="FX22">
            <v>0</v>
          </cell>
          <cell r="FY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 t="e">
            <v>#DIV/0!</v>
          </cell>
          <cell r="GH22">
            <v>0</v>
          </cell>
        </row>
        <row r="23">
          <cell r="A23" t="str">
            <v xml:space="preserve"> s. IEDIOT loss-(equity method)</v>
          </cell>
          <cell r="G23">
            <v>-245</v>
          </cell>
          <cell r="I23">
            <v>-245</v>
          </cell>
          <cell r="U23">
            <v>0</v>
          </cell>
          <cell r="AD23">
            <v>0</v>
          </cell>
          <cell r="AJ23">
            <v>0</v>
          </cell>
          <cell r="AP23">
            <v>0</v>
          </cell>
          <cell r="AT23">
            <v>-245</v>
          </cell>
          <cell r="AV23">
            <v>245</v>
          </cell>
          <cell r="AX23">
            <v>0</v>
          </cell>
          <cell r="AY23">
            <v>0</v>
          </cell>
          <cell r="AZ23" t="str">
            <v xml:space="preserve"> s. IEDIOT loss-(equity method)</v>
          </cell>
          <cell r="BG23">
            <v>-1019.2</v>
          </cell>
          <cell r="BI23">
            <v>-1019.2</v>
          </cell>
          <cell r="BX23">
            <v>0</v>
          </cell>
          <cell r="CD23">
            <v>0</v>
          </cell>
          <cell r="CT23">
            <v>-1019.2</v>
          </cell>
          <cell r="CV23">
            <v>1019.2</v>
          </cell>
          <cell r="CX23">
            <v>0</v>
          </cell>
          <cell r="FE23">
            <v>-1019.2</v>
          </cell>
          <cell r="FF23">
            <v>-1019.2</v>
          </cell>
          <cell r="FN23">
            <v>0</v>
          </cell>
          <cell r="FR23">
            <v>0</v>
          </cell>
          <cell r="FS23">
            <v>0</v>
          </cell>
          <cell r="FT23">
            <v>-1019.2</v>
          </cell>
          <cell r="FU23">
            <v>1019.2</v>
          </cell>
          <cell r="FV23">
            <v>0</v>
          </cell>
          <cell r="FW23" t="str">
            <v xml:space="preserve"> s. IEDIOT loss-(equity method)</v>
          </cell>
          <cell r="FX23">
            <v>0</v>
          </cell>
          <cell r="FY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 t="e">
            <v>#DIV/0!</v>
          </cell>
          <cell r="GH23">
            <v>0</v>
          </cell>
        </row>
        <row r="24">
          <cell r="B24" t="str">
            <v xml:space="preserve">total </v>
          </cell>
          <cell r="C24">
            <v>43185.332000000002</v>
          </cell>
          <cell r="E24">
            <v>0</v>
          </cell>
          <cell r="G24">
            <v>5136.7020000000002</v>
          </cell>
          <cell r="I24">
            <v>48322.034</v>
          </cell>
          <cell r="M24">
            <v>0</v>
          </cell>
          <cell r="O24">
            <v>0</v>
          </cell>
          <cell r="Q24">
            <v>0</v>
          </cell>
          <cell r="S24">
            <v>0</v>
          </cell>
          <cell r="U24">
            <v>0</v>
          </cell>
          <cell r="Z24">
            <v>0</v>
          </cell>
          <cell r="AB24">
            <v>0</v>
          </cell>
          <cell r="AD24">
            <v>0</v>
          </cell>
          <cell r="AF24">
            <v>0</v>
          </cell>
          <cell r="AH24">
            <v>0</v>
          </cell>
          <cell r="AJ24">
            <v>0</v>
          </cell>
          <cell r="AL24">
            <v>0</v>
          </cell>
          <cell r="AN24">
            <v>0</v>
          </cell>
          <cell r="AP24">
            <v>0</v>
          </cell>
          <cell r="AR24">
            <v>0</v>
          </cell>
          <cell r="AT24">
            <v>48322.034</v>
          </cell>
          <cell r="AV24">
            <v>-48322.034</v>
          </cell>
          <cell r="AX24">
            <v>0</v>
          </cell>
          <cell r="AY24">
            <v>0</v>
          </cell>
          <cell r="BA24" t="str">
            <v xml:space="preserve">total </v>
          </cell>
          <cell r="BC24">
            <v>113807.52699999999</v>
          </cell>
          <cell r="BE24">
            <v>0</v>
          </cell>
          <cell r="BG24">
            <v>25095.184000000001</v>
          </cell>
          <cell r="BI24">
            <v>138902.71100000001</v>
          </cell>
          <cell r="BO24">
            <v>0</v>
          </cell>
          <cell r="BQ24">
            <v>0</v>
          </cell>
          <cell r="BS24">
            <v>0</v>
          </cell>
          <cell r="BU24">
            <v>0</v>
          </cell>
          <cell r="BX24">
            <v>0</v>
          </cell>
          <cell r="BZ24">
            <v>0</v>
          </cell>
          <cell r="CB24">
            <v>0</v>
          </cell>
          <cell r="CD24">
            <v>0</v>
          </cell>
          <cell r="CF24">
            <v>0</v>
          </cell>
          <cell r="CH24">
            <v>0</v>
          </cell>
          <cell r="CJ24">
            <v>0</v>
          </cell>
          <cell r="CL24">
            <v>0</v>
          </cell>
          <cell r="CN24">
            <v>0</v>
          </cell>
          <cell r="CP24">
            <v>0</v>
          </cell>
          <cell r="CR24">
            <v>0</v>
          </cell>
          <cell r="CT24">
            <v>138902.71100000001</v>
          </cell>
          <cell r="CV24">
            <v>-138902.71100000001</v>
          </cell>
          <cell r="CX24">
            <v>0</v>
          </cell>
          <cell r="FC24">
            <v>190102.3852357936</v>
          </cell>
          <cell r="FE24">
            <v>-0.19999999999993179</v>
          </cell>
          <cell r="FF24">
            <v>190102.18523579359</v>
          </cell>
          <cell r="FI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190102.18523579359</v>
          </cell>
          <cell r="FU24">
            <v>-190102.18523579359</v>
          </cell>
          <cell r="FV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 t="e">
            <v>#DIV/0!</v>
          </cell>
          <cell r="GG24">
            <v>0</v>
          </cell>
          <cell r="GH24">
            <v>0</v>
          </cell>
        </row>
        <row r="25">
          <cell r="A25" t="str">
            <v>IDAN</v>
          </cell>
          <cell r="B25">
            <v>0.75</v>
          </cell>
          <cell r="Q25">
            <v>4.5</v>
          </cell>
          <cell r="U25">
            <v>4.5</v>
          </cell>
          <cell r="W25">
            <v>-4.5</v>
          </cell>
          <cell r="AD25">
            <v>0</v>
          </cell>
          <cell r="AJ25">
            <v>0</v>
          </cell>
          <cell r="AP25">
            <v>0</v>
          </cell>
          <cell r="AT25">
            <v>0</v>
          </cell>
          <cell r="AV25">
            <v>0</v>
          </cell>
          <cell r="AX25">
            <v>0</v>
          </cell>
          <cell r="AY25">
            <v>0</v>
          </cell>
          <cell r="AZ25" t="str">
            <v>IDAN</v>
          </cell>
          <cell r="BA25">
            <v>0.5</v>
          </cell>
          <cell r="BQ25">
            <v>7.5</v>
          </cell>
          <cell r="BU25">
            <v>7.5</v>
          </cell>
          <cell r="BW25">
            <v>-7.5</v>
          </cell>
          <cell r="BX25">
            <v>0</v>
          </cell>
          <cell r="CD25">
            <v>0</v>
          </cell>
          <cell r="CT25">
            <v>0</v>
          </cell>
          <cell r="CX25">
            <v>0</v>
          </cell>
          <cell r="FI25">
            <v>27.7</v>
          </cell>
          <cell r="FJ25">
            <v>-27.7</v>
          </cell>
          <cell r="FN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 t="str">
            <v>IDAN</v>
          </cell>
          <cell r="FX25">
            <v>0</v>
          </cell>
          <cell r="FY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 t="e">
            <v>#DIV/0!</v>
          </cell>
          <cell r="GH25">
            <v>0</v>
          </cell>
        </row>
        <row r="26">
          <cell r="A26" t="str">
            <v xml:space="preserve"> long term loans</v>
          </cell>
          <cell r="Q26">
            <v>188</v>
          </cell>
          <cell r="U26">
            <v>188</v>
          </cell>
          <cell r="W26">
            <v>-188</v>
          </cell>
          <cell r="AD26">
            <v>0</v>
          </cell>
          <cell r="AP26">
            <v>0</v>
          </cell>
          <cell r="AT26">
            <v>0</v>
          </cell>
          <cell r="AX26">
            <v>0</v>
          </cell>
          <cell r="AY26">
            <v>0</v>
          </cell>
          <cell r="AZ26" t="str">
            <v xml:space="preserve"> long term loans</v>
          </cell>
          <cell r="BQ26">
            <v>784.28300000000002</v>
          </cell>
          <cell r="BU26">
            <v>784.28300000000002</v>
          </cell>
          <cell r="BW26">
            <v>-784.28300000000002</v>
          </cell>
          <cell r="BX26">
            <v>0</v>
          </cell>
          <cell r="CD26">
            <v>0</v>
          </cell>
          <cell r="CT26">
            <v>0</v>
          </cell>
          <cell r="CX26">
            <v>0</v>
          </cell>
          <cell r="FF26">
            <v>0</v>
          </cell>
          <cell r="FI26">
            <v>784.28300000000002</v>
          </cell>
          <cell r="FJ26">
            <v>-784.28300000000002</v>
          </cell>
          <cell r="FN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 t="str">
            <v xml:space="preserve"> long term loans</v>
          </cell>
          <cell r="FX26">
            <v>0</v>
          </cell>
          <cell r="FY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 t="e">
            <v>#DIV/0!</v>
          </cell>
          <cell r="GH26">
            <v>0</v>
          </cell>
        </row>
        <row r="27">
          <cell r="A27" t="str">
            <v xml:space="preserve"> accumulated profit</v>
          </cell>
          <cell r="Q27">
            <v>11223.25</v>
          </cell>
          <cell r="U27">
            <v>11223.25</v>
          </cell>
          <cell r="W27">
            <v>-11223.25</v>
          </cell>
          <cell r="AD27">
            <v>0</v>
          </cell>
          <cell r="AP27">
            <v>0</v>
          </cell>
          <cell r="AT27">
            <v>0</v>
          </cell>
          <cell r="AX27">
            <v>0</v>
          </cell>
          <cell r="AY27">
            <v>0</v>
          </cell>
          <cell r="AZ27" t="str">
            <v xml:space="preserve"> accumulated profit</v>
          </cell>
          <cell r="BQ27">
            <v>10619</v>
          </cell>
          <cell r="BU27">
            <v>10619</v>
          </cell>
          <cell r="BW27">
            <v>-10619</v>
          </cell>
          <cell r="BX27">
            <v>0</v>
          </cell>
          <cell r="CD27">
            <v>0</v>
          </cell>
          <cell r="CT27">
            <v>0</v>
          </cell>
          <cell r="CX27">
            <v>0</v>
          </cell>
          <cell r="FF27">
            <v>0</v>
          </cell>
          <cell r="FI27">
            <v>49741.858</v>
          </cell>
          <cell r="FJ27">
            <v>-49741.858</v>
          </cell>
          <cell r="FN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 t="str">
            <v xml:space="preserve"> accumulated profit</v>
          </cell>
          <cell r="FX27">
            <v>0</v>
          </cell>
          <cell r="FY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 t="e">
            <v>#DIV/0!</v>
          </cell>
          <cell r="GH27">
            <v>0</v>
          </cell>
        </row>
        <row r="28">
          <cell r="A28" t="str">
            <v xml:space="preserve"> profit-(equity method)</v>
          </cell>
          <cell r="Q28">
            <v>-5924.5</v>
          </cell>
          <cell r="U28">
            <v>-5924.5</v>
          </cell>
          <cell r="W28">
            <v>5924.5</v>
          </cell>
          <cell r="AD28">
            <v>0</v>
          </cell>
          <cell r="AP28">
            <v>0</v>
          </cell>
          <cell r="AT28">
            <v>0</v>
          </cell>
          <cell r="AV28">
            <v>0</v>
          </cell>
          <cell r="AX28">
            <v>0</v>
          </cell>
          <cell r="AY28">
            <v>0</v>
          </cell>
          <cell r="AZ28" t="str">
            <v xml:space="preserve"> profit-(equity method)</v>
          </cell>
          <cell r="BQ28">
            <v>-25673</v>
          </cell>
          <cell r="BU28">
            <v>-25673</v>
          </cell>
          <cell r="BW28">
            <v>25673</v>
          </cell>
          <cell r="BX28">
            <v>0</v>
          </cell>
          <cell r="CD28">
            <v>0</v>
          </cell>
          <cell r="CT28">
            <v>0</v>
          </cell>
          <cell r="CX28">
            <v>0</v>
          </cell>
          <cell r="FF28">
            <v>0</v>
          </cell>
          <cell r="FI28">
            <v>-26083.058000000001</v>
          </cell>
          <cell r="FJ28">
            <v>26083.058000000001</v>
          </cell>
          <cell r="FN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 t="str">
            <v xml:space="preserve"> profit-(equity method)</v>
          </cell>
          <cell r="FX28">
            <v>0</v>
          </cell>
          <cell r="FY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 t="e">
            <v>#DIV/0!</v>
          </cell>
          <cell r="GH28">
            <v>0</v>
          </cell>
        </row>
        <row r="29">
          <cell r="A29" t="str">
            <v>GOODWILL</v>
          </cell>
          <cell r="Q29">
            <v>82508.133000000002</v>
          </cell>
          <cell r="U29">
            <v>82508.133000000002</v>
          </cell>
          <cell r="AB29">
            <v>-1297.4079999999999</v>
          </cell>
          <cell r="AD29">
            <v>81210.725000000006</v>
          </cell>
          <cell r="AP29">
            <v>0</v>
          </cell>
          <cell r="AT29">
            <v>81210.725000000006</v>
          </cell>
          <cell r="AV29">
            <v>-81210.725000000006</v>
          </cell>
          <cell r="AX29">
            <v>0</v>
          </cell>
          <cell r="AY29">
            <v>0</v>
          </cell>
          <cell r="AZ29" t="str">
            <v>GOODWILL</v>
          </cell>
          <cell r="BQ29">
            <v>351680.27600000001</v>
          </cell>
          <cell r="BU29">
            <v>351680.27600000001</v>
          </cell>
          <cell r="BX29">
            <v>0</v>
          </cell>
          <cell r="CD29">
            <v>351680.27600000001</v>
          </cell>
          <cell r="CT29">
            <v>351680.27600000001</v>
          </cell>
          <cell r="CV29">
            <v>-351680.27600000001</v>
          </cell>
          <cell r="CX29">
            <v>0</v>
          </cell>
          <cell r="FF29">
            <v>0</v>
          </cell>
          <cell r="FI29">
            <v>328376.951</v>
          </cell>
          <cell r="FN29">
            <v>328376.951</v>
          </cell>
          <cell r="FR29">
            <v>0</v>
          </cell>
          <cell r="FS29">
            <v>0</v>
          </cell>
          <cell r="FT29">
            <v>328376.951</v>
          </cell>
          <cell r="FU29">
            <v>-328376.951</v>
          </cell>
          <cell r="FV29">
            <v>0</v>
          </cell>
          <cell r="FW29" t="str">
            <v>GOODWILL</v>
          </cell>
          <cell r="FX29">
            <v>328376.951</v>
          </cell>
          <cell r="FY29">
            <v>0</v>
          </cell>
          <cell r="FZ29">
            <v>-328376.951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 t="e">
            <v>#DIV/0!</v>
          </cell>
          <cell r="GH29">
            <v>0</v>
          </cell>
        </row>
        <row r="30">
          <cell r="A30" t="str">
            <v>TOTAL</v>
          </cell>
          <cell r="Q30">
            <v>87999.383000000002</v>
          </cell>
          <cell r="S30">
            <v>0</v>
          </cell>
          <cell r="U30">
            <v>87999.383000000002</v>
          </cell>
          <cell r="W30">
            <v>-5491.25</v>
          </cell>
          <cell r="Z30">
            <v>0</v>
          </cell>
          <cell r="AB30">
            <v>-1297.4079999999999</v>
          </cell>
          <cell r="AD30">
            <v>81210.725000000006</v>
          </cell>
          <cell r="AF30">
            <v>0</v>
          </cell>
          <cell r="AH30">
            <v>0</v>
          </cell>
          <cell r="AJ30">
            <v>0</v>
          </cell>
          <cell r="AL30">
            <v>0</v>
          </cell>
          <cell r="AN30">
            <v>0</v>
          </cell>
          <cell r="AP30">
            <v>0</v>
          </cell>
          <cell r="AR30">
            <v>0</v>
          </cell>
          <cell r="AT30">
            <v>81210.725000000006</v>
          </cell>
          <cell r="AV30">
            <v>-81210.725000000006</v>
          </cell>
          <cell r="AX30">
            <v>0</v>
          </cell>
          <cell r="AY30">
            <v>0</v>
          </cell>
          <cell r="AZ30" t="str">
            <v>TOTAL</v>
          </cell>
          <cell r="BC30">
            <v>0</v>
          </cell>
          <cell r="BE30">
            <v>0</v>
          </cell>
          <cell r="BG30">
            <v>0</v>
          </cell>
          <cell r="BI30">
            <v>0</v>
          </cell>
          <cell r="BQ30">
            <v>337418.05900000001</v>
          </cell>
          <cell r="BS30">
            <v>0</v>
          </cell>
          <cell r="BU30">
            <v>337418.05900000001</v>
          </cell>
          <cell r="BW30">
            <v>14262.217000000001</v>
          </cell>
          <cell r="BX30">
            <v>0</v>
          </cell>
          <cell r="CB30">
            <v>0</v>
          </cell>
          <cell r="CD30">
            <v>351680.27600000001</v>
          </cell>
          <cell r="CL30">
            <v>0</v>
          </cell>
          <cell r="CT30">
            <v>351680.27600000001</v>
          </cell>
          <cell r="CV30">
            <v>-351680.27600000001</v>
          </cell>
          <cell r="CX30">
            <v>0</v>
          </cell>
          <cell r="FC30">
            <v>0</v>
          </cell>
          <cell r="FF30">
            <v>0</v>
          </cell>
          <cell r="FI30">
            <v>352847.734</v>
          </cell>
          <cell r="FJ30">
            <v>-24470.782999999999</v>
          </cell>
          <cell r="FM30">
            <v>0</v>
          </cell>
          <cell r="FN30">
            <v>328376.951</v>
          </cell>
          <cell r="FQ30">
            <v>0</v>
          </cell>
          <cell r="FR30">
            <v>0</v>
          </cell>
          <cell r="FS30">
            <v>0</v>
          </cell>
          <cell r="FT30">
            <v>328376.951</v>
          </cell>
          <cell r="FU30">
            <v>-328376.951</v>
          </cell>
          <cell r="FV30">
            <v>0</v>
          </cell>
          <cell r="FW30" t="str">
            <v>TOTAL</v>
          </cell>
          <cell r="FX30">
            <v>328376.951</v>
          </cell>
          <cell r="FY30">
            <v>0</v>
          </cell>
          <cell r="FZ30">
            <v>-328376.951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 t="e">
            <v>#DIV/0!</v>
          </cell>
          <cell r="GH30">
            <v>0</v>
          </cell>
        </row>
        <row r="31">
          <cell r="AT31">
            <v>0</v>
          </cell>
          <cell r="AY31">
            <v>0</v>
          </cell>
          <cell r="BX31">
            <v>0</v>
          </cell>
          <cell r="CD31">
            <v>0</v>
          </cell>
          <cell r="CT31">
            <v>0</v>
          </cell>
          <cell r="FN31">
            <v>0</v>
          </cell>
          <cell r="FS31">
            <v>0</v>
          </cell>
          <cell r="FX31">
            <v>0</v>
          </cell>
          <cell r="FY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 t="e">
            <v>#DIV/0!</v>
          </cell>
          <cell r="GH31">
            <v>0</v>
          </cell>
        </row>
        <row r="32">
          <cell r="A32" t="str">
            <v>ICP-shares</v>
          </cell>
          <cell r="B32">
            <v>0.3</v>
          </cell>
          <cell r="I32">
            <v>0</v>
          </cell>
          <cell r="Q32">
            <v>14.6</v>
          </cell>
          <cell r="U32">
            <v>14.6</v>
          </cell>
          <cell r="W32">
            <v>164</v>
          </cell>
          <cell r="X32">
            <v>164</v>
          </cell>
          <cell r="AD32">
            <v>342.6</v>
          </cell>
          <cell r="AF32">
            <v>0</v>
          </cell>
          <cell r="AH32">
            <v>0</v>
          </cell>
          <cell r="AJ32">
            <v>0</v>
          </cell>
          <cell r="AP32">
            <v>0</v>
          </cell>
          <cell r="AR32">
            <v>0</v>
          </cell>
          <cell r="AT32">
            <v>342.6</v>
          </cell>
          <cell r="AV32">
            <v>0</v>
          </cell>
          <cell r="AX32">
            <v>342.6</v>
          </cell>
          <cell r="AY32">
            <v>0</v>
          </cell>
          <cell r="AZ32" t="str">
            <v>ICP-shares</v>
          </cell>
          <cell r="BA32">
            <v>0.3</v>
          </cell>
          <cell r="BC32">
            <v>0</v>
          </cell>
          <cell r="BG32">
            <v>0</v>
          </cell>
          <cell r="BI32">
            <v>0</v>
          </cell>
          <cell r="BQ32">
            <v>27</v>
          </cell>
          <cell r="BU32">
            <v>27</v>
          </cell>
          <cell r="BW32">
            <v>-54</v>
          </cell>
          <cell r="BX32">
            <v>-54</v>
          </cell>
          <cell r="CD32">
            <v>-81</v>
          </cell>
          <cell r="CF32">
            <v>0</v>
          </cell>
          <cell r="CH32">
            <v>0</v>
          </cell>
          <cell r="CJ32">
            <v>0</v>
          </cell>
          <cell r="CP32">
            <v>0</v>
          </cell>
          <cell r="CR32">
            <v>0</v>
          </cell>
          <cell r="CT32">
            <v>-81</v>
          </cell>
          <cell r="CV32">
            <v>0</v>
          </cell>
          <cell r="CX32">
            <v>-81</v>
          </cell>
          <cell r="FC32">
            <v>0</v>
          </cell>
          <cell r="FF32">
            <v>0</v>
          </cell>
          <cell r="FI32">
            <v>79.5</v>
          </cell>
          <cell r="FJ32">
            <v>417</v>
          </cell>
          <cell r="FK32">
            <v>417</v>
          </cell>
          <cell r="FN32">
            <v>913.5</v>
          </cell>
          <cell r="FO32">
            <v>0</v>
          </cell>
          <cell r="FR32">
            <v>0</v>
          </cell>
          <cell r="FS32">
            <v>0</v>
          </cell>
          <cell r="FT32">
            <v>913.5</v>
          </cell>
          <cell r="FU32">
            <v>0</v>
          </cell>
          <cell r="FV32">
            <v>913.5</v>
          </cell>
          <cell r="FW32" t="str">
            <v>ICP-shares</v>
          </cell>
          <cell r="FX32">
            <v>913.5</v>
          </cell>
          <cell r="FY32">
            <v>0</v>
          </cell>
          <cell r="GA32">
            <v>913.5</v>
          </cell>
          <cell r="GB32">
            <v>925.74957907396265</v>
          </cell>
          <cell r="GC32">
            <v>913.5</v>
          </cell>
          <cell r="GD32">
            <v>925.74957907396265</v>
          </cell>
          <cell r="GE32">
            <v>0</v>
          </cell>
          <cell r="GF32">
            <v>2.666374781085814</v>
          </cell>
          <cell r="GG32">
            <v>79.612187459177022</v>
          </cell>
          <cell r="GH32">
            <v>0</v>
          </cell>
        </row>
        <row r="33">
          <cell r="A33" t="str">
            <v xml:space="preserve"> long term loans</v>
          </cell>
          <cell r="I33">
            <v>0</v>
          </cell>
          <cell r="Q33">
            <v>486.709</v>
          </cell>
          <cell r="U33">
            <v>486.709</v>
          </cell>
          <cell r="W33">
            <v>162</v>
          </cell>
          <cell r="X33">
            <v>162</v>
          </cell>
          <cell r="AD33">
            <v>810.70900000000006</v>
          </cell>
          <cell r="AF33">
            <v>0</v>
          </cell>
          <cell r="AH33">
            <v>0</v>
          </cell>
          <cell r="AJ33">
            <v>0</v>
          </cell>
          <cell r="AP33">
            <v>0</v>
          </cell>
          <cell r="AR33">
            <v>0</v>
          </cell>
          <cell r="AT33">
            <v>810.70900000000006</v>
          </cell>
          <cell r="AV33">
            <v>0</v>
          </cell>
          <cell r="AX33">
            <v>810.70900000000006</v>
          </cell>
          <cell r="AY33">
            <v>0</v>
          </cell>
          <cell r="AZ33" t="str">
            <v xml:space="preserve"> long term loans</v>
          </cell>
          <cell r="BG33">
            <v>0</v>
          </cell>
          <cell r="BI33">
            <v>0</v>
          </cell>
          <cell r="BQ33">
            <v>2025</v>
          </cell>
          <cell r="BU33">
            <v>2025</v>
          </cell>
          <cell r="BW33">
            <v>675</v>
          </cell>
          <cell r="BX33">
            <v>675</v>
          </cell>
          <cell r="CD33">
            <v>3375</v>
          </cell>
          <cell r="CF33">
            <v>0</v>
          </cell>
          <cell r="CH33">
            <v>0</v>
          </cell>
          <cell r="CJ33">
            <v>0</v>
          </cell>
          <cell r="CP33">
            <v>0</v>
          </cell>
          <cell r="CR33">
            <v>0</v>
          </cell>
          <cell r="CT33">
            <v>3375</v>
          </cell>
          <cell r="CV33">
            <v>0</v>
          </cell>
          <cell r="CX33">
            <v>3375</v>
          </cell>
          <cell r="FC33">
            <v>0</v>
          </cell>
          <cell r="FF33">
            <v>0</v>
          </cell>
          <cell r="FI33">
            <v>2025</v>
          </cell>
          <cell r="FJ33">
            <v>675</v>
          </cell>
          <cell r="FK33">
            <v>675</v>
          </cell>
          <cell r="FN33">
            <v>3375</v>
          </cell>
          <cell r="FO33">
            <v>0</v>
          </cell>
          <cell r="FR33">
            <v>0</v>
          </cell>
          <cell r="FS33">
            <v>0</v>
          </cell>
          <cell r="FT33">
            <v>3375</v>
          </cell>
          <cell r="FU33">
            <v>0</v>
          </cell>
          <cell r="FV33">
            <v>3375</v>
          </cell>
          <cell r="FW33" t="str">
            <v xml:space="preserve"> long term loans</v>
          </cell>
          <cell r="FX33">
            <v>3375</v>
          </cell>
          <cell r="FY33">
            <v>0</v>
          </cell>
          <cell r="GA33">
            <v>3375</v>
          </cell>
          <cell r="GB33">
            <v>3420.2570655441968</v>
          </cell>
          <cell r="GC33">
            <v>3375</v>
          </cell>
          <cell r="GD33">
            <v>3420.2570655441968</v>
          </cell>
          <cell r="GE33">
            <v>0</v>
          </cell>
          <cell r="GF33">
            <v>4.1630227368883279</v>
          </cell>
          <cell r="GG33">
            <v>1935.6683828606779</v>
          </cell>
          <cell r="GH33">
            <v>0</v>
          </cell>
        </row>
        <row r="34">
          <cell r="A34" t="str">
            <v xml:space="preserve"> accumulated profit</v>
          </cell>
          <cell r="Q34">
            <v>1161</v>
          </cell>
          <cell r="U34">
            <v>1161</v>
          </cell>
          <cell r="AD34">
            <v>1161</v>
          </cell>
          <cell r="AJ34">
            <v>0</v>
          </cell>
          <cell r="AP34">
            <v>0</v>
          </cell>
          <cell r="AT34">
            <v>1161</v>
          </cell>
          <cell r="AX34">
            <v>1161</v>
          </cell>
          <cell r="AY34">
            <v>0</v>
          </cell>
          <cell r="AZ34" t="str">
            <v xml:space="preserve"> accumulated profit</v>
          </cell>
          <cell r="BQ34">
            <v>3204.6</v>
          </cell>
          <cell r="BU34">
            <v>3204.6</v>
          </cell>
          <cell r="BX34">
            <v>0</v>
          </cell>
          <cell r="CD34">
            <v>3204.6</v>
          </cell>
          <cell r="CJ34">
            <v>0</v>
          </cell>
          <cell r="CP34">
            <v>0</v>
          </cell>
          <cell r="CT34">
            <v>3204.6</v>
          </cell>
          <cell r="CV34">
            <v>0</v>
          </cell>
          <cell r="CX34">
            <v>3204.6</v>
          </cell>
          <cell r="FC34">
            <v>0</v>
          </cell>
          <cell r="FF34">
            <v>0</v>
          </cell>
          <cell r="FI34">
            <v>4640.634</v>
          </cell>
          <cell r="FN34">
            <v>4640.634</v>
          </cell>
          <cell r="FO34">
            <v>0</v>
          </cell>
          <cell r="FR34">
            <v>0</v>
          </cell>
          <cell r="FS34">
            <v>0</v>
          </cell>
          <cell r="FT34">
            <v>4640.634</v>
          </cell>
          <cell r="FU34">
            <v>0</v>
          </cell>
          <cell r="FV34">
            <v>4640.634</v>
          </cell>
          <cell r="FW34" t="str">
            <v xml:space="preserve"> accumulated profit</v>
          </cell>
          <cell r="FX34">
            <v>4640.634</v>
          </cell>
          <cell r="FY34">
            <v>0</v>
          </cell>
          <cell r="GA34">
            <v>4640.634</v>
          </cell>
          <cell r="GB34">
            <v>4702.8625858087789</v>
          </cell>
          <cell r="GC34">
            <v>4640.634</v>
          </cell>
          <cell r="GD34">
            <v>4702.8625858087789</v>
          </cell>
          <cell r="GE34">
            <v>0</v>
          </cell>
          <cell r="GF34">
            <v>3.9971007751937986</v>
          </cell>
          <cell r="GG34">
            <v>4474.0057393431171</v>
          </cell>
          <cell r="GH34">
            <v>0</v>
          </cell>
        </row>
        <row r="35">
          <cell r="A35" t="str">
            <v xml:space="preserve"> profit-(equity method)</v>
          </cell>
          <cell r="I35">
            <v>0</v>
          </cell>
          <cell r="Q35">
            <v>-313.3</v>
          </cell>
          <cell r="S35">
            <v>0</v>
          </cell>
          <cell r="U35">
            <v>-313.3</v>
          </cell>
          <cell r="AD35">
            <v>-313.3</v>
          </cell>
          <cell r="AF35">
            <v>0</v>
          </cell>
          <cell r="AH35">
            <v>0</v>
          </cell>
          <cell r="AJ35">
            <v>0</v>
          </cell>
          <cell r="AP35">
            <v>0</v>
          </cell>
          <cell r="AR35">
            <v>0</v>
          </cell>
          <cell r="AT35">
            <v>-313.3</v>
          </cell>
          <cell r="AV35">
            <v>0</v>
          </cell>
          <cell r="AX35">
            <v>-313.3</v>
          </cell>
          <cell r="AY35">
            <v>0</v>
          </cell>
          <cell r="AZ35" t="str">
            <v xml:space="preserve"> profit-(equity method)</v>
          </cell>
          <cell r="BC35">
            <v>0</v>
          </cell>
          <cell r="BG35">
            <v>0</v>
          </cell>
          <cell r="BI35">
            <v>0</v>
          </cell>
          <cell r="BQ35">
            <v>-3610.6</v>
          </cell>
          <cell r="BU35">
            <v>-3610.6</v>
          </cell>
          <cell r="BX35">
            <v>0</v>
          </cell>
          <cell r="CD35">
            <v>-3610.6</v>
          </cell>
          <cell r="CF35">
            <v>0</v>
          </cell>
          <cell r="CH35">
            <v>0</v>
          </cell>
          <cell r="CJ35">
            <v>0</v>
          </cell>
          <cell r="CP35">
            <v>0</v>
          </cell>
          <cell r="CR35">
            <v>0</v>
          </cell>
          <cell r="CT35">
            <v>-3610.6</v>
          </cell>
          <cell r="CV35">
            <v>0</v>
          </cell>
          <cell r="CX35">
            <v>-3610.6</v>
          </cell>
          <cell r="FC35">
            <v>0</v>
          </cell>
          <cell r="FF35">
            <v>0</v>
          </cell>
          <cell r="FI35">
            <v>-2689.9</v>
          </cell>
          <cell r="FN35">
            <v>-2689.9</v>
          </cell>
          <cell r="FO35">
            <v>0</v>
          </cell>
          <cell r="FR35">
            <v>0</v>
          </cell>
          <cell r="FS35">
            <v>0</v>
          </cell>
          <cell r="FT35">
            <v>-2689.9</v>
          </cell>
          <cell r="FU35">
            <v>0</v>
          </cell>
          <cell r="FV35">
            <v>-2689.9</v>
          </cell>
          <cell r="FW35" t="str">
            <v xml:space="preserve"> profit-(equity method)</v>
          </cell>
          <cell r="FX35">
            <v>-2689.9</v>
          </cell>
          <cell r="FY35">
            <v>0</v>
          </cell>
          <cell r="GA35">
            <v>-2689.9</v>
          </cell>
          <cell r="GB35">
            <v>-2725.9702164762475</v>
          </cell>
          <cell r="GC35">
            <v>-2689.9</v>
          </cell>
          <cell r="GD35">
            <v>-2725.9702164762475</v>
          </cell>
          <cell r="GE35">
            <v>0</v>
          </cell>
          <cell r="GF35">
            <v>8.5857006064474941</v>
          </cell>
          <cell r="GG35">
            <v>188.19140696648486</v>
          </cell>
          <cell r="GH35">
            <v>0</v>
          </cell>
        </row>
        <row r="36">
          <cell r="B36" t="str">
            <v xml:space="preserve">total </v>
          </cell>
          <cell r="C36">
            <v>0</v>
          </cell>
          <cell r="E36">
            <v>0</v>
          </cell>
          <cell r="G36">
            <v>0</v>
          </cell>
          <cell r="I36">
            <v>0</v>
          </cell>
          <cell r="M36">
            <v>0</v>
          </cell>
          <cell r="O36">
            <v>0</v>
          </cell>
          <cell r="Q36">
            <v>1349.009</v>
          </cell>
          <cell r="S36">
            <v>0</v>
          </cell>
          <cell r="U36">
            <v>1349.009</v>
          </cell>
          <cell r="W36">
            <v>326</v>
          </cell>
          <cell r="X36">
            <v>326</v>
          </cell>
          <cell r="Z36">
            <v>0</v>
          </cell>
          <cell r="AB36">
            <v>0</v>
          </cell>
          <cell r="AD36">
            <v>2001.0090000000002</v>
          </cell>
          <cell r="AF36">
            <v>0</v>
          </cell>
          <cell r="AH36">
            <v>0</v>
          </cell>
          <cell r="AJ36">
            <v>0</v>
          </cell>
          <cell r="AL36">
            <v>0</v>
          </cell>
          <cell r="AN36">
            <v>0</v>
          </cell>
          <cell r="AP36">
            <v>0</v>
          </cell>
          <cell r="AR36">
            <v>0</v>
          </cell>
          <cell r="AT36">
            <v>2001.0090000000002</v>
          </cell>
          <cell r="AV36">
            <v>0</v>
          </cell>
          <cell r="AX36">
            <v>2001.0090000000002</v>
          </cell>
          <cell r="AY36">
            <v>0</v>
          </cell>
          <cell r="BA36" t="str">
            <v xml:space="preserve">total </v>
          </cell>
          <cell r="BC36">
            <v>0</v>
          </cell>
          <cell r="BE36">
            <v>0</v>
          </cell>
          <cell r="BG36">
            <v>0</v>
          </cell>
          <cell r="BI36">
            <v>0</v>
          </cell>
          <cell r="BO36">
            <v>0</v>
          </cell>
          <cell r="BQ36">
            <v>1646</v>
          </cell>
          <cell r="BS36">
            <v>0</v>
          </cell>
          <cell r="BU36">
            <v>1646</v>
          </cell>
          <cell r="BW36">
            <v>621</v>
          </cell>
          <cell r="BX36">
            <v>621</v>
          </cell>
          <cell r="BZ36">
            <v>0</v>
          </cell>
          <cell r="CB36">
            <v>0</v>
          </cell>
          <cell r="CD36">
            <v>2888</v>
          </cell>
          <cell r="CF36">
            <v>0</v>
          </cell>
          <cell r="CH36">
            <v>0</v>
          </cell>
          <cell r="CJ36">
            <v>0</v>
          </cell>
          <cell r="CL36">
            <v>0</v>
          </cell>
          <cell r="CP36">
            <v>0</v>
          </cell>
          <cell r="CR36">
            <v>0</v>
          </cell>
          <cell r="CT36">
            <v>2888</v>
          </cell>
          <cell r="CV36">
            <v>0</v>
          </cell>
          <cell r="CX36">
            <v>2888</v>
          </cell>
          <cell r="FC36">
            <v>0</v>
          </cell>
          <cell r="FE36">
            <v>0</v>
          </cell>
          <cell r="FF36">
            <v>0</v>
          </cell>
          <cell r="FI36">
            <v>4055.2339999999999</v>
          </cell>
          <cell r="FJ36">
            <v>1092</v>
          </cell>
          <cell r="FK36">
            <v>1092</v>
          </cell>
          <cell r="FM36">
            <v>0</v>
          </cell>
          <cell r="FN36">
            <v>6239.2340000000004</v>
          </cell>
          <cell r="FO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6239.2340000000004</v>
          </cell>
          <cell r="FU36">
            <v>0</v>
          </cell>
          <cell r="FV36">
            <v>6239.2340000000004</v>
          </cell>
          <cell r="FX36">
            <v>6239.2340000000004</v>
          </cell>
          <cell r="FY36">
            <v>0</v>
          </cell>
          <cell r="FZ36">
            <v>0</v>
          </cell>
          <cell r="GA36">
            <v>6239.2340000000004</v>
          </cell>
          <cell r="GB36">
            <v>6322.8990139506914</v>
          </cell>
          <cell r="GC36">
            <v>6239.2340000000004</v>
          </cell>
          <cell r="GD36">
            <v>6322.8990139506914</v>
          </cell>
          <cell r="GE36">
            <v>0</v>
          </cell>
          <cell r="GF36">
            <v>3.1180439468288248</v>
          </cell>
          <cell r="GG36">
            <v>6677.4777166294571</v>
          </cell>
          <cell r="GH36">
            <v>0</v>
          </cell>
        </row>
        <row r="37">
          <cell r="A37" t="str">
            <v>G. LINES-shares</v>
          </cell>
          <cell r="B37">
            <v>0.25</v>
          </cell>
          <cell r="C37">
            <v>3000.395</v>
          </cell>
          <cell r="I37">
            <v>3000.395</v>
          </cell>
          <cell r="U37">
            <v>0</v>
          </cell>
          <cell r="AD37">
            <v>0</v>
          </cell>
          <cell r="AJ37">
            <v>0</v>
          </cell>
          <cell r="AP37">
            <v>0</v>
          </cell>
          <cell r="AT37">
            <v>3000.395</v>
          </cell>
          <cell r="AX37">
            <v>3000.395</v>
          </cell>
          <cell r="AY37">
            <v>0</v>
          </cell>
          <cell r="AZ37" t="str">
            <v>G. LINES-shares</v>
          </cell>
          <cell r="BA37">
            <v>0.25</v>
          </cell>
          <cell r="BC37">
            <v>10208.061</v>
          </cell>
          <cell r="BI37">
            <v>10208.061</v>
          </cell>
          <cell r="BU37">
            <v>0</v>
          </cell>
          <cell r="BX37">
            <v>0</v>
          </cell>
          <cell r="CD37">
            <v>0</v>
          </cell>
          <cell r="CJ37">
            <v>0</v>
          </cell>
          <cell r="CP37">
            <v>0</v>
          </cell>
          <cell r="CT37">
            <v>10208.061</v>
          </cell>
          <cell r="CX37">
            <v>10208.061</v>
          </cell>
          <cell r="FC37">
            <v>11481.325930764207</v>
          </cell>
          <cell r="FF37">
            <v>11481.325930764207</v>
          </cell>
          <cell r="FN37">
            <v>0</v>
          </cell>
          <cell r="FO37">
            <v>0</v>
          </cell>
          <cell r="FR37">
            <v>0</v>
          </cell>
          <cell r="FS37">
            <v>0</v>
          </cell>
          <cell r="FT37">
            <v>11481.325930764207</v>
          </cell>
          <cell r="FV37">
            <v>11481.325930764207</v>
          </cell>
          <cell r="FW37" t="str">
            <v>G. LINES-shares</v>
          </cell>
          <cell r="FX37">
            <v>0</v>
          </cell>
          <cell r="FY37">
            <v>0</v>
          </cell>
          <cell r="GA37">
            <v>0</v>
          </cell>
          <cell r="GB37">
            <v>0</v>
          </cell>
          <cell r="GC37">
            <v>11481.325930764207</v>
          </cell>
          <cell r="GD37">
            <v>11635.284781188766</v>
          </cell>
          <cell r="GE37">
            <v>11481.325930764207</v>
          </cell>
          <cell r="GF37">
            <v>3.8266048072884429</v>
          </cell>
          <cell r="GG37">
            <v>11481.48777726976</v>
          </cell>
          <cell r="GH37">
            <v>0</v>
          </cell>
        </row>
        <row r="38">
          <cell r="A38" t="str">
            <v xml:space="preserve"> long term loans (index)</v>
          </cell>
          <cell r="C38">
            <v>736.54499999999996</v>
          </cell>
          <cell r="G38">
            <v>-25.857559999999999</v>
          </cell>
          <cell r="I38">
            <v>710.68743999999992</v>
          </cell>
          <cell r="U38">
            <v>0</v>
          </cell>
          <cell r="AD38">
            <v>0</v>
          </cell>
          <cell r="AJ38">
            <v>0</v>
          </cell>
          <cell r="AP38">
            <v>0</v>
          </cell>
          <cell r="AT38">
            <v>710.68743999999992</v>
          </cell>
          <cell r="AX38">
            <v>710.68743999999992</v>
          </cell>
          <cell r="AY38">
            <v>0</v>
          </cell>
          <cell r="AZ38" t="str">
            <v xml:space="preserve"> long term loans</v>
          </cell>
          <cell r="BC38">
            <v>2832.0149999999999</v>
          </cell>
          <cell r="BG38">
            <v>124.44499999999999</v>
          </cell>
          <cell r="BI38">
            <v>2956.46</v>
          </cell>
          <cell r="BU38">
            <v>0</v>
          </cell>
          <cell r="BX38">
            <v>0</v>
          </cell>
          <cell r="CD38">
            <v>0</v>
          </cell>
          <cell r="CJ38">
            <v>0</v>
          </cell>
          <cell r="CP38">
            <v>0</v>
          </cell>
          <cell r="CT38">
            <v>2956.46</v>
          </cell>
          <cell r="CX38">
            <v>2956.46</v>
          </cell>
          <cell r="FC38">
            <v>2956.46</v>
          </cell>
          <cell r="FF38">
            <v>2956.46</v>
          </cell>
          <cell r="FN38">
            <v>0</v>
          </cell>
          <cell r="FO38">
            <v>0</v>
          </cell>
          <cell r="FR38">
            <v>0</v>
          </cell>
          <cell r="FS38">
            <v>0</v>
          </cell>
          <cell r="FT38">
            <v>2956.46</v>
          </cell>
          <cell r="FV38">
            <v>2956.46</v>
          </cell>
          <cell r="FW38" t="str">
            <v xml:space="preserve"> long term loans (index)</v>
          </cell>
          <cell r="FX38">
            <v>0</v>
          </cell>
          <cell r="FY38">
            <v>0</v>
          </cell>
          <cell r="GA38">
            <v>0</v>
          </cell>
          <cell r="GB38">
            <v>0</v>
          </cell>
          <cell r="GC38">
            <v>2956.46</v>
          </cell>
          <cell r="GD38">
            <v>2996.1046530366807</v>
          </cell>
          <cell r="GE38">
            <v>2956.46</v>
          </cell>
          <cell r="GF38">
            <v>4.1600003512092467</v>
          </cell>
          <cell r="GG38">
            <v>2956.7770005310836</v>
          </cell>
          <cell r="GH38">
            <v>0</v>
          </cell>
        </row>
        <row r="39">
          <cell r="A39" t="str">
            <v xml:space="preserve"> long term loans $</v>
          </cell>
          <cell r="C39">
            <v>10563.864</v>
          </cell>
          <cell r="G39">
            <v>113.33150000000001</v>
          </cell>
          <cell r="I39">
            <v>10677.1955</v>
          </cell>
          <cell r="U39">
            <v>0</v>
          </cell>
          <cell r="AD39">
            <v>0</v>
          </cell>
          <cell r="AJ39">
            <v>0</v>
          </cell>
          <cell r="AP39">
            <v>0</v>
          </cell>
          <cell r="AT39">
            <v>10677.1955</v>
          </cell>
          <cell r="AX39">
            <v>10677.1955</v>
          </cell>
          <cell r="AY39">
            <v>0</v>
          </cell>
          <cell r="AZ39" t="str">
            <v xml:space="preserve"> long term loans</v>
          </cell>
          <cell r="BC39">
            <v>40618.059000000001</v>
          </cell>
          <cell r="BG39">
            <v>3799.0748699999999</v>
          </cell>
          <cell r="BI39">
            <v>44417.133869999998</v>
          </cell>
          <cell r="BU39">
            <v>0</v>
          </cell>
          <cell r="BX39">
            <v>0</v>
          </cell>
          <cell r="CD39">
            <v>0</v>
          </cell>
          <cell r="CJ39">
            <v>0</v>
          </cell>
          <cell r="CP39">
            <v>0</v>
          </cell>
          <cell r="CT39">
            <v>44417.133869999998</v>
          </cell>
          <cell r="CX39">
            <v>44417.133869999998</v>
          </cell>
          <cell r="FC39">
            <v>44417.133999999998</v>
          </cell>
          <cell r="FF39">
            <v>44417.133999999998</v>
          </cell>
          <cell r="FN39">
            <v>0</v>
          </cell>
          <cell r="FO39">
            <v>0</v>
          </cell>
          <cell r="FR39">
            <v>0</v>
          </cell>
          <cell r="FS39">
            <v>0</v>
          </cell>
          <cell r="FT39">
            <v>44417.133999999998</v>
          </cell>
          <cell r="FV39">
            <v>44417.133999999998</v>
          </cell>
          <cell r="FW39" t="str">
            <v xml:space="preserve"> long term loans $</v>
          </cell>
          <cell r="FX39">
            <v>0</v>
          </cell>
          <cell r="FY39">
            <v>0</v>
          </cell>
          <cell r="GA39">
            <v>0</v>
          </cell>
          <cell r="GB39">
            <v>0</v>
          </cell>
          <cell r="GC39">
            <v>44417.133999999998</v>
          </cell>
          <cell r="GD39">
            <v>45012.745598436552</v>
          </cell>
          <cell r="GE39">
            <v>44417.133999999998</v>
          </cell>
          <cell r="GF39">
            <v>4.1600000674334376</v>
          </cell>
          <cell r="GG39">
            <v>11564.964728935338</v>
          </cell>
          <cell r="GH39">
            <v>0</v>
          </cell>
        </row>
        <row r="40">
          <cell r="A40" t="str">
            <v xml:space="preserve"> accumulated loss</v>
          </cell>
          <cell r="C40">
            <v>-8484.25</v>
          </cell>
          <cell r="I40">
            <v>-8484.25</v>
          </cell>
          <cell r="U40">
            <v>0</v>
          </cell>
          <cell r="AD40">
            <v>0</v>
          </cell>
          <cell r="AJ40">
            <v>0</v>
          </cell>
          <cell r="AP40">
            <v>0</v>
          </cell>
          <cell r="AT40">
            <v>-8484.25</v>
          </cell>
          <cell r="AX40">
            <v>-8484</v>
          </cell>
          <cell r="AY40">
            <v>-0.25</v>
          </cell>
          <cell r="AZ40" t="str">
            <v xml:space="preserve"> accumulated loss</v>
          </cell>
          <cell r="BC40">
            <v>-30299.5</v>
          </cell>
          <cell r="BI40">
            <v>-30299.5</v>
          </cell>
          <cell r="BU40">
            <v>0</v>
          </cell>
          <cell r="BX40">
            <v>0</v>
          </cell>
          <cell r="CD40">
            <v>0</v>
          </cell>
          <cell r="CJ40">
            <v>0</v>
          </cell>
          <cell r="CP40">
            <v>0</v>
          </cell>
          <cell r="CT40">
            <v>-30299.5</v>
          </cell>
          <cell r="CX40">
            <v>-30299.5</v>
          </cell>
          <cell r="FC40">
            <v>-32650.631613324629</v>
          </cell>
          <cell r="FF40">
            <v>-32650.631613324629</v>
          </cell>
          <cell r="FN40">
            <v>0</v>
          </cell>
          <cell r="FO40">
            <v>0</v>
          </cell>
          <cell r="FR40">
            <v>0</v>
          </cell>
          <cell r="FS40">
            <v>0</v>
          </cell>
          <cell r="FT40">
            <v>-32650.631613324629</v>
          </cell>
          <cell r="FV40">
            <v>-32651</v>
          </cell>
          <cell r="FW40" t="str">
            <v xml:space="preserve"> accumulated loss</v>
          </cell>
          <cell r="FX40">
            <v>0</v>
          </cell>
          <cell r="FY40">
            <v>0</v>
          </cell>
          <cell r="GA40">
            <v>0</v>
          </cell>
          <cell r="GB40">
            <v>0</v>
          </cell>
          <cell r="GC40">
            <v>-32651</v>
          </cell>
          <cell r="GD40">
            <v>-33088.833613950694</v>
          </cell>
          <cell r="GE40">
            <v>-32651</v>
          </cell>
          <cell r="GF40">
            <v>3.8485384252710984</v>
          </cell>
          <cell r="GG40">
            <v>-633.26518615284135</v>
          </cell>
          <cell r="GH40">
            <v>0.36838667537085712</v>
          </cell>
        </row>
        <row r="41">
          <cell r="A41" t="str">
            <v xml:space="preserve"> loss-(equity method)</v>
          </cell>
          <cell r="C41">
            <v>-3871.42</v>
          </cell>
          <cell r="G41">
            <v>-948.33</v>
          </cell>
          <cell r="I41">
            <v>-4819.75</v>
          </cell>
          <cell r="U41">
            <v>0</v>
          </cell>
          <cell r="AD41">
            <v>0</v>
          </cell>
          <cell r="AJ41">
            <v>0</v>
          </cell>
          <cell r="AP41">
            <v>0</v>
          </cell>
          <cell r="AT41">
            <v>-4819.75</v>
          </cell>
          <cell r="AX41">
            <v>-4820</v>
          </cell>
          <cell r="AY41">
            <v>0.25</v>
          </cell>
          <cell r="AZ41" t="str">
            <v xml:space="preserve"> loss-(equity method)</v>
          </cell>
          <cell r="BC41">
            <v>-19444.738000000001</v>
          </cell>
          <cell r="BG41">
            <v>-9880.0119999999988</v>
          </cell>
          <cell r="BI41">
            <v>-29324.75</v>
          </cell>
          <cell r="BU41">
            <v>0</v>
          </cell>
          <cell r="BX41">
            <v>0</v>
          </cell>
          <cell r="CD41">
            <v>0</v>
          </cell>
          <cell r="CJ41">
            <v>0</v>
          </cell>
          <cell r="CP41">
            <v>0</v>
          </cell>
          <cell r="CT41">
            <v>-29324.75</v>
          </cell>
          <cell r="CX41">
            <v>-29324.75</v>
          </cell>
          <cell r="FC41">
            <v>-24824.75</v>
          </cell>
          <cell r="FE41">
            <v>0</v>
          </cell>
          <cell r="FF41">
            <v>-24824.75</v>
          </cell>
          <cell r="FN41">
            <v>0</v>
          </cell>
          <cell r="FO41">
            <v>0</v>
          </cell>
          <cell r="FR41">
            <v>0</v>
          </cell>
          <cell r="FS41">
            <v>0</v>
          </cell>
          <cell r="FT41">
            <v>-24824.75</v>
          </cell>
          <cell r="FV41">
            <v>-24825</v>
          </cell>
          <cell r="FW41" t="str">
            <v xml:space="preserve"> loss-(equity method)</v>
          </cell>
          <cell r="FX41">
            <v>0</v>
          </cell>
          <cell r="FY41">
            <v>0</v>
          </cell>
          <cell r="GA41">
            <v>0</v>
          </cell>
          <cell r="GB41">
            <v>0</v>
          </cell>
          <cell r="GC41">
            <v>-24825</v>
          </cell>
          <cell r="GD41">
            <v>-25157.890859891759</v>
          </cell>
          <cell r="GE41">
            <v>-24825</v>
          </cell>
          <cell r="GF41">
            <v>5.1504149377593365</v>
          </cell>
          <cell r="GG41">
            <v>-32017.36642717179</v>
          </cell>
          <cell r="GH41">
            <v>0.25</v>
          </cell>
        </row>
        <row r="42">
          <cell r="A42" t="str">
            <v xml:space="preserve"> goodwill</v>
          </cell>
          <cell r="C42">
            <v>132.119</v>
          </cell>
          <cell r="I42">
            <v>132.119</v>
          </cell>
          <cell r="U42">
            <v>0</v>
          </cell>
          <cell r="AD42">
            <v>0</v>
          </cell>
          <cell r="AJ42">
            <v>0</v>
          </cell>
          <cell r="AP42">
            <v>0</v>
          </cell>
          <cell r="AT42">
            <v>132.119</v>
          </cell>
          <cell r="AX42">
            <v>132.119</v>
          </cell>
          <cell r="AY42">
            <v>0</v>
          </cell>
          <cell r="AZ42" t="str">
            <v xml:space="preserve"> goodwill</v>
          </cell>
          <cell r="BC42">
            <v>429.51774999999998</v>
          </cell>
          <cell r="BI42">
            <v>429.51774999999998</v>
          </cell>
          <cell r="BU42">
            <v>0</v>
          </cell>
          <cell r="BX42">
            <v>0</v>
          </cell>
          <cell r="CD42">
            <v>0</v>
          </cell>
          <cell r="CJ42">
            <v>0</v>
          </cell>
          <cell r="CP42">
            <v>0</v>
          </cell>
          <cell r="CT42">
            <v>429.51774999999998</v>
          </cell>
          <cell r="CX42">
            <v>429.51774999999998</v>
          </cell>
          <cell r="FC42">
            <v>499.15300000000002</v>
          </cell>
          <cell r="FF42">
            <v>499.15300000000002</v>
          </cell>
          <cell r="FN42">
            <v>0</v>
          </cell>
          <cell r="FO42">
            <v>0</v>
          </cell>
          <cell r="FR42">
            <v>0</v>
          </cell>
          <cell r="FS42">
            <v>0</v>
          </cell>
          <cell r="FT42">
            <v>499.15300000000002</v>
          </cell>
          <cell r="FV42">
            <v>499.15300000000002</v>
          </cell>
          <cell r="FW42" t="str">
            <v xml:space="preserve"> goodwill</v>
          </cell>
          <cell r="FX42">
            <v>0</v>
          </cell>
          <cell r="FY42">
            <v>0</v>
          </cell>
          <cell r="GA42">
            <v>0</v>
          </cell>
          <cell r="GB42">
            <v>0</v>
          </cell>
          <cell r="GC42">
            <v>499.15300000000002</v>
          </cell>
          <cell r="GD42">
            <v>505.84639260372819</v>
          </cell>
          <cell r="GE42">
            <v>499.15300000000002</v>
          </cell>
          <cell r="GF42">
            <v>3.7780561463529092</v>
          </cell>
          <cell r="GG42">
            <v>557.87694112508734</v>
          </cell>
          <cell r="GH42">
            <v>0</v>
          </cell>
        </row>
        <row r="43">
          <cell r="C43">
            <v>2077.2530000000002</v>
          </cell>
          <cell r="E43">
            <v>0</v>
          </cell>
          <cell r="G43">
            <v>-860.85605999999996</v>
          </cell>
          <cell r="I43">
            <v>1216.3969399999999</v>
          </cell>
          <cell r="M43">
            <v>0</v>
          </cell>
          <cell r="O43">
            <v>0</v>
          </cell>
          <cell r="Q43">
            <v>0</v>
          </cell>
          <cell r="S43">
            <v>0</v>
          </cell>
          <cell r="U43">
            <v>0</v>
          </cell>
          <cell r="Z43">
            <v>0</v>
          </cell>
          <cell r="AB43">
            <v>0</v>
          </cell>
          <cell r="AD43">
            <v>0</v>
          </cell>
          <cell r="AF43">
            <v>0</v>
          </cell>
          <cell r="AH43">
            <v>0</v>
          </cell>
          <cell r="AJ43">
            <v>0</v>
          </cell>
          <cell r="AL43">
            <v>0</v>
          </cell>
          <cell r="AN43">
            <v>0</v>
          </cell>
          <cell r="AP43">
            <v>0</v>
          </cell>
          <cell r="AR43">
            <v>0</v>
          </cell>
          <cell r="AT43">
            <v>1216.3969399999999</v>
          </cell>
          <cell r="AV43">
            <v>0</v>
          </cell>
          <cell r="AX43">
            <v>1216.3969399999999</v>
          </cell>
          <cell r="AY43">
            <v>0</v>
          </cell>
          <cell r="BC43">
            <v>4343.4147500000008</v>
          </cell>
          <cell r="BE43">
            <v>0</v>
          </cell>
          <cell r="BG43">
            <v>-5956.4921299999987</v>
          </cell>
          <cell r="BI43">
            <v>-1613.0773800000015</v>
          </cell>
          <cell r="BO43">
            <v>0</v>
          </cell>
          <cell r="BQ43">
            <v>0</v>
          </cell>
          <cell r="BS43">
            <v>0</v>
          </cell>
          <cell r="BU43">
            <v>0</v>
          </cell>
          <cell r="BX43">
            <v>0</v>
          </cell>
          <cell r="BZ43">
            <v>0</v>
          </cell>
          <cell r="CB43">
            <v>0</v>
          </cell>
          <cell r="CD43">
            <v>0</v>
          </cell>
          <cell r="CF43">
            <v>0</v>
          </cell>
          <cell r="CH43">
            <v>0</v>
          </cell>
          <cell r="CJ43">
            <v>0</v>
          </cell>
          <cell r="CL43">
            <v>0</v>
          </cell>
          <cell r="CN43">
            <v>0</v>
          </cell>
          <cell r="CP43">
            <v>0</v>
          </cell>
          <cell r="CR43">
            <v>0</v>
          </cell>
          <cell r="CT43">
            <v>-1613.0773800000015</v>
          </cell>
          <cell r="CV43">
            <v>0</v>
          </cell>
          <cell r="CX43">
            <v>-1613.0773800000015</v>
          </cell>
          <cell r="FC43">
            <v>1878.6913174395756</v>
          </cell>
          <cell r="FE43">
            <v>0</v>
          </cell>
          <cell r="FF43">
            <v>1878.6913174395756</v>
          </cell>
          <cell r="FI43">
            <v>0</v>
          </cell>
          <cell r="FM43">
            <v>0</v>
          </cell>
          <cell r="FN43">
            <v>0</v>
          </cell>
          <cell r="FO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1878.6913174395756</v>
          </cell>
          <cell r="FU43">
            <v>0</v>
          </cell>
          <cell r="FV43">
            <v>1878.0729307642048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1878.0729307642048</v>
          </cell>
          <cell r="GD43">
            <v>1903.2569514232771</v>
          </cell>
          <cell r="GE43">
            <v>1878.0729307642048</v>
          </cell>
          <cell r="GF43">
            <v>1.5439638731450649</v>
          </cell>
          <cell r="GG43">
            <v>-6089.5251654633603</v>
          </cell>
          <cell r="GH43">
            <v>0.61838667537085712</v>
          </cell>
        </row>
        <row r="44">
          <cell r="A44" t="str">
            <v>MERCAZ-shares</v>
          </cell>
          <cell r="B44">
            <v>0.7</v>
          </cell>
          <cell r="C44">
            <v>0.72399999999999998</v>
          </cell>
          <cell r="I44">
            <v>0.72399999999999998</v>
          </cell>
          <cell r="U44">
            <v>0</v>
          </cell>
          <cell r="AD44">
            <v>0</v>
          </cell>
          <cell r="AJ44">
            <v>0</v>
          </cell>
          <cell r="AP44">
            <v>0</v>
          </cell>
          <cell r="AR44">
            <v>0</v>
          </cell>
          <cell r="AT44">
            <v>0.72399999999999998</v>
          </cell>
          <cell r="AV44">
            <v>-0.72399999999999998</v>
          </cell>
          <cell r="AX44">
            <v>0</v>
          </cell>
          <cell r="AY44">
            <v>0</v>
          </cell>
          <cell r="AZ44" t="str">
            <v>MERCAZ-shares</v>
          </cell>
          <cell r="BA44">
            <v>0.7</v>
          </cell>
          <cell r="BC44">
            <v>1.4</v>
          </cell>
          <cell r="BE44">
            <v>0</v>
          </cell>
          <cell r="BG44">
            <v>0</v>
          </cell>
          <cell r="BI44">
            <v>1.4</v>
          </cell>
          <cell r="BU44">
            <v>0</v>
          </cell>
          <cell r="BX44">
            <v>0</v>
          </cell>
          <cell r="CD44">
            <v>0</v>
          </cell>
          <cell r="CF44">
            <v>0</v>
          </cell>
          <cell r="CH44">
            <v>0</v>
          </cell>
          <cell r="CJ44">
            <v>0</v>
          </cell>
          <cell r="CP44">
            <v>0</v>
          </cell>
          <cell r="CR44">
            <v>0</v>
          </cell>
          <cell r="CT44">
            <v>1.4</v>
          </cell>
          <cell r="CV44">
            <v>-1.4</v>
          </cell>
          <cell r="CX44">
            <v>0</v>
          </cell>
          <cell r="FC44">
            <v>653.90333115610724</v>
          </cell>
          <cell r="FF44">
            <v>653.90333115610724</v>
          </cell>
          <cell r="FN44">
            <v>0</v>
          </cell>
          <cell r="FO44">
            <v>0</v>
          </cell>
          <cell r="FR44">
            <v>0</v>
          </cell>
          <cell r="FS44">
            <v>0</v>
          </cell>
          <cell r="FT44">
            <v>653.90333115610724</v>
          </cell>
          <cell r="FU44">
            <v>-653.90333115610724</v>
          </cell>
          <cell r="FV44">
            <v>0</v>
          </cell>
          <cell r="FW44" t="str">
            <v>MERCAZ-shares</v>
          </cell>
          <cell r="FX44">
            <v>0</v>
          </cell>
          <cell r="FY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 t="e">
            <v>#DIV/0!</v>
          </cell>
          <cell r="GG44">
            <v>0</v>
          </cell>
          <cell r="GH44">
            <v>0</v>
          </cell>
        </row>
        <row r="45">
          <cell r="A45" t="str">
            <v xml:space="preserve"> long term loans</v>
          </cell>
          <cell r="C45">
            <v>5790.5619999999999</v>
          </cell>
          <cell r="I45">
            <v>5790.5619999999999</v>
          </cell>
          <cell r="U45">
            <v>0</v>
          </cell>
          <cell r="AD45">
            <v>0</v>
          </cell>
          <cell r="AJ45">
            <v>0</v>
          </cell>
          <cell r="AP45">
            <v>0</v>
          </cell>
          <cell r="AT45">
            <v>5790.5619999999999</v>
          </cell>
          <cell r="AV45">
            <v>-5790.5619999999999</v>
          </cell>
          <cell r="AX45">
            <v>0</v>
          </cell>
          <cell r="AY45">
            <v>0</v>
          </cell>
          <cell r="AZ45" t="str">
            <v xml:space="preserve"> long term loans</v>
          </cell>
          <cell r="BC45">
            <v>24088.737000000001</v>
          </cell>
          <cell r="BE45">
            <v>0</v>
          </cell>
          <cell r="BG45">
            <v>0</v>
          </cell>
          <cell r="BI45">
            <v>24088.737000000001</v>
          </cell>
          <cell r="BU45">
            <v>0</v>
          </cell>
          <cell r="BX45">
            <v>0</v>
          </cell>
          <cell r="CD45">
            <v>0</v>
          </cell>
          <cell r="CF45">
            <v>0</v>
          </cell>
          <cell r="CH45">
            <v>0</v>
          </cell>
          <cell r="CJ45">
            <v>0</v>
          </cell>
          <cell r="CP45">
            <v>0</v>
          </cell>
          <cell r="CT45">
            <v>24088.737000000001</v>
          </cell>
          <cell r="CV45">
            <v>-24088.737000000001</v>
          </cell>
          <cell r="CX45">
            <v>0</v>
          </cell>
          <cell r="FC45">
            <v>24088.737000000001</v>
          </cell>
          <cell r="FF45">
            <v>24088.737000000001</v>
          </cell>
          <cell r="FN45">
            <v>0</v>
          </cell>
          <cell r="FO45">
            <v>0</v>
          </cell>
          <cell r="FR45">
            <v>0</v>
          </cell>
          <cell r="FS45">
            <v>0</v>
          </cell>
          <cell r="FT45">
            <v>24088.737000000001</v>
          </cell>
          <cell r="FU45">
            <v>-24088.737000000001</v>
          </cell>
          <cell r="FV45">
            <v>0</v>
          </cell>
          <cell r="FW45" t="str">
            <v xml:space="preserve"> long term loans</v>
          </cell>
          <cell r="FX45">
            <v>0</v>
          </cell>
          <cell r="FY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 t="e">
            <v>#DIV/0!</v>
          </cell>
          <cell r="GG45">
            <v>0</v>
          </cell>
          <cell r="GH45">
            <v>0</v>
          </cell>
        </row>
        <row r="46">
          <cell r="A46" t="str">
            <v xml:space="preserve"> long term loans 4.6%</v>
          </cell>
          <cell r="C46">
            <v>9226.8590000000004</v>
          </cell>
          <cell r="I46">
            <v>9226.8590000000004</v>
          </cell>
          <cell r="U46">
            <v>0</v>
          </cell>
          <cell r="AD46">
            <v>0</v>
          </cell>
          <cell r="AJ46">
            <v>0</v>
          </cell>
          <cell r="AP46">
            <v>0</v>
          </cell>
          <cell r="AT46">
            <v>9226.8590000000004</v>
          </cell>
          <cell r="AV46">
            <v>-9226.8590000000004</v>
          </cell>
          <cell r="AX46">
            <v>0</v>
          </cell>
          <cell r="AY46">
            <v>0</v>
          </cell>
          <cell r="AZ46" t="str">
            <v xml:space="preserve"> long term loans4.6%</v>
          </cell>
          <cell r="BC46">
            <v>38383.732000000004</v>
          </cell>
          <cell r="BI46">
            <v>38383.732000000004</v>
          </cell>
          <cell r="BU46">
            <v>0</v>
          </cell>
          <cell r="BX46">
            <v>0</v>
          </cell>
          <cell r="CD46">
            <v>0</v>
          </cell>
          <cell r="CJ46">
            <v>0</v>
          </cell>
          <cell r="CP46">
            <v>0</v>
          </cell>
          <cell r="CT46">
            <v>38383.732000000004</v>
          </cell>
          <cell r="CV46">
            <v>-38383.732000000004</v>
          </cell>
          <cell r="CX46">
            <v>0</v>
          </cell>
          <cell r="FC46">
            <v>38383.732000000004</v>
          </cell>
          <cell r="FF46">
            <v>38383.732000000004</v>
          </cell>
          <cell r="FN46">
            <v>0</v>
          </cell>
          <cell r="FO46">
            <v>0</v>
          </cell>
          <cell r="FR46">
            <v>0</v>
          </cell>
          <cell r="FS46">
            <v>0</v>
          </cell>
          <cell r="FT46">
            <v>38383.732000000004</v>
          </cell>
          <cell r="FU46">
            <v>-38383.732000000004</v>
          </cell>
          <cell r="FV46">
            <v>0</v>
          </cell>
          <cell r="FW46" t="str">
            <v xml:space="preserve"> long term loans 4.6%</v>
          </cell>
          <cell r="FX46">
            <v>0</v>
          </cell>
          <cell r="FY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 t="e">
            <v>#DIV/0!</v>
          </cell>
          <cell r="GG46">
            <v>0</v>
          </cell>
          <cell r="GH46">
            <v>0</v>
          </cell>
        </row>
        <row r="47">
          <cell r="A47" t="str">
            <v xml:space="preserve"> accumulated loss</v>
          </cell>
          <cell r="C47">
            <v>-248.86799999999999</v>
          </cell>
          <cell r="I47">
            <v>-248.86799999999999</v>
          </cell>
          <cell r="U47">
            <v>0</v>
          </cell>
          <cell r="AD47">
            <v>0</v>
          </cell>
          <cell r="AJ47">
            <v>0</v>
          </cell>
          <cell r="AP47">
            <v>0</v>
          </cell>
          <cell r="AT47">
            <v>-248.86799999999999</v>
          </cell>
          <cell r="AV47">
            <v>248.86799999999999</v>
          </cell>
          <cell r="AX47">
            <v>0</v>
          </cell>
          <cell r="AY47">
            <v>0</v>
          </cell>
          <cell r="AZ47" t="str">
            <v xml:space="preserve"> accumulated loss</v>
          </cell>
          <cell r="BC47">
            <v>-1991.3209999999999</v>
          </cell>
          <cell r="BI47">
            <v>-1991.3209999999999</v>
          </cell>
          <cell r="BX47">
            <v>0</v>
          </cell>
          <cell r="CD47">
            <v>0</v>
          </cell>
          <cell r="CJ47">
            <v>0</v>
          </cell>
          <cell r="CP47">
            <v>0</v>
          </cell>
          <cell r="CT47">
            <v>-1991.3209999999999</v>
          </cell>
          <cell r="CV47">
            <v>1991.3209999999999</v>
          </cell>
          <cell r="CX47">
            <v>0</v>
          </cell>
          <cell r="FC47">
            <v>-2102.9183540169824</v>
          </cell>
          <cell r="FF47">
            <v>-2102.9183540169824</v>
          </cell>
          <cell r="FN47">
            <v>0</v>
          </cell>
          <cell r="FO47">
            <v>0</v>
          </cell>
          <cell r="FR47">
            <v>0</v>
          </cell>
          <cell r="FS47">
            <v>0</v>
          </cell>
          <cell r="FT47">
            <v>-2102.9183540169824</v>
          </cell>
          <cell r="FU47">
            <v>2102.9183540169824</v>
          </cell>
          <cell r="FV47">
            <v>0</v>
          </cell>
          <cell r="FW47" t="str">
            <v xml:space="preserve"> accumulated loss</v>
          </cell>
          <cell r="FX47">
            <v>0</v>
          </cell>
          <cell r="FY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 t="e">
            <v>#DIV/0!</v>
          </cell>
          <cell r="GG47">
            <v>0</v>
          </cell>
          <cell r="GH47">
            <v>0</v>
          </cell>
        </row>
        <row r="48">
          <cell r="A48" t="str">
            <v xml:space="preserve"> loss-(equity method)</v>
          </cell>
          <cell r="C48">
            <v>619</v>
          </cell>
          <cell r="G48">
            <v>394</v>
          </cell>
          <cell r="I48">
            <v>1013</v>
          </cell>
          <cell r="U48">
            <v>0</v>
          </cell>
          <cell r="AD48">
            <v>0</v>
          </cell>
          <cell r="AJ48">
            <v>0</v>
          </cell>
          <cell r="AP48">
            <v>0</v>
          </cell>
          <cell r="AR48">
            <v>0</v>
          </cell>
          <cell r="AT48">
            <v>1013</v>
          </cell>
          <cell r="AV48">
            <v>-1013</v>
          </cell>
          <cell r="AX48">
            <v>0</v>
          </cell>
          <cell r="AY48">
            <v>0</v>
          </cell>
          <cell r="AZ48" t="str">
            <v xml:space="preserve"> loss-(equity method)</v>
          </cell>
          <cell r="BC48">
            <v>-1481</v>
          </cell>
          <cell r="BE48">
            <v>0</v>
          </cell>
          <cell r="BG48">
            <v>-3057</v>
          </cell>
          <cell r="BI48">
            <v>-4538</v>
          </cell>
          <cell r="BU48">
            <v>0</v>
          </cell>
          <cell r="BX48">
            <v>0</v>
          </cell>
          <cell r="CD48">
            <v>0</v>
          </cell>
          <cell r="CF48">
            <v>0</v>
          </cell>
          <cell r="CH48">
            <v>0</v>
          </cell>
          <cell r="CJ48">
            <v>0</v>
          </cell>
          <cell r="CP48">
            <v>0</v>
          </cell>
          <cell r="CR48">
            <v>0</v>
          </cell>
          <cell r="CT48">
            <v>-4538</v>
          </cell>
          <cell r="CV48">
            <v>4538</v>
          </cell>
          <cell r="CX48">
            <v>0</v>
          </cell>
          <cell r="FC48">
            <v>-98.7</v>
          </cell>
          <cell r="FE48">
            <v>-2.7999999999224201E-3</v>
          </cell>
          <cell r="FF48">
            <v>-98.702799999999925</v>
          </cell>
          <cell r="FN48">
            <v>0</v>
          </cell>
          <cell r="FO48">
            <v>0</v>
          </cell>
          <cell r="FR48">
            <v>0</v>
          </cell>
          <cell r="FS48">
            <v>0</v>
          </cell>
          <cell r="FT48">
            <v>-98.702799999999925</v>
          </cell>
          <cell r="FU48">
            <v>98.702799999999925</v>
          </cell>
          <cell r="FV48">
            <v>0</v>
          </cell>
          <cell r="FW48" t="str">
            <v xml:space="preserve"> loss-(equity method)</v>
          </cell>
          <cell r="FX48">
            <v>0</v>
          </cell>
          <cell r="FY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 t="e">
            <v>#DIV/0!</v>
          </cell>
          <cell r="GG48">
            <v>0</v>
          </cell>
          <cell r="GH48">
            <v>0</v>
          </cell>
        </row>
        <row r="49">
          <cell r="B49" t="str">
            <v xml:space="preserve">total </v>
          </cell>
          <cell r="C49">
            <v>15388.277</v>
          </cell>
          <cell r="E49">
            <v>0</v>
          </cell>
          <cell r="G49">
            <v>394</v>
          </cell>
          <cell r="I49">
            <v>15782.277</v>
          </cell>
          <cell r="M49">
            <v>0</v>
          </cell>
          <cell r="O49">
            <v>0</v>
          </cell>
          <cell r="Q49">
            <v>0</v>
          </cell>
          <cell r="S49">
            <v>0</v>
          </cell>
          <cell r="U49">
            <v>0</v>
          </cell>
          <cell r="Z49">
            <v>0</v>
          </cell>
          <cell r="AB49">
            <v>0</v>
          </cell>
          <cell r="AD49">
            <v>0</v>
          </cell>
          <cell r="AF49">
            <v>0</v>
          </cell>
          <cell r="AH49">
            <v>0</v>
          </cell>
          <cell r="AJ49">
            <v>0</v>
          </cell>
          <cell r="AL49">
            <v>0</v>
          </cell>
          <cell r="AN49">
            <v>0</v>
          </cell>
          <cell r="AP49">
            <v>0</v>
          </cell>
          <cell r="AR49">
            <v>0</v>
          </cell>
          <cell r="AT49">
            <v>15782.277</v>
          </cell>
          <cell r="AV49">
            <v>-15782.277</v>
          </cell>
          <cell r="AX49">
            <v>0</v>
          </cell>
          <cell r="AY49">
            <v>0</v>
          </cell>
          <cell r="BA49" t="str">
            <v xml:space="preserve">total </v>
          </cell>
          <cell r="BC49">
            <v>59001.54800000001</v>
          </cell>
          <cell r="BE49">
            <v>0</v>
          </cell>
          <cell r="BG49">
            <v>-3057</v>
          </cell>
          <cell r="BI49">
            <v>55944.54800000001</v>
          </cell>
          <cell r="BO49">
            <v>0</v>
          </cell>
          <cell r="BQ49">
            <v>0</v>
          </cell>
          <cell r="BS49">
            <v>0</v>
          </cell>
          <cell r="BU49">
            <v>0</v>
          </cell>
          <cell r="BX49">
            <v>0</v>
          </cell>
          <cell r="BZ49">
            <v>0</v>
          </cell>
          <cell r="CB49">
            <v>0</v>
          </cell>
          <cell r="CD49">
            <v>0</v>
          </cell>
          <cell r="CF49">
            <v>0</v>
          </cell>
          <cell r="CH49">
            <v>0</v>
          </cell>
          <cell r="CJ49">
            <v>0</v>
          </cell>
          <cell r="CL49">
            <v>0</v>
          </cell>
          <cell r="CN49">
            <v>0</v>
          </cell>
          <cell r="CP49">
            <v>0</v>
          </cell>
          <cell r="CR49">
            <v>0</v>
          </cell>
          <cell r="CT49">
            <v>55944.54800000001</v>
          </cell>
          <cell r="CV49">
            <v>-55944.54800000001</v>
          </cell>
          <cell r="CX49">
            <v>0</v>
          </cell>
          <cell r="FC49">
            <v>60924.753977139131</v>
          </cell>
          <cell r="FE49">
            <v>-2.7999999999224201E-3</v>
          </cell>
          <cell r="FF49">
            <v>60924.751177139129</v>
          </cell>
          <cell r="FI49">
            <v>0</v>
          </cell>
          <cell r="FM49">
            <v>0</v>
          </cell>
          <cell r="FN49">
            <v>0</v>
          </cell>
          <cell r="FO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60924.751177139129</v>
          </cell>
          <cell r="FU49">
            <v>-60924.751177139129</v>
          </cell>
          <cell r="FV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 t="e">
            <v>#DIV/0!</v>
          </cell>
          <cell r="GG49">
            <v>0</v>
          </cell>
          <cell r="GH49">
            <v>0</v>
          </cell>
        </row>
        <row r="50">
          <cell r="A50" t="str">
            <v>SSC-shares</v>
          </cell>
          <cell r="B50">
            <v>0.7</v>
          </cell>
          <cell r="C50">
            <v>-3449.24</v>
          </cell>
          <cell r="I50">
            <v>-3449.24</v>
          </cell>
          <cell r="U50">
            <v>0</v>
          </cell>
          <cell r="AD50">
            <v>0</v>
          </cell>
          <cell r="AJ50">
            <v>0</v>
          </cell>
          <cell r="AP50">
            <v>0</v>
          </cell>
          <cell r="AT50">
            <v>-3449.24</v>
          </cell>
          <cell r="AV50">
            <v>3449.24</v>
          </cell>
          <cell r="AX50">
            <v>0</v>
          </cell>
          <cell r="AY50">
            <v>0</v>
          </cell>
          <cell r="AZ50" t="str">
            <v>SSC-shares</v>
          </cell>
          <cell r="BA50">
            <v>0.7</v>
          </cell>
          <cell r="BC50">
            <v>-19594.575000000001</v>
          </cell>
          <cell r="BI50">
            <v>-19594.575000000001</v>
          </cell>
          <cell r="BX50">
            <v>0</v>
          </cell>
          <cell r="CD50">
            <v>0</v>
          </cell>
          <cell r="CJ50">
            <v>0</v>
          </cell>
          <cell r="CP50">
            <v>0</v>
          </cell>
          <cell r="CT50">
            <v>-19594.575000000001</v>
          </cell>
          <cell r="CV50">
            <v>19594.575000000001</v>
          </cell>
          <cell r="CX50">
            <v>0</v>
          </cell>
          <cell r="FC50">
            <v>-20042.392112998041</v>
          </cell>
          <cell r="FF50">
            <v>-20042.392112998041</v>
          </cell>
          <cell r="FN50">
            <v>0</v>
          </cell>
          <cell r="FO50">
            <v>0</v>
          </cell>
          <cell r="FR50">
            <v>0</v>
          </cell>
          <cell r="FS50">
            <v>0</v>
          </cell>
          <cell r="FT50">
            <v>-20042.392112998041</v>
          </cell>
          <cell r="FU50">
            <v>20042.392112998041</v>
          </cell>
          <cell r="FV50">
            <v>0</v>
          </cell>
          <cell r="FW50" t="str">
            <v>SSC-shares</v>
          </cell>
          <cell r="FX50">
            <v>0</v>
          </cell>
          <cell r="FY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 t="e">
            <v>#DIV/0!</v>
          </cell>
          <cell r="GG50">
            <v>0</v>
          </cell>
          <cell r="GH50">
            <v>0</v>
          </cell>
        </row>
        <row r="51">
          <cell r="A51" t="str">
            <v xml:space="preserve"> long term loans</v>
          </cell>
          <cell r="C51">
            <v>260.149</v>
          </cell>
          <cell r="I51">
            <v>260.149</v>
          </cell>
          <cell r="U51">
            <v>0</v>
          </cell>
          <cell r="AD51">
            <v>0</v>
          </cell>
          <cell r="AJ51">
            <v>0</v>
          </cell>
          <cell r="AN51">
            <v>0</v>
          </cell>
          <cell r="AP51">
            <v>0</v>
          </cell>
          <cell r="AT51">
            <v>260.149</v>
          </cell>
          <cell r="AV51">
            <v>-260.149</v>
          </cell>
          <cell r="AX51">
            <v>0</v>
          </cell>
          <cell r="AY51">
            <v>0</v>
          </cell>
          <cell r="AZ51" t="str">
            <v xml:space="preserve"> long term loans</v>
          </cell>
          <cell r="BC51">
            <v>1082.2190000000001</v>
          </cell>
          <cell r="BE51">
            <v>0</v>
          </cell>
          <cell r="BG51">
            <v>0</v>
          </cell>
          <cell r="BI51">
            <v>1082.2190000000001</v>
          </cell>
          <cell r="BX51">
            <v>0</v>
          </cell>
          <cell r="CD51">
            <v>0</v>
          </cell>
          <cell r="CJ51">
            <v>0</v>
          </cell>
          <cell r="CN51">
            <v>0</v>
          </cell>
          <cell r="CP51">
            <v>0</v>
          </cell>
          <cell r="CT51">
            <v>1082.2190000000001</v>
          </cell>
          <cell r="CV51">
            <v>-1082.2190000000001</v>
          </cell>
          <cell r="CX51">
            <v>0</v>
          </cell>
          <cell r="FC51">
            <v>1082.2190000000001</v>
          </cell>
          <cell r="FF51">
            <v>1082.2190000000001</v>
          </cell>
          <cell r="FN51">
            <v>0</v>
          </cell>
          <cell r="FO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1082.2190000000001</v>
          </cell>
          <cell r="FU51">
            <v>-1082.2190000000001</v>
          </cell>
          <cell r="FV51">
            <v>0</v>
          </cell>
          <cell r="FW51" t="str">
            <v xml:space="preserve"> long term loans</v>
          </cell>
          <cell r="FX51">
            <v>0</v>
          </cell>
          <cell r="FY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 t="e">
            <v>#DIV/0!</v>
          </cell>
          <cell r="GG51">
            <v>0</v>
          </cell>
          <cell r="GH51">
            <v>0</v>
          </cell>
        </row>
        <row r="52">
          <cell r="A52" t="str">
            <v xml:space="preserve"> accumulated profit</v>
          </cell>
          <cell r="C52">
            <v>5869</v>
          </cell>
          <cell r="G52">
            <v>0</v>
          </cell>
          <cell r="I52">
            <v>5869</v>
          </cell>
          <cell r="U52">
            <v>0</v>
          </cell>
          <cell r="AD52">
            <v>0</v>
          </cell>
          <cell r="AJ52">
            <v>0</v>
          </cell>
          <cell r="AP52">
            <v>0</v>
          </cell>
          <cell r="AT52">
            <v>5869</v>
          </cell>
          <cell r="AV52">
            <v>-5869</v>
          </cell>
          <cell r="AX52">
            <v>0</v>
          </cell>
          <cell r="AY52">
            <v>0</v>
          </cell>
          <cell r="AZ52" t="str">
            <v xml:space="preserve"> accumulated profit</v>
          </cell>
          <cell r="BC52">
            <v>8021</v>
          </cell>
          <cell r="BG52">
            <v>0</v>
          </cell>
          <cell r="BI52">
            <v>8021</v>
          </cell>
          <cell r="BX52">
            <v>0</v>
          </cell>
          <cell r="CD52">
            <v>0</v>
          </cell>
          <cell r="CJ52">
            <v>0</v>
          </cell>
          <cell r="CP52">
            <v>0</v>
          </cell>
          <cell r="CT52">
            <v>8021</v>
          </cell>
          <cell r="CV52">
            <v>-8021</v>
          </cell>
          <cell r="CX52">
            <v>0</v>
          </cell>
          <cell r="FC52">
            <v>34674.25604180275</v>
          </cell>
          <cell r="FF52">
            <v>34674.25604180275</v>
          </cell>
          <cell r="FN52">
            <v>0</v>
          </cell>
          <cell r="FO52">
            <v>0</v>
          </cell>
          <cell r="FR52">
            <v>0</v>
          </cell>
          <cell r="FS52">
            <v>0</v>
          </cell>
          <cell r="FT52">
            <v>34674.25604180275</v>
          </cell>
          <cell r="FU52">
            <v>-34674.25604180275</v>
          </cell>
          <cell r="FV52">
            <v>0</v>
          </cell>
          <cell r="FW52" t="str">
            <v xml:space="preserve"> accumulated profit</v>
          </cell>
          <cell r="FX52">
            <v>0</v>
          </cell>
          <cell r="FY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 t="e">
            <v>#DIV/0!</v>
          </cell>
          <cell r="GG52">
            <v>0</v>
          </cell>
          <cell r="GH52">
            <v>0</v>
          </cell>
        </row>
        <row r="53">
          <cell r="A53" t="str">
            <v xml:space="preserve"> profit-(equity method)</v>
          </cell>
          <cell r="C53">
            <v>4191</v>
          </cell>
          <cell r="G53">
            <v>874</v>
          </cell>
          <cell r="I53">
            <v>5065</v>
          </cell>
          <cell r="U53">
            <v>0</v>
          </cell>
          <cell r="AD53">
            <v>0</v>
          </cell>
          <cell r="AJ53">
            <v>0</v>
          </cell>
          <cell r="AP53">
            <v>0</v>
          </cell>
          <cell r="AT53">
            <v>5065</v>
          </cell>
          <cell r="AV53">
            <v>-5065</v>
          </cell>
          <cell r="AX53">
            <v>0</v>
          </cell>
          <cell r="AY53">
            <v>0</v>
          </cell>
          <cell r="AZ53" t="str">
            <v xml:space="preserve"> profit-(equity method)</v>
          </cell>
          <cell r="BC53">
            <v>8778</v>
          </cell>
          <cell r="BG53">
            <v>6822</v>
          </cell>
          <cell r="BI53">
            <v>15600</v>
          </cell>
          <cell r="BX53">
            <v>0</v>
          </cell>
          <cell r="CD53">
            <v>0</v>
          </cell>
          <cell r="CJ53">
            <v>0</v>
          </cell>
          <cell r="CP53">
            <v>0</v>
          </cell>
          <cell r="CT53">
            <v>15600</v>
          </cell>
          <cell r="CV53">
            <v>-15600</v>
          </cell>
          <cell r="CX53">
            <v>0</v>
          </cell>
          <cell r="FC53">
            <v>16984.099999999999</v>
          </cell>
          <cell r="FE53">
            <v>1.2474000000038359</v>
          </cell>
          <cell r="FF53">
            <v>16985.347400000002</v>
          </cell>
          <cell r="FN53">
            <v>0</v>
          </cell>
          <cell r="FO53">
            <v>0</v>
          </cell>
          <cell r="FR53">
            <v>0</v>
          </cell>
          <cell r="FS53">
            <v>0</v>
          </cell>
          <cell r="FT53">
            <v>16985.347400000002</v>
          </cell>
          <cell r="FU53">
            <v>-16985.347400000002</v>
          </cell>
          <cell r="FV53">
            <v>0</v>
          </cell>
          <cell r="FW53" t="str">
            <v xml:space="preserve"> profit-(equity method)</v>
          </cell>
          <cell r="FX53">
            <v>0</v>
          </cell>
          <cell r="FY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 t="e">
            <v>#DIV/0!</v>
          </cell>
          <cell r="GG53">
            <v>0</v>
          </cell>
          <cell r="GH53">
            <v>0</v>
          </cell>
        </row>
        <row r="54">
          <cell r="B54" t="str">
            <v xml:space="preserve">total </v>
          </cell>
          <cell r="C54">
            <v>6870.9089999999997</v>
          </cell>
          <cell r="E54">
            <v>0</v>
          </cell>
          <cell r="G54">
            <v>874</v>
          </cell>
          <cell r="I54">
            <v>7744.9089999999997</v>
          </cell>
          <cell r="M54">
            <v>0</v>
          </cell>
          <cell r="O54">
            <v>0</v>
          </cell>
          <cell r="Q54">
            <v>0</v>
          </cell>
          <cell r="S54">
            <v>0</v>
          </cell>
          <cell r="U54">
            <v>0</v>
          </cell>
          <cell r="Z54">
            <v>0</v>
          </cell>
          <cell r="AB54">
            <v>0</v>
          </cell>
          <cell r="AD54">
            <v>0</v>
          </cell>
          <cell r="AF54">
            <v>0</v>
          </cell>
          <cell r="AH54">
            <v>0</v>
          </cell>
          <cell r="AJ54">
            <v>0</v>
          </cell>
          <cell r="AL54">
            <v>0</v>
          </cell>
          <cell r="AN54">
            <v>0</v>
          </cell>
          <cell r="AP54">
            <v>0</v>
          </cell>
          <cell r="AR54">
            <v>0</v>
          </cell>
          <cell r="AT54">
            <v>7744.9089999999997</v>
          </cell>
          <cell r="AV54">
            <v>-7744.9089999999997</v>
          </cell>
          <cell r="AX54">
            <v>0</v>
          </cell>
          <cell r="AY54">
            <v>0</v>
          </cell>
          <cell r="BA54" t="str">
            <v xml:space="preserve">total </v>
          </cell>
          <cell r="BC54">
            <v>-1713.3559999999998</v>
          </cell>
          <cell r="BE54">
            <v>0</v>
          </cell>
          <cell r="BG54">
            <v>6822</v>
          </cell>
          <cell r="BI54">
            <v>5108.6440000000002</v>
          </cell>
          <cell r="BO54">
            <v>0</v>
          </cell>
          <cell r="BQ54">
            <v>0</v>
          </cell>
          <cell r="BS54">
            <v>0</v>
          </cell>
          <cell r="BU54">
            <v>0</v>
          </cell>
          <cell r="BX54">
            <v>0</v>
          </cell>
          <cell r="BZ54">
            <v>0</v>
          </cell>
          <cell r="CB54">
            <v>0</v>
          </cell>
          <cell r="CD54">
            <v>0</v>
          </cell>
          <cell r="CF54">
            <v>0</v>
          </cell>
          <cell r="CH54">
            <v>0</v>
          </cell>
          <cell r="CJ54">
            <v>0</v>
          </cell>
          <cell r="CL54">
            <v>0</v>
          </cell>
          <cell r="CN54">
            <v>0</v>
          </cell>
          <cell r="CP54">
            <v>0</v>
          </cell>
          <cell r="CR54">
            <v>0</v>
          </cell>
          <cell r="CT54">
            <v>5108.6440000000002</v>
          </cell>
          <cell r="CV54">
            <v>-5108.6440000000002</v>
          </cell>
          <cell r="CX54">
            <v>0</v>
          </cell>
          <cell r="FC54">
            <v>32698.182928804708</v>
          </cell>
          <cell r="FE54">
            <v>1.2474000000038359</v>
          </cell>
          <cell r="FF54">
            <v>32699.430328804712</v>
          </cell>
          <cell r="FI54">
            <v>0</v>
          </cell>
          <cell r="FM54">
            <v>0</v>
          </cell>
          <cell r="FN54">
            <v>0</v>
          </cell>
          <cell r="FO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32699.430328804712</v>
          </cell>
          <cell r="FU54">
            <v>-32699.430328804712</v>
          </cell>
          <cell r="FV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 t="e">
            <v>#DIV/0!</v>
          </cell>
          <cell r="GG54">
            <v>0</v>
          </cell>
          <cell r="GH54">
            <v>0</v>
          </cell>
        </row>
        <row r="55">
          <cell r="A55" t="str">
            <v>TELEM-shares</v>
          </cell>
          <cell r="B55">
            <v>0.67449999999999999</v>
          </cell>
          <cell r="AD55">
            <v>0</v>
          </cell>
          <cell r="AJ55">
            <v>0</v>
          </cell>
          <cell r="AP55">
            <v>0</v>
          </cell>
          <cell r="AT55">
            <v>0</v>
          </cell>
          <cell r="AV55">
            <v>0</v>
          </cell>
          <cell r="AX55">
            <v>0</v>
          </cell>
          <cell r="AY55">
            <v>0</v>
          </cell>
          <cell r="AZ55" t="str">
            <v>TELEM-shares</v>
          </cell>
          <cell r="BA55">
            <v>0.67449999999999999</v>
          </cell>
          <cell r="BG55">
            <v>0</v>
          </cell>
          <cell r="BI55">
            <v>0</v>
          </cell>
          <cell r="BX55">
            <v>0</v>
          </cell>
          <cell r="CD55">
            <v>0</v>
          </cell>
          <cell r="CH55">
            <v>0</v>
          </cell>
          <cell r="CJ55">
            <v>0</v>
          </cell>
          <cell r="CP55">
            <v>0</v>
          </cell>
          <cell r="CT55">
            <v>0</v>
          </cell>
          <cell r="CV55">
            <v>0</v>
          </cell>
          <cell r="CX55">
            <v>0</v>
          </cell>
          <cell r="FN55">
            <v>0</v>
          </cell>
          <cell r="FO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 t="str">
            <v>TELEM-shares</v>
          </cell>
          <cell r="FX55">
            <v>0</v>
          </cell>
          <cell r="FY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 t="e">
            <v>#DIV/0!</v>
          </cell>
          <cell r="GG55">
            <v>0</v>
          </cell>
          <cell r="GH55">
            <v>0</v>
          </cell>
        </row>
        <row r="56">
          <cell r="A56" t="str">
            <v xml:space="preserve"> long term loans</v>
          </cell>
          <cell r="C56">
            <v>909.452</v>
          </cell>
          <cell r="I56">
            <v>909.452</v>
          </cell>
          <cell r="U56">
            <v>0</v>
          </cell>
          <cell r="AD56">
            <v>0</v>
          </cell>
          <cell r="AH56">
            <v>0</v>
          </cell>
          <cell r="AJ56">
            <v>0</v>
          </cell>
          <cell r="AN56">
            <v>0</v>
          </cell>
          <cell r="AP56">
            <v>0</v>
          </cell>
          <cell r="AT56">
            <v>909.452</v>
          </cell>
          <cell r="AV56">
            <v>-909.452</v>
          </cell>
          <cell r="AX56">
            <v>0</v>
          </cell>
          <cell r="AY56">
            <v>0</v>
          </cell>
          <cell r="AZ56" t="str">
            <v xml:space="preserve"> long term loans</v>
          </cell>
          <cell r="BC56">
            <v>3783.3209999999999</v>
          </cell>
          <cell r="BI56">
            <v>3783.3209999999999</v>
          </cell>
          <cell r="BU56">
            <v>0</v>
          </cell>
          <cell r="BX56">
            <v>0</v>
          </cell>
          <cell r="CD56">
            <v>0</v>
          </cell>
          <cell r="CH56">
            <v>0</v>
          </cell>
          <cell r="CJ56">
            <v>0</v>
          </cell>
          <cell r="CN56">
            <v>0</v>
          </cell>
          <cell r="CP56">
            <v>0</v>
          </cell>
          <cell r="CT56">
            <v>3783.3209999999999</v>
          </cell>
          <cell r="CV56">
            <v>-3783.3209999999999</v>
          </cell>
          <cell r="CX56">
            <v>0</v>
          </cell>
          <cell r="FC56">
            <v>3783.3209999999999</v>
          </cell>
          <cell r="FF56">
            <v>3783.3209999999999</v>
          </cell>
          <cell r="FN56">
            <v>0</v>
          </cell>
          <cell r="FO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3783.3209999999999</v>
          </cell>
          <cell r="FU56">
            <v>-3783.3209999999999</v>
          </cell>
          <cell r="FV56">
            <v>0</v>
          </cell>
          <cell r="FW56" t="str">
            <v xml:space="preserve"> long term loans</v>
          </cell>
          <cell r="FX56">
            <v>0</v>
          </cell>
          <cell r="FY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 t="e">
            <v>#DIV/0!</v>
          </cell>
          <cell r="GG56">
            <v>0</v>
          </cell>
          <cell r="GH56">
            <v>0</v>
          </cell>
        </row>
        <row r="57">
          <cell r="A57" t="str">
            <v xml:space="preserve"> accumulated profit</v>
          </cell>
          <cell r="AD57">
            <v>0</v>
          </cell>
          <cell r="AF57">
            <v>8569.1759999999995</v>
          </cell>
          <cell r="AH57">
            <v>-4927.4849999999997</v>
          </cell>
          <cell r="AJ57">
            <v>3641.6909999999998</v>
          </cell>
          <cell r="AN57">
            <v>-3641.6909999999998</v>
          </cell>
          <cell r="AP57">
            <v>0</v>
          </cell>
          <cell r="AT57">
            <v>0</v>
          </cell>
          <cell r="AX57">
            <v>0</v>
          </cell>
          <cell r="AY57">
            <v>0</v>
          </cell>
          <cell r="AZ57" t="str">
            <v xml:space="preserve"> accumulated profit</v>
          </cell>
          <cell r="BI57">
            <v>0</v>
          </cell>
          <cell r="BU57">
            <v>0</v>
          </cell>
          <cell r="BX57">
            <v>0</v>
          </cell>
          <cell r="CD57">
            <v>0</v>
          </cell>
          <cell r="CF57">
            <v>4915.79</v>
          </cell>
          <cell r="CH57">
            <v>-20572</v>
          </cell>
          <cell r="CJ57">
            <v>-15656.21</v>
          </cell>
          <cell r="CN57">
            <v>15656.21</v>
          </cell>
          <cell r="CP57">
            <v>0</v>
          </cell>
          <cell r="CT57">
            <v>0</v>
          </cell>
          <cell r="CX57">
            <v>0</v>
          </cell>
          <cell r="FF57">
            <v>0</v>
          </cell>
          <cell r="FN57">
            <v>0</v>
          </cell>
          <cell r="FO57">
            <v>21517.448000000004</v>
          </cell>
          <cell r="FQ57">
            <v>-21517.448000000004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 t="str">
            <v xml:space="preserve"> accumulated profit</v>
          </cell>
          <cell r="FX57">
            <v>0</v>
          </cell>
          <cell r="FY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 t="e">
            <v>#DIV/0!</v>
          </cell>
          <cell r="GG57">
            <v>0</v>
          </cell>
          <cell r="GH57">
            <v>0</v>
          </cell>
          <cell r="HI57">
            <v>159.30000000000001</v>
          </cell>
          <cell r="HJ57">
            <v>153.1</v>
          </cell>
          <cell r="HK57">
            <v>129.4</v>
          </cell>
        </row>
        <row r="58">
          <cell r="A58" t="str">
            <v xml:space="preserve"> profit-(equity method)</v>
          </cell>
          <cell r="AD58">
            <v>0</v>
          </cell>
          <cell r="AH58">
            <v>7257</v>
          </cell>
          <cell r="AJ58">
            <v>7257</v>
          </cell>
          <cell r="AN58">
            <v>-7257</v>
          </cell>
          <cell r="AP58">
            <v>0</v>
          </cell>
          <cell r="AT58">
            <v>0</v>
          </cell>
          <cell r="AX58">
            <v>0</v>
          </cell>
          <cell r="AY58">
            <v>0</v>
          </cell>
          <cell r="AZ58" t="str">
            <v xml:space="preserve"> profit-(equity method)</v>
          </cell>
          <cell r="BI58">
            <v>0</v>
          </cell>
          <cell r="BU58">
            <v>0</v>
          </cell>
          <cell r="BX58">
            <v>0</v>
          </cell>
          <cell r="CD58">
            <v>0</v>
          </cell>
          <cell r="CH58">
            <v>22520.205999999998</v>
          </cell>
          <cell r="CJ58">
            <v>22520.205999999998</v>
          </cell>
          <cell r="CN58">
            <v>-22520.205999999998</v>
          </cell>
          <cell r="CP58">
            <v>0</v>
          </cell>
          <cell r="CT58">
            <v>0</v>
          </cell>
          <cell r="CX58">
            <v>0</v>
          </cell>
          <cell r="FF58">
            <v>0</v>
          </cell>
          <cell r="FN58">
            <v>0</v>
          </cell>
          <cell r="FO58">
            <v>24478.456219</v>
          </cell>
          <cell r="FQ58">
            <v>-24478.456219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 t="str">
            <v xml:space="preserve"> profit-(equity method)</v>
          </cell>
          <cell r="FX58">
            <v>0</v>
          </cell>
          <cell r="FY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 t="e">
            <v>#DIV/0!</v>
          </cell>
          <cell r="GG58">
            <v>0</v>
          </cell>
          <cell r="GH58">
            <v>0</v>
          </cell>
        </row>
        <row r="59">
          <cell r="A59" t="str">
            <v xml:space="preserve"> goodwill</v>
          </cell>
          <cell r="AD59">
            <v>0</v>
          </cell>
          <cell r="AF59">
            <v>87.563000000000002</v>
          </cell>
          <cell r="AJ59">
            <v>87.563000000000002</v>
          </cell>
          <cell r="AP59">
            <v>87.563000000000002</v>
          </cell>
          <cell r="AT59">
            <v>87.563000000000002</v>
          </cell>
          <cell r="AV59">
            <v>-87.563000000000002</v>
          </cell>
          <cell r="AX59">
            <v>0</v>
          </cell>
          <cell r="AY59">
            <v>0</v>
          </cell>
          <cell r="AZ59" t="str">
            <v xml:space="preserve"> goodwill</v>
          </cell>
          <cell r="BU59">
            <v>0</v>
          </cell>
          <cell r="BX59">
            <v>0</v>
          </cell>
          <cell r="CD59">
            <v>0</v>
          </cell>
          <cell r="CF59">
            <v>203.32400000000001</v>
          </cell>
          <cell r="CJ59">
            <v>203.32400000000001</v>
          </cell>
          <cell r="CP59">
            <v>203.32400000000001</v>
          </cell>
          <cell r="CT59">
            <v>203.32400000000001</v>
          </cell>
          <cell r="CV59">
            <v>-203.32400000000001</v>
          </cell>
          <cell r="CX59">
            <v>0</v>
          </cell>
          <cell r="FF59">
            <v>0</v>
          </cell>
          <cell r="FN59">
            <v>0</v>
          </cell>
          <cell r="FO59">
            <v>383.92899999999997</v>
          </cell>
          <cell r="FR59">
            <v>383.92899999999997</v>
          </cell>
          <cell r="FS59">
            <v>0</v>
          </cell>
          <cell r="FT59">
            <v>383.92899999999997</v>
          </cell>
          <cell r="FU59">
            <v>-383.92899999999997</v>
          </cell>
          <cell r="FV59">
            <v>0</v>
          </cell>
          <cell r="FW59" t="str">
            <v xml:space="preserve"> goodwill</v>
          </cell>
          <cell r="FX59">
            <v>0</v>
          </cell>
          <cell r="FY59">
            <v>383.92899999999997</v>
          </cell>
          <cell r="FZ59">
            <v>-383.92899999999997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 t="e">
            <v>#DIV/0!</v>
          </cell>
          <cell r="GG59">
            <v>508.35009797517972</v>
          </cell>
          <cell r="GH59">
            <v>0</v>
          </cell>
        </row>
        <row r="60">
          <cell r="B60" t="str">
            <v xml:space="preserve">total </v>
          </cell>
          <cell r="C60">
            <v>909.452</v>
          </cell>
          <cell r="E60">
            <v>0</v>
          </cell>
          <cell r="G60">
            <v>0</v>
          </cell>
          <cell r="I60">
            <v>909.452</v>
          </cell>
          <cell r="M60">
            <v>0</v>
          </cell>
          <cell r="O60">
            <v>0</v>
          </cell>
          <cell r="Q60">
            <v>0</v>
          </cell>
          <cell r="S60">
            <v>0</v>
          </cell>
          <cell r="U60">
            <v>0</v>
          </cell>
          <cell r="Z60">
            <v>0</v>
          </cell>
          <cell r="AB60">
            <v>0</v>
          </cell>
          <cell r="AD60">
            <v>0</v>
          </cell>
          <cell r="AF60">
            <v>8656.7389999999996</v>
          </cell>
          <cell r="AH60">
            <v>2329.5149999999999</v>
          </cell>
          <cell r="AJ60">
            <v>10986.253999999999</v>
          </cell>
          <cell r="AN60">
            <v>-10898.690999999999</v>
          </cell>
          <cell r="AP60">
            <v>87.563000000000002</v>
          </cell>
          <cell r="AR60">
            <v>0</v>
          </cell>
          <cell r="AT60">
            <v>997.01499999999999</v>
          </cell>
          <cell r="AV60">
            <v>-997.01499999999999</v>
          </cell>
          <cell r="AX60">
            <v>0</v>
          </cell>
          <cell r="AY60">
            <v>0</v>
          </cell>
          <cell r="BA60" t="str">
            <v xml:space="preserve">total </v>
          </cell>
          <cell r="BC60">
            <v>3783.3209999999999</v>
          </cell>
          <cell r="BE60">
            <v>0</v>
          </cell>
          <cell r="BG60">
            <v>0</v>
          </cell>
          <cell r="BI60">
            <v>3783.3209999999999</v>
          </cell>
          <cell r="BO60">
            <v>0</v>
          </cell>
          <cell r="BQ60">
            <v>0</v>
          </cell>
          <cell r="BS60">
            <v>0</v>
          </cell>
          <cell r="BU60">
            <v>0</v>
          </cell>
          <cell r="BX60">
            <v>0</v>
          </cell>
          <cell r="BZ60">
            <v>0</v>
          </cell>
          <cell r="CB60">
            <v>0</v>
          </cell>
          <cell r="CD60">
            <v>0</v>
          </cell>
          <cell r="CF60">
            <v>5119.1140000000005</v>
          </cell>
          <cell r="CH60">
            <v>1948.2059999999983</v>
          </cell>
          <cell r="CJ60">
            <v>7067.32</v>
          </cell>
          <cell r="CL60">
            <v>0</v>
          </cell>
          <cell r="CN60">
            <v>-6863.9959999999992</v>
          </cell>
          <cell r="CP60">
            <v>203.32400000000001</v>
          </cell>
          <cell r="CR60">
            <v>0</v>
          </cell>
          <cell r="CT60">
            <v>3986.645</v>
          </cell>
          <cell r="CV60">
            <v>-3986.645</v>
          </cell>
          <cell r="CX60">
            <v>0</v>
          </cell>
          <cell r="FC60">
            <v>3783.3209999999999</v>
          </cell>
          <cell r="FE60">
            <v>0</v>
          </cell>
          <cell r="FF60">
            <v>3783.3209999999999</v>
          </cell>
          <cell r="FI60">
            <v>0</v>
          </cell>
          <cell r="FM60">
            <v>0</v>
          </cell>
          <cell r="FN60">
            <v>0</v>
          </cell>
          <cell r="FO60">
            <v>46379.833219</v>
          </cell>
          <cell r="FQ60">
            <v>-45995.904219000004</v>
          </cell>
          <cell r="FR60">
            <v>383.92899999999645</v>
          </cell>
          <cell r="FS60">
            <v>0</v>
          </cell>
          <cell r="FT60">
            <v>4167.25</v>
          </cell>
          <cell r="FU60">
            <v>-4167.25</v>
          </cell>
          <cell r="FV60">
            <v>0</v>
          </cell>
          <cell r="FX60">
            <v>0</v>
          </cell>
          <cell r="FY60">
            <v>383.92899999999997</v>
          </cell>
          <cell r="FZ60">
            <v>-383.92899999999997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 t="e">
            <v>#DIV/0!</v>
          </cell>
          <cell r="GG60">
            <v>508.35009797517972</v>
          </cell>
          <cell r="GH60">
            <v>0</v>
          </cell>
        </row>
        <row r="61">
          <cell r="A61" t="str">
            <v>EDOM-shares</v>
          </cell>
          <cell r="B61">
            <v>0.7</v>
          </cell>
          <cell r="Q61">
            <v>0.22800000000000001</v>
          </cell>
          <cell r="U61">
            <v>0.22800000000000001</v>
          </cell>
          <cell r="AD61">
            <v>0.22800000000000001</v>
          </cell>
          <cell r="AJ61">
            <v>0</v>
          </cell>
          <cell r="AP61">
            <v>0</v>
          </cell>
          <cell r="AT61">
            <v>0.22800000000000001</v>
          </cell>
          <cell r="AX61">
            <v>0.22800000000000001</v>
          </cell>
          <cell r="AY61">
            <v>0</v>
          </cell>
          <cell r="AZ61" t="str">
            <v>EDOM-shares</v>
          </cell>
          <cell r="BA61">
            <v>0.7</v>
          </cell>
          <cell r="BQ61">
            <v>0.7</v>
          </cell>
          <cell r="BU61">
            <v>0.7</v>
          </cell>
          <cell r="BX61">
            <v>0</v>
          </cell>
          <cell r="CB61">
            <v>-0.7</v>
          </cell>
          <cell r="CD61">
            <v>0</v>
          </cell>
          <cell r="CT61">
            <v>0</v>
          </cell>
          <cell r="CX61">
            <v>0</v>
          </cell>
          <cell r="FI61">
            <v>0.86099999999999999</v>
          </cell>
          <cell r="FM61">
            <v>-0.86099999999999999</v>
          </cell>
          <cell r="FN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 t="str">
            <v>EDOM-shares</v>
          </cell>
          <cell r="FX61">
            <v>0</v>
          </cell>
          <cell r="FY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</row>
        <row r="62">
          <cell r="A62" t="str">
            <v xml:space="preserve"> long term loans</v>
          </cell>
          <cell r="Q62">
            <v>1233.5160000000001</v>
          </cell>
          <cell r="S62">
            <v>-186.898</v>
          </cell>
          <cell r="U62">
            <v>1046.6180000000002</v>
          </cell>
          <cell r="AB62">
            <v>-1046.6180000000002</v>
          </cell>
          <cell r="AD62">
            <v>0</v>
          </cell>
          <cell r="AJ62">
            <v>0</v>
          </cell>
          <cell r="AP62">
            <v>0</v>
          </cell>
          <cell r="AT62">
            <v>0</v>
          </cell>
          <cell r="AX62">
            <v>0</v>
          </cell>
          <cell r="AY62">
            <v>0</v>
          </cell>
          <cell r="AZ62" t="str">
            <v xml:space="preserve"> long term loans</v>
          </cell>
          <cell r="BQ62">
            <v>4353.9319999999998</v>
          </cell>
          <cell r="BU62">
            <v>4353.9319999999998</v>
          </cell>
          <cell r="BX62">
            <v>0</v>
          </cell>
          <cell r="CB62">
            <v>-4353.9319999999998</v>
          </cell>
          <cell r="CD62">
            <v>0</v>
          </cell>
          <cell r="CT62">
            <v>0</v>
          </cell>
          <cell r="CX62">
            <v>0</v>
          </cell>
          <cell r="FF62">
            <v>0</v>
          </cell>
          <cell r="FI62">
            <v>4352.9319999999998</v>
          </cell>
          <cell r="FM62">
            <v>-4352.9319999999998</v>
          </cell>
          <cell r="FN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 t="str">
            <v xml:space="preserve"> long term loans</v>
          </cell>
          <cell r="FX62">
            <v>0</v>
          </cell>
          <cell r="FY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 t="e">
            <v>#DIV/0!</v>
          </cell>
          <cell r="GG62">
            <v>0</v>
          </cell>
          <cell r="GH62">
            <v>0</v>
          </cell>
          <cell r="GT62" t="str">
            <v xml:space="preserve">דוח דולר  </v>
          </cell>
        </row>
        <row r="63">
          <cell r="A63" t="str">
            <v xml:space="preserve"> accumulated profit</v>
          </cell>
          <cell r="Q63">
            <v>120</v>
          </cell>
          <cell r="U63">
            <v>120</v>
          </cell>
          <cell r="AB63">
            <v>-120</v>
          </cell>
          <cell r="AD63">
            <v>0</v>
          </cell>
          <cell r="AJ63">
            <v>0</v>
          </cell>
          <cell r="AP63">
            <v>0</v>
          </cell>
          <cell r="AT63">
            <v>0</v>
          </cell>
          <cell r="AX63">
            <v>0</v>
          </cell>
          <cell r="AY63">
            <v>0</v>
          </cell>
          <cell r="AZ63" t="str">
            <v xml:space="preserve"> accumulated profit</v>
          </cell>
          <cell r="BQ63">
            <v>103.145</v>
          </cell>
          <cell r="BU63">
            <v>103.145</v>
          </cell>
          <cell r="BX63">
            <v>0</v>
          </cell>
          <cell r="CB63">
            <v>-103.145</v>
          </cell>
          <cell r="CD63">
            <v>0</v>
          </cell>
          <cell r="CT63">
            <v>0</v>
          </cell>
          <cell r="CX63">
            <v>0</v>
          </cell>
          <cell r="FF63">
            <v>0</v>
          </cell>
          <cell r="FI63">
            <v>438.38400000000001</v>
          </cell>
          <cell r="FM63">
            <v>-438.38400000000001</v>
          </cell>
          <cell r="FN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 t="str">
            <v xml:space="preserve"> accumulated profit</v>
          </cell>
          <cell r="FX63">
            <v>0</v>
          </cell>
          <cell r="FY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 t="e">
            <v>#DIV/0!</v>
          </cell>
          <cell r="GG63">
            <v>0</v>
          </cell>
          <cell r="GH63">
            <v>0</v>
          </cell>
        </row>
        <row r="64">
          <cell r="A64" t="str">
            <v xml:space="preserve"> profit-(equity method)</v>
          </cell>
          <cell r="Q64">
            <v>165.3738153846154</v>
          </cell>
          <cell r="U64">
            <v>165.3738153846154</v>
          </cell>
          <cell r="AB64">
            <v>-165.3738153846154</v>
          </cell>
          <cell r="AD64">
            <v>0</v>
          </cell>
          <cell r="AJ64">
            <v>0</v>
          </cell>
          <cell r="AP64">
            <v>0</v>
          </cell>
          <cell r="AT64">
            <v>0</v>
          </cell>
          <cell r="AX64">
            <v>0</v>
          </cell>
          <cell r="AY64">
            <v>0</v>
          </cell>
          <cell r="AZ64" t="str">
            <v xml:space="preserve"> profit-(equity method)</v>
          </cell>
          <cell r="BQ64">
            <v>436</v>
          </cell>
          <cell r="BU64">
            <v>436</v>
          </cell>
          <cell r="BX64">
            <v>0</v>
          </cell>
          <cell r="CB64">
            <v>-436</v>
          </cell>
          <cell r="CD64">
            <v>0</v>
          </cell>
          <cell r="CT64">
            <v>0</v>
          </cell>
          <cell r="CX64">
            <v>0</v>
          </cell>
          <cell r="FF64">
            <v>0</v>
          </cell>
          <cell r="FI64">
            <v>546</v>
          </cell>
          <cell r="FM64">
            <v>-546</v>
          </cell>
          <cell r="FN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 t="str">
            <v xml:space="preserve"> profit-(equity method)</v>
          </cell>
          <cell r="FX64">
            <v>0</v>
          </cell>
          <cell r="FY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 t="e">
            <v>#DIV/0!</v>
          </cell>
          <cell r="GG64">
            <v>0</v>
          </cell>
          <cell r="GH64">
            <v>0</v>
          </cell>
          <cell r="HD64" t="str">
            <v xml:space="preserve"> דוח  מותאם למדד</v>
          </cell>
        </row>
        <row r="65">
          <cell r="C65">
            <v>0</v>
          </cell>
          <cell r="E65">
            <v>0</v>
          </cell>
          <cell r="G65">
            <v>0</v>
          </cell>
          <cell r="I65">
            <v>0</v>
          </cell>
          <cell r="M65">
            <v>0</v>
          </cell>
          <cell r="O65">
            <v>0</v>
          </cell>
          <cell r="Q65">
            <v>1519.1178153846156</v>
          </cell>
          <cell r="S65">
            <v>-186.898</v>
          </cell>
          <cell r="U65">
            <v>1332.2198153846157</v>
          </cell>
          <cell r="Z65">
            <v>0</v>
          </cell>
          <cell r="AB65">
            <v>-1331.9918153846156</v>
          </cell>
          <cell r="AD65">
            <v>0.22800000000000001</v>
          </cell>
          <cell r="AF65">
            <v>0</v>
          </cell>
          <cell r="AH65">
            <v>0</v>
          </cell>
          <cell r="AJ65">
            <v>0</v>
          </cell>
          <cell r="AL65">
            <v>0</v>
          </cell>
          <cell r="AN65">
            <v>0</v>
          </cell>
          <cell r="AP65">
            <v>0</v>
          </cell>
          <cell r="AR65">
            <v>0</v>
          </cell>
          <cell r="AT65">
            <v>0.22800000000000001</v>
          </cell>
          <cell r="AV65">
            <v>0</v>
          </cell>
          <cell r="AX65">
            <v>0.22800000000000001</v>
          </cell>
          <cell r="AY65">
            <v>0</v>
          </cell>
          <cell r="BC65">
            <v>0</v>
          </cell>
          <cell r="BE65">
            <v>0</v>
          </cell>
          <cell r="BG65">
            <v>0</v>
          </cell>
          <cell r="BI65">
            <v>0</v>
          </cell>
          <cell r="BO65">
            <v>0</v>
          </cell>
          <cell r="BQ65">
            <v>4893.777</v>
          </cell>
          <cell r="BS65">
            <v>0</v>
          </cell>
          <cell r="BU65">
            <v>4893.777</v>
          </cell>
          <cell r="BX65">
            <v>0</v>
          </cell>
          <cell r="BZ65">
            <v>0</v>
          </cell>
          <cell r="CB65">
            <v>-4893.777</v>
          </cell>
          <cell r="CD65">
            <v>0</v>
          </cell>
          <cell r="CF65">
            <v>0</v>
          </cell>
          <cell r="CH65">
            <v>0</v>
          </cell>
          <cell r="CJ65">
            <v>0</v>
          </cell>
          <cell r="CL65">
            <v>0</v>
          </cell>
          <cell r="CN65">
            <v>0</v>
          </cell>
          <cell r="CP65">
            <v>0</v>
          </cell>
          <cell r="CR65">
            <v>0</v>
          </cell>
          <cell r="CT65">
            <v>0</v>
          </cell>
          <cell r="CV65">
            <v>0</v>
          </cell>
          <cell r="CX65">
            <v>0</v>
          </cell>
          <cell r="FC65">
            <v>0</v>
          </cell>
          <cell r="FE65">
            <v>0</v>
          </cell>
          <cell r="FF65">
            <v>0</v>
          </cell>
          <cell r="FI65">
            <v>5338.1769999999997</v>
          </cell>
          <cell r="FM65">
            <v>-5338.1769999999997</v>
          </cell>
          <cell r="FN65">
            <v>0</v>
          </cell>
          <cell r="FO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</row>
        <row r="66">
          <cell r="FX66">
            <v>0</v>
          </cell>
          <cell r="FY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</row>
        <row r="67">
          <cell r="A67" t="str">
            <v>NETCOM</v>
          </cell>
          <cell r="B67">
            <v>0.5</v>
          </cell>
          <cell r="C67">
            <v>3585</v>
          </cell>
          <cell r="G67">
            <v>-1084.5</v>
          </cell>
          <cell r="I67">
            <v>2500.5</v>
          </cell>
          <cell r="U67">
            <v>0</v>
          </cell>
          <cell r="AD67">
            <v>0</v>
          </cell>
          <cell r="AJ67">
            <v>0</v>
          </cell>
          <cell r="AP67">
            <v>0</v>
          </cell>
          <cell r="AT67">
            <v>2500.5</v>
          </cell>
          <cell r="AV67">
            <v>-2500.5</v>
          </cell>
          <cell r="AX67">
            <v>0</v>
          </cell>
          <cell r="AY67">
            <v>0</v>
          </cell>
          <cell r="AZ67" t="str">
            <v>NETCOM</v>
          </cell>
          <cell r="BA67">
            <v>0.5</v>
          </cell>
          <cell r="BC67">
            <v>11703.468000000001</v>
          </cell>
          <cell r="BI67">
            <v>11703.468000000001</v>
          </cell>
          <cell r="BX67">
            <v>0</v>
          </cell>
          <cell r="CD67">
            <v>0</v>
          </cell>
          <cell r="CJ67">
            <v>0</v>
          </cell>
          <cell r="CP67">
            <v>0</v>
          </cell>
          <cell r="CT67">
            <v>11703.468000000001</v>
          </cell>
          <cell r="CV67">
            <v>-11703.468000000001</v>
          </cell>
          <cell r="CX67">
            <v>0</v>
          </cell>
          <cell r="FC67">
            <v>13899.247550620512</v>
          </cell>
          <cell r="FF67">
            <v>13899.247550620512</v>
          </cell>
          <cell r="FN67">
            <v>0</v>
          </cell>
          <cell r="FO67">
            <v>0</v>
          </cell>
          <cell r="FR67">
            <v>0</v>
          </cell>
          <cell r="FS67">
            <v>0</v>
          </cell>
          <cell r="FT67">
            <v>13899.247550620512</v>
          </cell>
          <cell r="FU67">
            <v>-13899.247550620512</v>
          </cell>
          <cell r="FV67">
            <v>0</v>
          </cell>
          <cell r="FW67" t="str">
            <v>NETCOM</v>
          </cell>
          <cell r="FX67">
            <v>0</v>
          </cell>
          <cell r="FY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 t="e">
            <v>#DIV/0!</v>
          </cell>
          <cell r="GG67">
            <v>0</v>
          </cell>
          <cell r="GH67">
            <v>0</v>
          </cell>
        </row>
        <row r="68">
          <cell r="A68" t="str">
            <v xml:space="preserve"> long term loans</v>
          </cell>
          <cell r="I68">
            <v>0</v>
          </cell>
          <cell r="U68">
            <v>0</v>
          </cell>
          <cell r="AD68">
            <v>0</v>
          </cell>
          <cell r="AJ68">
            <v>0</v>
          </cell>
          <cell r="AP68">
            <v>0</v>
          </cell>
          <cell r="AT68">
            <v>0</v>
          </cell>
          <cell r="AX68">
            <v>0</v>
          </cell>
          <cell r="AY68">
            <v>0</v>
          </cell>
          <cell r="AZ68" t="str">
            <v xml:space="preserve"> long term loans</v>
          </cell>
          <cell r="BI68">
            <v>0</v>
          </cell>
          <cell r="BX68">
            <v>0</v>
          </cell>
          <cell r="CD68">
            <v>0</v>
          </cell>
          <cell r="CJ68">
            <v>0</v>
          </cell>
          <cell r="CP68">
            <v>0</v>
          </cell>
          <cell r="CT68">
            <v>0</v>
          </cell>
          <cell r="CV68">
            <v>0</v>
          </cell>
          <cell r="CX68">
            <v>0</v>
          </cell>
          <cell r="FF68">
            <v>0</v>
          </cell>
          <cell r="FN68">
            <v>0</v>
          </cell>
          <cell r="FO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 t="str">
            <v xml:space="preserve"> long term loans</v>
          </cell>
          <cell r="FX68">
            <v>0</v>
          </cell>
          <cell r="FY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F68" t="e">
            <v>#DIV/0!</v>
          </cell>
          <cell r="GG68">
            <v>0</v>
          </cell>
          <cell r="GH68">
            <v>0</v>
          </cell>
        </row>
        <row r="69">
          <cell r="A69" t="str">
            <v xml:space="preserve"> accumulated loss</v>
          </cell>
          <cell r="C69">
            <v>-36</v>
          </cell>
          <cell r="G69">
            <v>1084.5</v>
          </cell>
          <cell r="I69">
            <v>1048.5</v>
          </cell>
          <cell r="U69">
            <v>0</v>
          </cell>
          <cell r="AD69">
            <v>0</v>
          </cell>
          <cell r="AJ69">
            <v>0</v>
          </cell>
          <cell r="AP69">
            <v>0</v>
          </cell>
          <cell r="AT69">
            <v>1048.5</v>
          </cell>
          <cell r="AV69">
            <v>-1048.5</v>
          </cell>
          <cell r="AX69">
            <v>0</v>
          </cell>
          <cell r="AY69">
            <v>0</v>
          </cell>
          <cell r="AZ69" t="str">
            <v xml:space="preserve"> accumulated loss</v>
          </cell>
          <cell r="BC69">
            <v>-328</v>
          </cell>
          <cell r="BI69">
            <v>-328</v>
          </cell>
          <cell r="BX69">
            <v>0</v>
          </cell>
          <cell r="CD69">
            <v>0</v>
          </cell>
          <cell r="CJ69">
            <v>0</v>
          </cell>
          <cell r="CP69">
            <v>0</v>
          </cell>
          <cell r="CT69">
            <v>-328</v>
          </cell>
          <cell r="CV69">
            <v>328</v>
          </cell>
          <cell r="CX69">
            <v>0</v>
          </cell>
          <cell r="FC69">
            <v>-268.29588504245595</v>
          </cell>
          <cell r="FF69">
            <v>-268.29588504245595</v>
          </cell>
          <cell r="FN69">
            <v>0</v>
          </cell>
          <cell r="FO69">
            <v>0</v>
          </cell>
          <cell r="FR69">
            <v>0</v>
          </cell>
          <cell r="FS69">
            <v>0</v>
          </cell>
          <cell r="FT69">
            <v>-268.29588504245595</v>
          </cell>
          <cell r="FU69">
            <v>268.29588504245595</v>
          </cell>
          <cell r="FV69">
            <v>0</v>
          </cell>
          <cell r="FW69" t="str">
            <v xml:space="preserve"> accumulated loss</v>
          </cell>
          <cell r="FX69">
            <v>0</v>
          </cell>
          <cell r="FY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 t="e">
            <v>#DIV/0!</v>
          </cell>
          <cell r="GG69">
            <v>0</v>
          </cell>
          <cell r="GH69">
            <v>0</v>
          </cell>
          <cell r="GW69" t="str">
            <v xml:space="preserve">    הכל</v>
          </cell>
        </row>
        <row r="70">
          <cell r="A70" t="str">
            <v xml:space="preserve"> loss-(equity method)</v>
          </cell>
          <cell r="C70">
            <v>-69.5</v>
          </cell>
          <cell r="G70">
            <v>2</v>
          </cell>
          <cell r="I70">
            <v>-67.5</v>
          </cell>
          <cell r="U70">
            <v>0</v>
          </cell>
          <cell r="AD70">
            <v>0</v>
          </cell>
          <cell r="AJ70">
            <v>0</v>
          </cell>
          <cell r="AP70">
            <v>0</v>
          </cell>
          <cell r="AT70">
            <v>-67.5</v>
          </cell>
          <cell r="AV70">
            <v>67.5</v>
          </cell>
          <cell r="AX70">
            <v>0</v>
          </cell>
          <cell r="AY70">
            <v>0</v>
          </cell>
          <cell r="AZ70" t="str">
            <v xml:space="preserve"> loss-(equity method)</v>
          </cell>
          <cell r="BC70">
            <v>1551</v>
          </cell>
          <cell r="BG70">
            <v>792.77499999999998</v>
          </cell>
          <cell r="BI70">
            <v>2343.7750000000001</v>
          </cell>
          <cell r="BX70">
            <v>0</v>
          </cell>
          <cell r="CD70">
            <v>0</v>
          </cell>
          <cell r="CJ70">
            <v>0</v>
          </cell>
          <cell r="CP70">
            <v>0</v>
          </cell>
          <cell r="CT70">
            <v>2343.7750000000001</v>
          </cell>
          <cell r="CV70">
            <v>-2343.7750000000001</v>
          </cell>
          <cell r="CX70">
            <v>0</v>
          </cell>
          <cell r="FC70">
            <v>603</v>
          </cell>
          <cell r="FE70">
            <v>0</v>
          </cell>
          <cell r="FF70">
            <v>603</v>
          </cell>
          <cell r="FN70">
            <v>0</v>
          </cell>
          <cell r="FO70">
            <v>0</v>
          </cell>
          <cell r="FR70">
            <v>0</v>
          </cell>
          <cell r="FS70">
            <v>0</v>
          </cell>
          <cell r="FT70">
            <v>603</v>
          </cell>
          <cell r="FU70">
            <v>-603</v>
          </cell>
          <cell r="FV70">
            <v>0</v>
          </cell>
          <cell r="FW70" t="str">
            <v xml:space="preserve"> loss-(equity method)</v>
          </cell>
          <cell r="FX70">
            <v>0</v>
          </cell>
          <cell r="FY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 t="e">
            <v>#DIV/0!</v>
          </cell>
          <cell r="GG70">
            <v>0</v>
          </cell>
          <cell r="GH70">
            <v>0</v>
          </cell>
        </row>
        <row r="71">
          <cell r="A71" t="str">
            <v xml:space="preserve"> goodwill</v>
          </cell>
          <cell r="C71">
            <v>1162</v>
          </cell>
          <cell r="I71">
            <v>1162</v>
          </cell>
          <cell r="U71">
            <v>0</v>
          </cell>
          <cell r="AD71">
            <v>0</v>
          </cell>
          <cell r="AJ71">
            <v>0</v>
          </cell>
          <cell r="AP71">
            <v>0</v>
          </cell>
          <cell r="AT71">
            <v>1162</v>
          </cell>
          <cell r="AV71">
            <v>-1162</v>
          </cell>
          <cell r="AX71">
            <v>0</v>
          </cell>
          <cell r="AY71">
            <v>0</v>
          </cell>
          <cell r="AZ71" t="str">
            <v xml:space="preserve"> goodwill</v>
          </cell>
          <cell r="BC71">
            <v>4413</v>
          </cell>
          <cell r="BI71">
            <v>4413</v>
          </cell>
          <cell r="BX71">
            <v>0</v>
          </cell>
          <cell r="CD71">
            <v>0</v>
          </cell>
          <cell r="CJ71">
            <v>0</v>
          </cell>
          <cell r="CP71">
            <v>0</v>
          </cell>
          <cell r="CT71">
            <v>4413</v>
          </cell>
          <cell r="CV71">
            <v>-4413</v>
          </cell>
          <cell r="CX71">
            <v>0</v>
          </cell>
          <cell r="FC71">
            <v>4228</v>
          </cell>
          <cell r="FF71">
            <v>4228</v>
          </cell>
          <cell r="FN71">
            <v>0</v>
          </cell>
          <cell r="FO71">
            <v>0</v>
          </cell>
          <cell r="FR71">
            <v>0</v>
          </cell>
          <cell r="FS71">
            <v>0</v>
          </cell>
          <cell r="FT71">
            <v>4228</v>
          </cell>
          <cell r="FU71">
            <v>-4228</v>
          </cell>
          <cell r="FV71">
            <v>0</v>
          </cell>
          <cell r="FW71" t="str">
            <v xml:space="preserve"> goodwill</v>
          </cell>
          <cell r="FX71">
            <v>0</v>
          </cell>
          <cell r="FY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0</v>
          </cell>
          <cell r="GF71" t="e">
            <v>#DIV/0!</v>
          </cell>
          <cell r="GG71">
            <v>4726.135205747878</v>
          </cell>
          <cell r="GH71">
            <v>0</v>
          </cell>
        </row>
        <row r="72">
          <cell r="A72" t="str">
            <v xml:space="preserve">total </v>
          </cell>
          <cell r="C72">
            <v>4641.5</v>
          </cell>
          <cell r="E72">
            <v>0</v>
          </cell>
          <cell r="G72">
            <v>2</v>
          </cell>
          <cell r="I72">
            <v>4643.5</v>
          </cell>
          <cell r="M72">
            <v>0</v>
          </cell>
          <cell r="O72">
            <v>0</v>
          </cell>
          <cell r="Q72">
            <v>0</v>
          </cell>
          <cell r="S72">
            <v>0</v>
          </cell>
          <cell r="U72">
            <v>0</v>
          </cell>
          <cell r="Z72">
            <v>0</v>
          </cell>
          <cell r="AB72">
            <v>0</v>
          </cell>
          <cell r="AD72">
            <v>0</v>
          </cell>
          <cell r="AF72">
            <v>0</v>
          </cell>
          <cell r="AH72">
            <v>0</v>
          </cell>
          <cell r="AJ72">
            <v>0</v>
          </cell>
          <cell r="AL72">
            <v>0</v>
          </cell>
          <cell r="AN72">
            <v>0</v>
          </cell>
          <cell r="AP72">
            <v>0</v>
          </cell>
          <cell r="AR72">
            <v>0</v>
          </cell>
          <cell r="AT72">
            <v>4643.5</v>
          </cell>
          <cell r="AV72">
            <v>-4643.5</v>
          </cell>
          <cell r="AX72">
            <v>0</v>
          </cell>
          <cell r="AY72">
            <v>0</v>
          </cell>
          <cell r="AZ72" t="str">
            <v xml:space="preserve">total </v>
          </cell>
          <cell r="BA72" t="str">
            <v xml:space="preserve">total </v>
          </cell>
          <cell r="BC72">
            <v>17339.468000000001</v>
          </cell>
          <cell r="BE72">
            <v>0</v>
          </cell>
          <cell r="BG72">
            <v>792.77499999999998</v>
          </cell>
          <cell r="BI72">
            <v>18132.243000000002</v>
          </cell>
          <cell r="BO72">
            <v>0</v>
          </cell>
          <cell r="BQ72">
            <v>0</v>
          </cell>
          <cell r="BS72">
            <v>0</v>
          </cell>
          <cell r="BU72">
            <v>0</v>
          </cell>
          <cell r="BX72">
            <v>0</v>
          </cell>
          <cell r="BZ72">
            <v>0</v>
          </cell>
          <cell r="CB72">
            <v>0</v>
          </cell>
          <cell r="CD72">
            <v>0</v>
          </cell>
          <cell r="CF72">
            <v>0</v>
          </cell>
          <cell r="CH72">
            <v>0</v>
          </cell>
          <cell r="CJ72">
            <v>0</v>
          </cell>
          <cell r="CL72">
            <v>0</v>
          </cell>
          <cell r="CN72">
            <v>0</v>
          </cell>
          <cell r="CP72">
            <v>0</v>
          </cell>
          <cell r="CR72">
            <v>0</v>
          </cell>
          <cell r="CT72">
            <v>18132.243000000002</v>
          </cell>
          <cell r="CV72">
            <v>-18132.243000000002</v>
          </cell>
          <cell r="CX72">
            <v>0</v>
          </cell>
          <cell r="FC72">
            <v>18461.951665578054</v>
          </cell>
          <cell r="FE72">
            <v>0</v>
          </cell>
          <cell r="FF72">
            <v>18461.951665578054</v>
          </cell>
          <cell r="FI72">
            <v>0</v>
          </cell>
          <cell r="FM72">
            <v>0</v>
          </cell>
          <cell r="FN72">
            <v>0</v>
          </cell>
          <cell r="FO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18461.951665578054</v>
          </cell>
          <cell r="FU72">
            <v>-18461.951665578054</v>
          </cell>
          <cell r="FV72">
            <v>0</v>
          </cell>
          <cell r="FW72" t="str">
            <v xml:space="preserve">total 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0</v>
          </cell>
          <cell r="GF72" t="e">
            <v>#DIV/0!</v>
          </cell>
          <cell r="GG72">
            <v>4726.135205747878</v>
          </cell>
          <cell r="GH72">
            <v>0</v>
          </cell>
        </row>
        <row r="73">
          <cell r="A73" t="str">
            <v>MADRICHE PNAI</v>
          </cell>
          <cell r="B73">
            <v>0.5</v>
          </cell>
          <cell r="C73">
            <v>-383.23</v>
          </cell>
          <cell r="I73">
            <v>-383.23</v>
          </cell>
          <cell r="U73">
            <v>0</v>
          </cell>
          <cell r="AD73">
            <v>0</v>
          </cell>
          <cell r="AJ73">
            <v>0</v>
          </cell>
          <cell r="AP73">
            <v>0</v>
          </cell>
          <cell r="AT73">
            <v>-383.23</v>
          </cell>
          <cell r="AV73">
            <v>383.23</v>
          </cell>
          <cell r="AX73">
            <v>0</v>
          </cell>
          <cell r="AY73">
            <v>0</v>
          </cell>
          <cell r="AZ73" t="str">
            <v>MADRICHE PNAI</v>
          </cell>
          <cell r="BA73">
            <v>0.5</v>
          </cell>
          <cell r="BC73">
            <v>-1458</v>
          </cell>
          <cell r="BI73">
            <v>-1458</v>
          </cell>
          <cell r="BX73">
            <v>0</v>
          </cell>
          <cell r="CD73">
            <v>0</v>
          </cell>
          <cell r="CJ73">
            <v>0</v>
          </cell>
          <cell r="CP73">
            <v>0</v>
          </cell>
          <cell r="CT73">
            <v>-1458</v>
          </cell>
          <cell r="CV73">
            <v>1458</v>
          </cell>
          <cell r="CX73">
            <v>0</v>
          </cell>
          <cell r="FC73">
            <v>-1515.7280000000001</v>
          </cell>
          <cell r="FF73">
            <v>-1515.7280000000001</v>
          </cell>
          <cell r="FN73">
            <v>0</v>
          </cell>
          <cell r="FO73">
            <v>0</v>
          </cell>
          <cell r="FR73">
            <v>0</v>
          </cell>
          <cell r="FS73">
            <v>0</v>
          </cell>
          <cell r="FT73">
            <v>-1515.7280000000001</v>
          </cell>
          <cell r="FU73">
            <v>1515.7280000000001</v>
          </cell>
          <cell r="FV73">
            <v>0</v>
          </cell>
          <cell r="FW73" t="str">
            <v>MADRICHE PNAI</v>
          </cell>
          <cell r="FX73">
            <v>0</v>
          </cell>
          <cell r="FY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 t="e">
            <v>#DIV/0!</v>
          </cell>
          <cell r="GG73">
            <v>0</v>
          </cell>
          <cell r="GH73">
            <v>0</v>
          </cell>
        </row>
        <row r="74">
          <cell r="A74" t="str">
            <v xml:space="preserve"> long term loans</v>
          </cell>
          <cell r="C74">
            <v>-5.5979999999999999</v>
          </cell>
          <cell r="I74">
            <v>-5.5979999999999999</v>
          </cell>
          <cell r="U74">
            <v>0</v>
          </cell>
          <cell r="AD74">
            <v>0</v>
          </cell>
          <cell r="AJ74">
            <v>0</v>
          </cell>
          <cell r="AP74">
            <v>0</v>
          </cell>
          <cell r="AT74">
            <v>-5.5979999999999999</v>
          </cell>
          <cell r="AV74">
            <v>5.5979999999999999</v>
          </cell>
          <cell r="AX74">
            <v>0</v>
          </cell>
          <cell r="AY74">
            <v>0</v>
          </cell>
          <cell r="AZ74" t="str">
            <v xml:space="preserve"> long term loans</v>
          </cell>
          <cell r="BC74">
            <v>-23.289000000000001</v>
          </cell>
          <cell r="BI74">
            <v>-23.289000000000001</v>
          </cell>
          <cell r="BX74">
            <v>0</v>
          </cell>
          <cell r="CD74">
            <v>0</v>
          </cell>
          <cell r="CJ74">
            <v>0</v>
          </cell>
          <cell r="CP74">
            <v>0</v>
          </cell>
          <cell r="CT74">
            <v>-23.289000000000001</v>
          </cell>
          <cell r="CV74">
            <v>23.289000000000001</v>
          </cell>
          <cell r="CX74">
            <v>0</v>
          </cell>
          <cell r="FC74">
            <v>-23.289000000000001</v>
          </cell>
          <cell r="FF74">
            <v>-23.289000000000001</v>
          </cell>
          <cell r="FN74">
            <v>0</v>
          </cell>
          <cell r="FO74">
            <v>0</v>
          </cell>
          <cell r="FR74">
            <v>0</v>
          </cell>
          <cell r="FS74">
            <v>0</v>
          </cell>
          <cell r="FT74">
            <v>-23.289000000000001</v>
          </cell>
          <cell r="FU74">
            <v>23.289000000000001</v>
          </cell>
          <cell r="FV74">
            <v>0</v>
          </cell>
          <cell r="FW74" t="str">
            <v xml:space="preserve"> long term loans</v>
          </cell>
          <cell r="FX74">
            <v>0</v>
          </cell>
          <cell r="FY74">
            <v>0</v>
          </cell>
          <cell r="GA74">
            <v>0</v>
          </cell>
          <cell r="GB74">
            <v>0</v>
          </cell>
          <cell r="GC74">
            <v>0</v>
          </cell>
          <cell r="GD74">
            <v>0</v>
          </cell>
          <cell r="GE74">
            <v>0</v>
          </cell>
          <cell r="GF74" t="e">
            <v>#DIV/0!</v>
          </cell>
          <cell r="GG74">
            <v>0</v>
          </cell>
          <cell r="GH74">
            <v>0</v>
          </cell>
        </row>
        <row r="75">
          <cell r="A75" t="str">
            <v xml:space="preserve"> accumulated profit</v>
          </cell>
          <cell r="C75">
            <v>243</v>
          </cell>
          <cell r="I75">
            <v>243</v>
          </cell>
          <cell r="U75">
            <v>0</v>
          </cell>
          <cell r="AD75">
            <v>0</v>
          </cell>
          <cell r="AJ75">
            <v>0</v>
          </cell>
          <cell r="AP75">
            <v>0</v>
          </cell>
          <cell r="AT75">
            <v>243</v>
          </cell>
          <cell r="AV75">
            <v>-243</v>
          </cell>
          <cell r="AX75">
            <v>0</v>
          </cell>
          <cell r="AY75">
            <v>0</v>
          </cell>
          <cell r="AZ75" t="str">
            <v xml:space="preserve"> accumulated profit</v>
          </cell>
          <cell r="BC75">
            <v>858</v>
          </cell>
          <cell r="BI75">
            <v>858</v>
          </cell>
          <cell r="BX75">
            <v>0</v>
          </cell>
          <cell r="CD75">
            <v>0</v>
          </cell>
          <cell r="CJ75">
            <v>0</v>
          </cell>
          <cell r="CP75">
            <v>0</v>
          </cell>
          <cell r="CT75">
            <v>858</v>
          </cell>
          <cell r="CV75">
            <v>-858</v>
          </cell>
          <cell r="CX75">
            <v>0</v>
          </cell>
          <cell r="FC75">
            <v>931.97517962116274</v>
          </cell>
          <cell r="FF75">
            <v>931.97517962116274</v>
          </cell>
          <cell r="FN75">
            <v>0</v>
          </cell>
          <cell r="FO75">
            <v>0</v>
          </cell>
          <cell r="FR75">
            <v>0</v>
          </cell>
          <cell r="FS75">
            <v>0</v>
          </cell>
          <cell r="FT75">
            <v>931.97517962116274</v>
          </cell>
          <cell r="FU75">
            <v>-931.97517962116274</v>
          </cell>
          <cell r="FV75">
            <v>0</v>
          </cell>
          <cell r="FW75" t="str">
            <v xml:space="preserve"> accumulated profit</v>
          </cell>
          <cell r="FX75">
            <v>0</v>
          </cell>
          <cell r="FY75">
            <v>0</v>
          </cell>
          <cell r="GA75">
            <v>0</v>
          </cell>
          <cell r="GB75">
            <v>0</v>
          </cell>
          <cell r="GC75">
            <v>0</v>
          </cell>
          <cell r="GD75">
            <v>0</v>
          </cell>
          <cell r="GE75">
            <v>0</v>
          </cell>
          <cell r="GF75" t="e">
            <v>#DIV/0!</v>
          </cell>
          <cell r="GG75">
            <v>0</v>
          </cell>
          <cell r="GH75">
            <v>0</v>
          </cell>
        </row>
        <row r="76">
          <cell r="A76" t="str">
            <v xml:space="preserve"> profit-(equity method)</v>
          </cell>
          <cell r="C76">
            <v>242.76400000000001</v>
          </cell>
          <cell r="G76">
            <v>0.26850961538445972</v>
          </cell>
          <cell r="I76">
            <v>243.03250961538447</v>
          </cell>
          <cell r="U76">
            <v>0</v>
          </cell>
          <cell r="AD76">
            <v>0</v>
          </cell>
          <cell r="AJ76">
            <v>0</v>
          </cell>
          <cell r="AP76">
            <v>0</v>
          </cell>
          <cell r="AT76">
            <v>243.03250961538447</v>
          </cell>
          <cell r="AV76">
            <v>-243.03250961538447</v>
          </cell>
          <cell r="AX76">
            <v>0</v>
          </cell>
          <cell r="AY76">
            <v>0</v>
          </cell>
          <cell r="AZ76" t="str">
            <v xml:space="preserve"> profit-(equity method)</v>
          </cell>
          <cell r="BC76">
            <v>1033.9590000000001</v>
          </cell>
          <cell r="BG76">
            <v>7.9999999995834514E-3</v>
          </cell>
          <cell r="BI76">
            <v>1033.9669999999996</v>
          </cell>
          <cell r="BX76">
            <v>0</v>
          </cell>
          <cell r="CD76">
            <v>0</v>
          </cell>
          <cell r="CJ76">
            <v>0</v>
          </cell>
          <cell r="CP76">
            <v>0</v>
          </cell>
          <cell r="CT76">
            <v>1033.9669999999996</v>
          </cell>
          <cell r="CV76">
            <v>-1033.9669999999996</v>
          </cell>
          <cell r="CX76">
            <v>0</v>
          </cell>
          <cell r="FC76">
            <v>1009.897</v>
          </cell>
          <cell r="FE76">
            <v>1.0000000005447873E-3</v>
          </cell>
          <cell r="FF76">
            <v>1009.8980000000006</v>
          </cell>
          <cell r="FN76">
            <v>0</v>
          </cell>
          <cell r="FO76">
            <v>0</v>
          </cell>
          <cell r="FR76">
            <v>0</v>
          </cell>
          <cell r="FS76">
            <v>0</v>
          </cell>
          <cell r="FT76">
            <v>1009.8980000000006</v>
          </cell>
          <cell r="FU76">
            <v>-1009.8980000000006</v>
          </cell>
          <cell r="FV76">
            <v>0</v>
          </cell>
          <cell r="FW76" t="str">
            <v xml:space="preserve"> profit-(equity method)</v>
          </cell>
          <cell r="FX76">
            <v>0</v>
          </cell>
          <cell r="FY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 t="e">
            <v>#DIV/0!</v>
          </cell>
          <cell r="GG76">
            <v>0</v>
          </cell>
          <cell r="GH76">
            <v>0</v>
          </cell>
        </row>
        <row r="77">
          <cell r="A77" t="str">
            <v xml:space="preserve"> goodwill</v>
          </cell>
          <cell r="I77">
            <v>0</v>
          </cell>
          <cell r="U77">
            <v>0</v>
          </cell>
          <cell r="AD77">
            <v>0</v>
          </cell>
          <cell r="AJ77">
            <v>0</v>
          </cell>
          <cell r="AP77">
            <v>0</v>
          </cell>
          <cell r="AT77">
            <v>0</v>
          </cell>
          <cell r="AX77">
            <v>0</v>
          </cell>
          <cell r="AY77">
            <v>0</v>
          </cell>
          <cell r="AZ77" t="str">
            <v xml:space="preserve"> goodwill</v>
          </cell>
          <cell r="BI77">
            <v>0</v>
          </cell>
          <cell r="BX77">
            <v>0</v>
          </cell>
          <cell r="CD77">
            <v>0</v>
          </cell>
          <cell r="CJ77">
            <v>0</v>
          </cell>
          <cell r="CP77">
            <v>0</v>
          </cell>
          <cell r="CT77">
            <v>0</v>
          </cell>
          <cell r="CX77">
            <v>0</v>
          </cell>
          <cell r="FN77">
            <v>0</v>
          </cell>
          <cell r="FO77">
            <v>0</v>
          </cell>
          <cell r="FR77">
            <v>0</v>
          </cell>
          <cell r="FS77">
            <v>0</v>
          </cell>
          <cell r="FT77">
            <v>0</v>
          </cell>
          <cell r="FV77">
            <v>0</v>
          </cell>
          <cell r="FW77" t="str">
            <v xml:space="preserve"> goodwill</v>
          </cell>
          <cell r="FX77">
            <v>0</v>
          </cell>
          <cell r="FY77">
            <v>0</v>
          </cell>
          <cell r="GA77">
            <v>0</v>
          </cell>
          <cell r="GB77">
            <v>0</v>
          </cell>
          <cell r="GC77">
            <v>0</v>
          </cell>
          <cell r="GD77">
            <v>0</v>
          </cell>
          <cell r="GE77">
            <v>0</v>
          </cell>
          <cell r="GF77" t="e">
            <v>#DIV/0!</v>
          </cell>
          <cell r="GG77">
            <v>0</v>
          </cell>
          <cell r="GH77">
            <v>0</v>
          </cell>
        </row>
        <row r="78">
          <cell r="B78" t="str">
            <v xml:space="preserve">total </v>
          </cell>
          <cell r="C78">
            <v>96.935999999999979</v>
          </cell>
          <cell r="E78">
            <v>0</v>
          </cell>
          <cell r="G78">
            <v>0.26850961538445972</v>
          </cell>
          <cell r="I78">
            <v>97.204509615384438</v>
          </cell>
          <cell r="M78">
            <v>0</v>
          </cell>
          <cell r="O78">
            <v>0</v>
          </cell>
          <cell r="Q78">
            <v>0</v>
          </cell>
          <cell r="S78">
            <v>0</v>
          </cell>
          <cell r="U78">
            <v>0</v>
          </cell>
          <cell r="Z78">
            <v>0</v>
          </cell>
          <cell r="AB78">
            <v>0</v>
          </cell>
          <cell r="AD78">
            <v>0</v>
          </cell>
          <cell r="AF78">
            <v>0</v>
          </cell>
          <cell r="AH78">
            <v>0</v>
          </cell>
          <cell r="AJ78">
            <v>0</v>
          </cell>
          <cell r="AL78">
            <v>0</v>
          </cell>
          <cell r="AN78">
            <v>0</v>
          </cell>
          <cell r="AP78">
            <v>0</v>
          </cell>
          <cell r="AR78">
            <v>0</v>
          </cell>
          <cell r="AT78">
            <v>97.204509615384438</v>
          </cell>
          <cell r="AV78">
            <v>-97.204509615384438</v>
          </cell>
          <cell r="AX78">
            <v>0</v>
          </cell>
          <cell r="AY78">
            <v>0</v>
          </cell>
          <cell r="BA78" t="str">
            <v xml:space="preserve">total </v>
          </cell>
          <cell r="BC78">
            <v>410.67</v>
          </cell>
          <cell r="BE78">
            <v>0</v>
          </cell>
          <cell r="BG78">
            <v>7.9999999995834514E-3</v>
          </cell>
          <cell r="BI78">
            <v>410.67799999999966</v>
          </cell>
          <cell r="BM78">
            <v>0</v>
          </cell>
          <cell r="BO78">
            <v>0</v>
          </cell>
          <cell r="BQ78">
            <v>0</v>
          </cell>
          <cell r="BS78">
            <v>0</v>
          </cell>
          <cell r="BU78">
            <v>0</v>
          </cell>
          <cell r="BX78">
            <v>0</v>
          </cell>
          <cell r="BZ78">
            <v>0</v>
          </cell>
          <cell r="CB78">
            <v>0</v>
          </cell>
          <cell r="CD78">
            <v>0</v>
          </cell>
          <cell r="CF78">
            <v>0</v>
          </cell>
          <cell r="CH78">
            <v>0</v>
          </cell>
          <cell r="CJ78">
            <v>0</v>
          </cell>
          <cell r="CL78">
            <v>0</v>
          </cell>
          <cell r="CN78">
            <v>0</v>
          </cell>
          <cell r="CP78">
            <v>0</v>
          </cell>
          <cell r="CR78">
            <v>0</v>
          </cell>
          <cell r="CT78">
            <v>410.67799999999966</v>
          </cell>
          <cell r="CV78">
            <v>-410.67799999999966</v>
          </cell>
          <cell r="CX78">
            <v>0</v>
          </cell>
          <cell r="FC78">
            <v>402.85517962116273</v>
          </cell>
          <cell r="FE78">
            <v>1.0000000005447873E-3</v>
          </cell>
          <cell r="FF78">
            <v>402.85617962116328</v>
          </cell>
          <cell r="FG78">
            <v>0</v>
          </cell>
          <cell r="FI78">
            <v>0</v>
          </cell>
          <cell r="FM78">
            <v>0</v>
          </cell>
          <cell r="FN78">
            <v>0</v>
          </cell>
          <cell r="FO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402.85617962116328</v>
          </cell>
          <cell r="FU78">
            <v>-402.85617962116328</v>
          </cell>
          <cell r="FV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  <cell r="GD78">
            <v>0</v>
          </cell>
          <cell r="GE78">
            <v>0</v>
          </cell>
          <cell r="GF78" t="e">
            <v>#DIV/0!</v>
          </cell>
          <cell r="GG78">
            <v>0</v>
          </cell>
          <cell r="GH78">
            <v>0</v>
          </cell>
        </row>
        <row r="79">
          <cell r="A79" t="str">
            <v>T.POWER</v>
          </cell>
          <cell r="B79">
            <v>0.33329999999999999</v>
          </cell>
          <cell r="C79">
            <v>2</v>
          </cell>
          <cell r="I79">
            <v>2</v>
          </cell>
          <cell r="AT79">
            <v>2</v>
          </cell>
          <cell r="AX79">
            <v>2</v>
          </cell>
          <cell r="AY79">
            <v>0</v>
          </cell>
          <cell r="AZ79" t="str">
            <v>T.POWER</v>
          </cell>
          <cell r="BA79">
            <v>0.33</v>
          </cell>
          <cell r="BC79">
            <v>1578.2</v>
          </cell>
          <cell r="BI79">
            <v>1578.2</v>
          </cell>
          <cell r="BX79">
            <v>0</v>
          </cell>
          <cell r="CD79">
            <v>0</v>
          </cell>
          <cell r="CT79">
            <v>1578.2</v>
          </cell>
          <cell r="CX79">
            <v>1578.2</v>
          </cell>
          <cell r="FC79">
            <v>1621.86</v>
          </cell>
          <cell r="FF79">
            <v>1621.86</v>
          </cell>
          <cell r="FN79">
            <v>0</v>
          </cell>
          <cell r="FR79">
            <v>0</v>
          </cell>
          <cell r="FS79">
            <v>0</v>
          </cell>
          <cell r="FT79">
            <v>1621.86</v>
          </cell>
          <cell r="FV79">
            <v>1621.86</v>
          </cell>
          <cell r="FW79" t="str">
            <v>T.POWER</v>
          </cell>
          <cell r="FX79">
            <v>0</v>
          </cell>
          <cell r="FY79">
            <v>0</v>
          </cell>
          <cell r="GA79">
            <v>0</v>
          </cell>
          <cell r="GB79">
            <v>0</v>
          </cell>
          <cell r="GC79">
            <v>1621.86</v>
          </cell>
          <cell r="GD79">
            <v>1643.6083331328921</v>
          </cell>
          <cell r="GE79">
            <v>1621.86</v>
          </cell>
          <cell r="GF79">
            <v>810.93</v>
          </cell>
          <cell r="GG79">
            <v>0</v>
          </cell>
          <cell r="GH79">
            <v>0</v>
          </cell>
        </row>
        <row r="80">
          <cell r="A80" t="str">
            <v xml:space="preserve"> long term loans</v>
          </cell>
          <cell r="C80">
            <v>95.183999999999997</v>
          </cell>
          <cell r="I80">
            <v>95.183999999999997</v>
          </cell>
          <cell r="AT80">
            <v>95.183999999999997</v>
          </cell>
          <cell r="AX80">
            <v>95.183999999999997</v>
          </cell>
          <cell r="AY80">
            <v>0</v>
          </cell>
          <cell r="AZ80" t="str">
            <v xml:space="preserve"> long term loans</v>
          </cell>
          <cell r="BC80">
            <v>395.96600000000001</v>
          </cell>
          <cell r="BI80">
            <v>395.96600000000001</v>
          </cell>
          <cell r="BX80">
            <v>0</v>
          </cell>
          <cell r="CD80">
            <v>0</v>
          </cell>
          <cell r="CT80">
            <v>395.96600000000001</v>
          </cell>
          <cell r="CX80">
            <v>395.96600000000001</v>
          </cell>
          <cell r="FC80">
            <v>395.96600000000001</v>
          </cell>
          <cell r="FF80">
            <v>395.96600000000001</v>
          </cell>
          <cell r="FN80">
            <v>0</v>
          </cell>
          <cell r="FR80">
            <v>0</v>
          </cell>
          <cell r="FS80">
            <v>0</v>
          </cell>
          <cell r="FT80">
            <v>395.96600000000001</v>
          </cell>
          <cell r="FV80">
            <v>395.96600000000001</v>
          </cell>
          <cell r="FW80" t="str">
            <v xml:space="preserve"> long term loans</v>
          </cell>
          <cell r="FX80">
            <v>0</v>
          </cell>
          <cell r="FY80">
            <v>0</v>
          </cell>
          <cell r="GA80">
            <v>0</v>
          </cell>
          <cell r="GB80">
            <v>0</v>
          </cell>
          <cell r="GC80">
            <v>395.96600000000001</v>
          </cell>
          <cell r="GD80">
            <v>401.27570643415515</v>
          </cell>
          <cell r="GE80">
            <v>395.96600000000001</v>
          </cell>
          <cell r="GF80">
            <v>4.1600058833417384</v>
          </cell>
          <cell r="GG80">
            <v>0</v>
          </cell>
          <cell r="GH80">
            <v>0</v>
          </cell>
        </row>
        <row r="81">
          <cell r="A81" t="str">
            <v xml:space="preserve"> accumulated profit</v>
          </cell>
          <cell r="I81">
            <v>0</v>
          </cell>
          <cell r="AT81">
            <v>0</v>
          </cell>
          <cell r="AX81">
            <v>0</v>
          </cell>
          <cell r="AY81">
            <v>0</v>
          </cell>
          <cell r="AZ81" t="str">
            <v xml:space="preserve"> accumulated profit</v>
          </cell>
          <cell r="BI81">
            <v>0</v>
          </cell>
          <cell r="BX81">
            <v>0</v>
          </cell>
          <cell r="CD81">
            <v>0</v>
          </cell>
          <cell r="CT81">
            <v>0</v>
          </cell>
          <cell r="CX81">
            <v>0</v>
          </cell>
          <cell r="FF81">
            <v>0</v>
          </cell>
          <cell r="FN81">
            <v>0</v>
          </cell>
          <cell r="FR81">
            <v>0</v>
          </cell>
          <cell r="FS81">
            <v>0</v>
          </cell>
          <cell r="FT81">
            <v>0</v>
          </cell>
          <cell r="FV81">
            <v>0</v>
          </cell>
          <cell r="FW81" t="str">
            <v xml:space="preserve"> accumulated profit</v>
          </cell>
          <cell r="FX81">
            <v>0</v>
          </cell>
          <cell r="FY81">
            <v>0</v>
          </cell>
          <cell r="GA81">
            <v>0</v>
          </cell>
          <cell r="GB81">
            <v>0</v>
          </cell>
          <cell r="GC81">
            <v>0</v>
          </cell>
          <cell r="GD81">
            <v>0</v>
          </cell>
          <cell r="GE81">
            <v>0</v>
          </cell>
          <cell r="GF81" t="e">
            <v>#DIV/0!</v>
          </cell>
          <cell r="GG81">
            <v>0</v>
          </cell>
          <cell r="GH81">
            <v>0</v>
          </cell>
        </row>
        <row r="82">
          <cell r="A82" t="str">
            <v xml:space="preserve"> profit-(equity method)</v>
          </cell>
          <cell r="C82">
            <v>-65</v>
          </cell>
          <cell r="G82">
            <v>-34.552999999999997</v>
          </cell>
          <cell r="I82">
            <v>-99.552999999999997</v>
          </cell>
          <cell r="AT82">
            <v>-99.552999999999997</v>
          </cell>
          <cell r="AX82">
            <v>-99.552999999999997</v>
          </cell>
          <cell r="AY82">
            <v>0</v>
          </cell>
          <cell r="AZ82" t="str">
            <v xml:space="preserve"> profit-(equity method)</v>
          </cell>
          <cell r="BG82">
            <v>-394.327</v>
          </cell>
          <cell r="BI82">
            <v>-394.327</v>
          </cell>
          <cell r="BX82">
            <v>0</v>
          </cell>
          <cell r="CD82">
            <v>0</v>
          </cell>
          <cell r="CT82">
            <v>-394.327</v>
          </cell>
          <cell r="CX82">
            <v>-394.327</v>
          </cell>
          <cell r="FC82">
            <v>-394.327</v>
          </cell>
          <cell r="FF82">
            <v>-394.327</v>
          </cell>
          <cell r="FN82">
            <v>0</v>
          </cell>
          <cell r="FR82">
            <v>0</v>
          </cell>
          <cell r="FS82">
            <v>0</v>
          </cell>
          <cell r="FT82">
            <v>-394.327</v>
          </cell>
          <cell r="FV82">
            <v>-394.327</v>
          </cell>
          <cell r="FW82" t="str">
            <v xml:space="preserve"> profit-(equity method)</v>
          </cell>
          <cell r="FX82">
            <v>0</v>
          </cell>
          <cell r="FY82">
            <v>0</v>
          </cell>
          <cell r="GA82">
            <v>0</v>
          </cell>
          <cell r="GB82">
            <v>0</v>
          </cell>
          <cell r="GC82">
            <v>-394.327</v>
          </cell>
          <cell r="GD82">
            <v>-399.61472826217681</v>
          </cell>
          <cell r="GE82">
            <v>-394.327</v>
          </cell>
          <cell r="GF82">
            <v>3.960975560756582</v>
          </cell>
          <cell r="GG82">
            <v>0</v>
          </cell>
          <cell r="GH82">
            <v>0</v>
          </cell>
        </row>
        <row r="83">
          <cell r="A83" t="str">
            <v xml:space="preserve"> goodwill</v>
          </cell>
          <cell r="C83">
            <v>398</v>
          </cell>
          <cell r="I83">
            <v>398</v>
          </cell>
          <cell r="AT83">
            <v>398</v>
          </cell>
          <cell r="AX83">
            <v>398</v>
          </cell>
          <cell r="AY83">
            <v>0</v>
          </cell>
          <cell r="AZ83" t="str">
            <v xml:space="preserve"> goodwill</v>
          </cell>
          <cell r="BX83">
            <v>0</v>
          </cell>
          <cell r="CD83">
            <v>0</v>
          </cell>
          <cell r="CT83">
            <v>0</v>
          </cell>
          <cell r="CX83">
            <v>0</v>
          </cell>
          <cell r="FN83">
            <v>0</v>
          </cell>
          <cell r="FR83">
            <v>0</v>
          </cell>
          <cell r="FS83">
            <v>0</v>
          </cell>
          <cell r="FT83">
            <v>0</v>
          </cell>
          <cell r="FV83">
            <v>0</v>
          </cell>
          <cell r="FW83" t="str">
            <v xml:space="preserve"> goodwill</v>
          </cell>
          <cell r="FX83">
            <v>0</v>
          </cell>
          <cell r="FY83">
            <v>0</v>
          </cell>
          <cell r="GA83">
            <v>0</v>
          </cell>
          <cell r="GB83">
            <v>0</v>
          </cell>
          <cell r="GC83">
            <v>0</v>
          </cell>
          <cell r="GD83">
            <v>0</v>
          </cell>
          <cell r="GE83">
            <v>0</v>
          </cell>
          <cell r="GF83">
            <v>0</v>
          </cell>
          <cell r="GG83">
            <v>0</v>
          </cell>
          <cell r="GH83">
            <v>0</v>
          </cell>
        </row>
        <row r="84">
          <cell r="B84" t="str">
            <v xml:space="preserve">total </v>
          </cell>
          <cell r="C84">
            <v>430.18399999999997</v>
          </cell>
          <cell r="E84">
            <v>0</v>
          </cell>
          <cell r="G84">
            <v>-34.552999999999997</v>
          </cell>
          <cell r="I84">
            <v>395.63099999999997</v>
          </cell>
          <cell r="K84">
            <v>0</v>
          </cell>
          <cell r="M84">
            <v>0</v>
          </cell>
          <cell r="O84">
            <v>0</v>
          </cell>
          <cell r="Q84">
            <v>0</v>
          </cell>
          <cell r="S84">
            <v>0</v>
          </cell>
          <cell r="U84">
            <v>0</v>
          </cell>
          <cell r="W84">
            <v>0</v>
          </cell>
          <cell r="Z84">
            <v>0</v>
          </cell>
          <cell r="AB84">
            <v>0</v>
          </cell>
          <cell r="AD84">
            <v>0</v>
          </cell>
          <cell r="AF84">
            <v>0</v>
          </cell>
          <cell r="AH84">
            <v>0</v>
          </cell>
          <cell r="AJ84">
            <v>0</v>
          </cell>
          <cell r="AL84">
            <v>0</v>
          </cell>
          <cell r="AN84">
            <v>0</v>
          </cell>
          <cell r="AP84">
            <v>0</v>
          </cell>
          <cell r="AR84">
            <v>0</v>
          </cell>
          <cell r="AT84">
            <v>395.63099999999997</v>
          </cell>
          <cell r="AV84">
            <v>0</v>
          </cell>
          <cell r="AX84">
            <v>395.63099999999997</v>
          </cell>
          <cell r="AY84">
            <v>0</v>
          </cell>
          <cell r="BC84">
            <v>1974.1660000000002</v>
          </cell>
          <cell r="BE84">
            <v>0</v>
          </cell>
          <cell r="BG84">
            <v>-394.327</v>
          </cell>
          <cell r="BI84">
            <v>1579.8390000000002</v>
          </cell>
          <cell r="BX84">
            <v>0</v>
          </cell>
          <cell r="CD84">
            <v>0</v>
          </cell>
          <cell r="CT84">
            <v>1579.8390000000002</v>
          </cell>
          <cell r="CX84">
            <v>1579.8390000000002</v>
          </cell>
          <cell r="FC84">
            <v>1623.499</v>
          </cell>
          <cell r="FE84">
            <v>0</v>
          </cell>
          <cell r="FF84">
            <v>1623.499</v>
          </cell>
          <cell r="FI84">
            <v>0</v>
          </cell>
          <cell r="FN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1623.499</v>
          </cell>
          <cell r="FV84">
            <v>1623.499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GC84">
            <v>1623.499</v>
          </cell>
          <cell r="GD84">
            <v>1645.2693113048706</v>
          </cell>
          <cell r="GE84">
            <v>1623.499</v>
          </cell>
          <cell r="GF84">
            <v>4.1035687294473897</v>
          </cell>
          <cell r="GG84">
            <v>0</v>
          </cell>
          <cell r="GH84">
            <v>0</v>
          </cell>
        </row>
        <row r="85">
          <cell r="A85" t="str">
            <v>ISRACABLE-shares</v>
          </cell>
          <cell r="B85">
            <v>0.41499999999999998</v>
          </cell>
          <cell r="AD85">
            <v>0</v>
          </cell>
          <cell r="AJ85">
            <v>0</v>
          </cell>
          <cell r="AP85">
            <v>0</v>
          </cell>
          <cell r="AT85">
            <v>0</v>
          </cell>
          <cell r="AX85">
            <v>0</v>
          </cell>
          <cell r="AY85">
            <v>0</v>
          </cell>
          <cell r="AZ85" t="str">
            <v>ISRACABLE-shares</v>
          </cell>
          <cell r="BA85">
            <v>0.41499999999999998</v>
          </cell>
          <cell r="BI85">
            <v>0</v>
          </cell>
          <cell r="BX85">
            <v>0</v>
          </cell>
          <cell r="CD85">
            <v>0</v>
          </cell>
          <cell r="CJ85">
            <v>0</v>
          </cell>
          <cell r="CP85">
            <v>0</v>
          </cell>
          <cell r="CT85">
            <v>0</v>
          </cell>
          <cell r="CX85">
            <v>0</v>
          </cell>
          <cell r="FN85">
            <v>0</v>
          </cell>
          <cell r="FO85">
            <v>0</v>
          </cell>
          <cell r="FR85">
            <v>0</v>
          </cell>
          <cell r="FS85">
            <v>0</v>
          </cell>
          <cell r="FV85">
            <v>0</v>
          </cell>
          <cell r="FW85" t="str">
            <v>ISRACABLE-shares</v>
          </cell>
          <cell r="FX85">
            <v>0</v>
          </cell>
          <cell r="FY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 t="e">
            <v>#DIV/0!</v>
          </cell>
          <cell r="GG85">
            <v>0</v>
          </cell>
          <cell r="GH85">
            <v>0</v>
          </cell>
        </row>
        <row r="86">
          <cell r="A86" t="str">
            <v xml:space="preserve"> long term loans</v>
          </cell>
          <cell r="AD86">
            <v>0</v>
          </cell>
          <cell r="AF86">
            <v>1.002</v>
          </cell>
          <cell r="AJ86">
            <v>1.002</v>
          </cell>
          <cell r="AN86">
            <v>-1.002</v>
          </cell>
          <cell r="AP86">
            <v>0</v>
          </cell>
          <cell r="AT86">
            <v>0</v>
          </cell>
          <cell r="AX86">
            <v>0</v>
          </cell>
          <cell r="AY86">
            <v>0</v>
          </cell>
          <cell r="AZ86" t="str">
            <v xml:space="preserve"> long term loans</v>
          </cell>
          <cell r="BI86">
            <v>0</v>
          </cell>
          <cell r="BX86">
            <v>0</v>
          </cell>
          <cell r="CD86">
            <v>0</v>
          </cell>
          <cell r="CF86">
            <v>4.1680000000000001</v>
          </cell>
          <cell r="CH86">
            <v>0</v>
          </cell>
          <cell r="CJ86">
            <v>4.1680000000000001</v>
          </cell>
          <cell r="CN86">
            <v>-1.002</v>
          </cell>
          <cell r="CP86">
            <v>3.1660000000000004</v>
          </cell>
          <cell r="CT86">
            <v>3.1660000000000004</v>
          </cell>
          <cell r="CX86">
            <v>3.1660000000000004</v>
          </cell>
          <cell r="FN86">
            <v>0</v>
          </cell>
          <cell r="FO86">
            <v>4.1680000000000001</v>
          </cell>
          <cell r="FQ86">
            <v>0</v>
          </cell>
          <cell r="FR86">
            <v>4.1680000000000001</v>
          </cell>
          <cell r="FS86">
            <v>0</v>
          </cell>
          <cell r="FT86">
            <v>4.1680000000000001</v>
          </cell>
          <cell r="FU86">
            <v>-4.1680000000000001</v>
          </cell>
          <cell r="FV86">
            <v>0</v>
          </cell>
          <cell r="FW86" t="str">
            <v xml:space="preserve"> long term loans</v>
          </cell>
          <cell r="FX86">
            <v>0</v>
          </cell>
          <cell r="FY86">
            <v>4.1680000000000001</v>
          </cell>
          <cell r="FZ86">
            <v>-4.1680000000000001</v>
          </cell>
          <cell r="GA86">
            <v>0</v>
          </cell>
          <cell r="GB86">
            <v>0</v>
          </cell>
          <cell r="GC86">
            <v>0</v>
          </cell>
          <cell r="GD86">
            <v>0</v>
          </cell>
          <cell r="GE86">
            <v>0</v>
          </cell>
          <cell r="GF86" t="e">
            <v>#DIV/0!</v>
          </cell>
          <cell r="GG86">
            <v>0</v>
          </cell>
          <cell r="GH86">
            <v>0</v>
          </cell>
        </row>
        <row r="87">
          <cell r="A87" t="str">
            <v xml:space="preserve"> accumulated profit</v>
          </cell>
          <cell r="AD87">
            <v>0</v>
          </cell>
          <cell r="AJ87">
            <v>0</v>
          </cell>
          <cell r="AN87">
            <v>0</v>
          </cell>
          <cell r="AP87">
            <v>0</v>
          </cell>
          <cell r="AT87">
            <v>0</v>
          </cell>
          <cell r="AX87">
            <v>0</v>
          </cell>
          <cell r="AY87">
            <v>0</v>
          </cell>
          <cell r="AZ87" t="str">
            <v xml:space="preserve"> accumulated profit</v>
          </cell>
          <cell r="BI87">
            <v>0</v>
          </cell>
          <cell r="BX87">
            <v>0</v>
          </cell>
          <cell r="CD87">
            <v>0</v>
          </cell>
          <cell r="CJ87">
            <v>0</v>
          </cell>
          <cell r="CN87">
            <v>0</v>
          </cell>
          <cell r="CP87">
            <v>0</v>
          </cell>
          <cell r="CT87">
            <v>0</v>
          </cell>
          <cell r="CX87">
            <v>0</v>
          </cell>
          <cell r="FN87">
            <v>0</v>
          </cell>
          <cell r="FO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V87">
            <v>0</v>
          </cell>
          <cell r="FW87" t="str">
            <v xml:space="preserve"> accumulated profit</v>
          </cell>
          <cell r="FX87">
            <v>0</v>
          </cell>
          <cell r="FY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 t="e">
            <v>#DIV/0!</v>
          </cell>
          <cell r="GG87">
            <v>0</v>
          </cell>
          <cell r="GH87">
            <v>0</v>
          </cell>
        </row>
        <row r="88">
          <cell r="A88" t="str">
            <v xml:space="preserve"> profit-(equity method)</v>
          </cell>
          <cell r="AD88">
            <v>0</v>
          </cell>
          <cell r="AJ88">
            <v>0</v>
          </cell>
          <cell r="AN88">
            <v>0</v>
          </cell>
          <cell r="AP88">
            <v>0</v>
          </cell>
          <cell r="AT88">
            <v>0</v>
          </cell>
          <cell r="AX88">
            <v>0</v>
          </cell>
          <cell r="AY88">
            <v>0</v>
          </cell>
          <cell r="AZ88" t="str">
            <v xml:space="preserve"> profit-(equity method)</v>
          </cell>
          <cell r="BI88">
            <v>0</v>
          </cell>
          <cell r="BU88">
            <v>0</v>
          </cell>
          <cell r="BX88">
            <v>0</v>
          </cell>
          <cell r="CD88">
            <v>0</v>
          </cell>
          <cell r="CJ88">
            <v>0</v>
          </cell>
          <cell r="CN88">
            <v>0</v>
          </cell>
          <cell r="CP88">
            <v>0</v>
          </cell>
          <cell r="CT88">
            <v>0</v>
          </cell>
          <cell r="CX88">
            <v>0</v>
          </cell>
          <cell r="FN88">
            <v>0</v>
          </cell>
          <cell r="FO88">
            <v>0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V88">
            <v>0</v>
          </cell>
          <cell r="FW88" t="str">
            <v xml:space="preserve"> profit-(equity method)</v>
          </cell>
          <cell r="FX88">
            <v>0</v>
          </cell>
          <cell r="FY88">
            <v>0</v>
          </cell>
          <cell r="GA88">
            <v>0</v>
          </cell>
          <cell r="GB88">
            <v>0</v>
          </cell>
          <cell r="GC88">
            <v>0</v>
          </cell>
          <cell r="GD88">
            <v>0</v>
          </cell>
          <cell r="GE88">
            <v>0</v>
          </cell>
          <cell r="GF88" t="e">
            <v>#DIV/0!</v>
          </cell>
          <cell r="GG88">
            <v>0</v>
          </cell>
          <cell r="GH88">
            <v>0</v>
          </cell>
        </row>
        <row r="89">
          <cell r="A89" t="str">
            <v xml:space="preserve"> goodwill</v>
          </cell>
          <cell r="AD89">
            <v>0</v>
          </cell>
          <cell r="AF89">
            <v>49.908999999999999</v>
          </cell>
          <cell r="AJ89">
            <v>49.908999999999999</v>
          </cell>
          <cell r="AP89">
            <v>49.908999999999999</v>
          </cell>
          <cell r="AT89">
            <v>49.908999999999999</v>
          </cell>
          <cell r="AV89">
            <v>-49.908999999999999</v>
          </cell>
          <cell r="AX89">
            <v>0</v>
          </cell>
          <cell r="AY89">
            <v>0</v>
          </cell>
          <cell r="AZ89" t="str">
            <v xml:space="preserve"> goodwill</v>
          </cell>
          <cell r="BX89">
            <v>0</v>
          </cell>
          <cell r="CD89">
            <v>0</v>
          </cell>
          <cell r="CF89">
            <v>114.83</v>
          </cell>
          <cell r="CJ89">
            <v>114.83</v>
          </cell>
          <cell r="CP89">
            <v>114.83</v>
          </cell>
          <cell r="CT89">
            <v>114.83</v>
          </cell>
          <cell r="CV89">
            <v>-114.83</v>
          </cell>
          <cell r="CX89">
            <v>0</v>
          </cell>
          <cell r="FN89">
            <v>0</v>
          </cell>
          <cell r="FO89">
            <v>216.82900000000001</v>
          </cell>
          <cell r="FR89">
            <v>216.82900000000001</v>
          </cell>
          <cell r="FS89">
            <v>0</v>
          </cell>
          <cell r="FT89">
            <v>216.82900000000001</v>
          </cell>
          <cell r="FU89">
            <v>-216.82900000000001</v>
          </cell>
          <cell r="FV89">
            <v>0</v>
          </cell>
          <cell r="FW89" t="str">
            <v xml:space="preserve"> goodwill</v>
          </cell>
          <cell r="FX89">
            <v>0</v>
          </cell>
          <cell r="FY89">
            <v>216.82900000000001</v>
          </cell>
          <cell r="FZ89">
            <v>-216.82900000000001</v>
          </cell>
          <cell r="GA89">
            <v>0</v>
          </cell>
          <cell r="GB89">
            <v>0</v>
          </cell>
          <cell r="GC89">
            <v>0</v>
          </cell>
          <cell r="GD89">
            <v>0</v>
          </cell>
          <cell r="GE89">
            <v>0</v>
          </cell>
          <cell r="GF89" t="e">
            <v>#DIV/0!</v>
          </cell>
          <cell r="GG89">
            <v>286.76159372958853</v>
          </cell>
          <cell r="GH89">
            <v>0</v>
          </cell>
          <cell r="GT89" t="str">
            <v xml:space="preserve">דוח דולר  </v>
          </cell>
        </row>
        <row r="90">
          <cell r="B90" t="str">
            <v xml:space="preserve">total </v>
          </cell>
          <cell r="C90">
            <v>0</v>
          </cell>
          <cell r="E90">
            <v>0</v>
          </cell>
          <cell r="G90">
            <v>0</v>
          </cell>
          <cell r="I90">
            <v>0</v>
          </cell>
          <cell r="M90">
            <v>0</v>
          </cell>
          <cell r="O90">
            <v>0</v>
          </cell>
          <cell r="Q90">
            <v>0</v>
          </cell>
          <cell r="S90">
            <v>0</v>
          </cell>
          <cell r="U90">
            <v>0</v>
          </cell>
          <cell r="Z90">
            <v>0</v>
          </cell>
          <cell r="AB90">
            <v>0</v>
          </cell>
          <cell r="AD90">
            <v>0</v>
          </cell>
          <cell r="AF90">
            <v>50.911000000000001</v>
          </cell>
          <cell r="AH90">
            <v>0</v>
          </cell>
          <cell r="AJ90">
            <v>50.911000000000001</v>
          </cell>
          <cell r="AN90">
            <v>-1.002</v>
          </cell>
          <cell r="AP90">
            <v>49.908999999999999</v>
          </cell>
          <cell r="AR90">
            <v>0</v>
          </cell>
          <cell r="AT90">
            <v>49.908999999999999</v>
          </cell>
          <cell r="AV90">
            <v>-49.908999999999999</v>
          </cell>
          <cell r="AX90">
            <v>0</v>
          </cell>
          <cell r="AY90">
            <v>0</v>
          </cell>
          <cell r="BA90" t="str">
            <v xml:space="preserve">total </v>
          </cell>
          <cell r="BC90">
            <v>0</v>
          </cell>
          <cell r="BE90">
            <v>0</v>
          </cell>
          <cell r="BG90">
            <v>0</v>
          </cell>
          <cell r="BI90">
            <v>0</v>
          </cell>
          <cell r="BO90">
            <v>0</v>
          </cell>
          <cell r="BQ90">
            <v>0</v>
          </cell>
          <cell r="BS90">
            <v>0</v>
          </cell>
          <cell r="BU90">
            <v>0</v>
          </cell>
          <cell r="BX90">
            <v>0</v>
          </cell>
          <cell r="BZ90">
            <v>0</v>
          </cell>
          <cell r="CB90">
            <v>0</v>
          </cell>
          <cell r="CD90">
            <v>0</v>
          </cell>
          <cell r="CF90">
            <v>118.998</v>
          </cell>
          <cell r="CH90">
            <v>0</v>
          </cell>
          <cell r="CJ90">
            <v>118.998</v>
          </cell>
          <cell r="CL90">
            <v>0</v>
          </cell>
          <cell r="CN90">
            <v>-1.002</v>
          </cell>
          <cell r="CP90">
            <v>117.996</v>
          </cell>
          <cell r="CR90">
            <v>0</v>
          </cell>
          <cell r="CT90">
            <v>117.996</v>
          </cell>
          <cell r="CV90">
            <v>-114.83</v>
          </cell>
          <cell r="CX90">
            <v>3.1660000000000004</v>
          </cell>
          <cell r="FC90">
            <v>0</v>
          </cell>
          <cell r="FE90">
            <v>0</v>
          </cell>
          <cell r="FI90">
            <v>0</v>
          </cell>
          <cell r="FM90">
            <v>0</v>
          </cell>
          <cell r="FN90">
            <v>0</v>
          </cell>
          <cell r="FO90">
            <v>220.99700000000001</v>
          </cell>
          <cell r="FQ90">
            <v>0</v>
          </cell>
          <cell r="FR90">
            <v>220.99700000000001</v>
          </cell>
          <cell r="FS90">
            <v>0</v>
          </cell>
          <cell r="FT90">
            <v>220.99700000000001</v>
          </cell>
          <cell r="FU90">
            <v>-220.99700000000001</v>
          </cell>
          <cell r="FV90">
            <v>0</v>
          </cell>
          <cell r="FX90">
            <v>0</v>
          </cell>
          <cell r="FY90">
            <v>220.99700000000001</v>
          </cell>
          <cell r="FZ90">
            <v>-220.99700000000001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 t="e">
            <v>#DIV/0!</v>
          </cell>
          <cell r="GG90">
            <v>286.76159372958853</v>
          </cell>
          <cell r="GH90">
            <v>0</v>
          </cell>
        </row>
        <row r="91">
          <cell r="A91" t="str">
            <v>TOTAL INVESTMENTS</v>
          </cell>
          <cell r="C91">
            <v>73599.842999999993</v>
          </cell>
          <cell r="E91">
            <v>0</v>
          </cell>
          <cell r="G91">
            <v>5511.5614496153848</v>
          </cell>
          <cell r="I91">
            <v>79111.40444961538</v>
          </cell>
          <cell r="K91">
            <v>0</v>
          </cell>
          <cell r="M91">
            <v>0</v>
          </cell>
          <cell r="O91">
            <v>0</v>
          </cell>
          <cell r="Q91">
            <v>90867.509815384619</v>
          </cell>
          <cell r="S91">
            <v>-186.898</v>
          </cell>
          <cell r="U91">
            <v>90680.611815384618</v>
          </cell>
          <cell r="W91">
            <v>-5165.25</v>
          </cell>
          <cell r="X91">
            <v>326</v>
          </cell>
          <cell r="Z91">
            <v>0</v>
          </cell>
          <cell r="AB91">
            <v>-2629.3998153846155</v>
          </cell>
          <cell r="AD91">
            <v>83211.962</v>
          </cell>
          <cell r="AF91">
            <v>8707.65</v>
          </cell>
          <cell r="AH91">
            <v>2329.5149999999999</v>
          </cell>
          <cell r="AJ91">
            <v>11037.164999999999</v>
          </cell>
          <cell r="AL91">
            <v>0</v>
          </cell>
          <cell r="AN91">
            <v>-10899.692999999999</v>
          </cell>
          <cell r="AP91">
            <v>137.47200000000001</v>
          </cell>
          <cell r="AR91">
            <v>0</v>
          </cell>
          <cell r="AT91">
            <v>162460.8384496154</v>
          </cell>
          <cell r="AV91">
            <v>-158847.57350961538</v>
          </cell>
          <cell r="AX91">
            <v>3613.26494</v>
          </cell>
          <cell r="AY91">
            <v>2.2737367544323206E-11</v>
          </cell>
          <cell r="AZ91" t="str">
            <v>TOTAL INVESTMENTS</v>
          </cell>
          <cell r="BC91">
            <v>198946.75874999998</v>
          </cell>
          <cell r="BE91">
            <v>0</v>
          </cell>
          <cell r="BG91">
            <v>23302.147870000001</v>
          </cell>
          <cell r="BI91">
            <v>222248.90662000002</v>
          </cell>
          <cell r="BM91">
            <v>0</v>
          </cell>
          <cell r="BO91">
            <v>0</v>
          </cell>
          <cell r="BQ91">
            <v>343957.83600000001</v>
          </cell>
          <cell r="BS91">
            <v>0</v>
          </cell>
          <cell r="BU91">
            <v>343957.83600000001</v>
          </cell>
          <cell r="BW91">
            <v>14883.217000000001</v>
          </cell>
          <cell r="BX91">
            <v>621</v>
          </cell>
          <cell r="BZ91">
            <v>0</v>
          </cell>
          <cell r="CB91">
            <v>-4893.777</v>
          </cell>
          <cell r="CD91">
            <v>354568.27600000001</v>
          </cell>
          <cell r="CF91">
            <v>5238.1120000000001</v>
          </cell>
          <cell r="CH91">
            <v>1948.2059999999983</v>
          </cell>
          <cell r="CJ91">
            <v>7186.3179999999984</v>
          </cell>
          <cell r="CL91">
            <v>0</v>
          </cell>
          <cell r="CN91">
            <v>-6864.9979999999996</v>
          </cell>
          <cell r="CP91">
            <v>321.32</v>
          </cell>
          <cell r="CR91">
            <v>0</v>
          </cell>
          <cell r="CT91">
            <v>577138.50262000004</v>
          </cell>
          <cell r="CV91">
            <v>-574280.57499999995</v>
          </cell>
          <cell r="CX91">
            <v>2857.9276199999986</v>
          </cell>
          <cell r="FC91">
            <v>309875.64030437625</v>
          </cell>
          <cell r="FE91">
            <v>1.0456000000045265</v>
          </cell>
          <cell r="FF91">
            <v>309876.68590437621</v>
          </cell>
          <cell r="FI91">
            <v>362241.14500000002</v>
          </cell>
          <cell r="FJ91">
            <v>-23378.782999999999</v>
          </cell>
          <cell r="FK91">
            <v>1092</v>
          </cell>
          <cell r="FM91">
            <v>-5338.1769999999997</v>
          </cell>
          <cell r="FN91">
            <v>334616.185</v>
          </cell>
          <cell r="FO91">
            <v>46600.830219000003</v>
          </cell>
          <cell r="FQ91">
            <v>-45995.904219000004</v>
          </cell>
          <cell r="FR91">
            <v>604.92599999999948</v>
          </cell>
          <cell r="FS91">
            <v>0</v>
          </cell>
          <cell r="FT91">
            <v>645097.79690437624</v>
          </cell>
          <cell r="FU91">
            <v>-635356.37258693669</v>
          </cell>
          <cell r="FV91">
            <v>9740.8059307642052</v>
          </cell>
          <cell r="FW91" t="str">
            <v>TOTAL INVESTMENTS</v>
          </cell>
          <cell r="FX91">
            <v>334616.185</v>
          </cell>
          <cell r="FY91">
            <v>604.92599999999993</v>
          </cell>
          <cell r="FZ91">
            <v>-328981.87699999998</v>
          </cell>
          <cell r="GA91">
            <v>6239.2340000000004</v>
          </cell>
          <cell r="GB91">
            <v>6322.8990139506914</v>
          </cell>
          <cell r="GC91">
            <v>9740.8059307642052</v>
          </cell>
          <cell r="GD91">
            <v>9871.4252766788377</v>
          </cell>
          <cell r="GE91">
            <v>3501.5719307642048</v>
          </cell>
          <cell r="GF91">
            <v>2.6958460263819473</v>
          </cell>
          <cell r="GG91">
            <v>6109.1994486187441</v>
          </cell>
          <cell r="GH91">
            <v>0.61838667534721026</v>
          </cell>
        </row>
        <row r="92">
          <cell r="FX92">
            <v>0</v>
          </cell>
          <cell r="FY92">
            <v>0</v>
          </cell>
          <cell r="GA92">
            <v>0</v>
          </cell>
          <cell r="GB92">
            <v>0</v>
          </cell>
          <cell r="GC92">
            <v>0</v>
          </cell>
          <cell r="GD92">
            <v>0</v>
          </cell>
          <cell r="GE92">
            <v>0</v>
          </cell>
        </row>
        <row r="93">
          <cell r="A93" t="str">
            <v>OTHER INVESTMENTS</v>
          </cell>
          <cell r="AT93">
            <v>0</v>
          </cell>
          <cell r="AY93">
            <v>0</v>
          </cell>
          <cell r="AZ93" t="str">
            <v>OTHER INVESTMENTS</v>
          </cell>
          <cell r="BX93">
            <v>0</v>
          </cell>
          <cell r="CD93">
            <v>0</v>
          </cell>
          <cell r="CT93">
            <v>0</v>
          </cell>
          <cell r="FS93">
            <v>0</v>
          </cell>
          <cell r="FW93" t="str">
            <v>OTHER INVESTMENTS</v>
          </cell>
          <cell r="FX93">
            <v>0</v>
          </cell>
          <cell r="FY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 t="e">
            <v>#DIV/0!</v>
          </cell>
          <cell r="GH93">
            <v>0</v>
          </cell>
        </row>
        <row r="94">
          <cell r="A94" t="str">
            <v>Preferred shares 3% AGI.Ltd</v>
          </cell>
          <cell r="C94">
            <v>12785.105</v>
          </cell>
          <cell r="I94">
            <v>12785.105</v>
          </cell>
          <cell r="U94">
            <v>0</v>
          </cell>
          <cell r="AD94">
            <v>0</v>
          </cell>
          <cell r="AJ94">
            <v>0</v>
          </cell>
          <cell r="AP94">
            <v>0</v>
          </cell>
          <cell r="AT94">
            <v>12785.105</v>
          </cell>
          <cell r="AX94">
            <v>12785.105</v>
          </cell>
          <cell r="AY94">
            <v>0</v>
          </cell>
          <cell r="AZ94" t="str">
            <v>Preferred shares 3% AGI.Ltd</v>
          </cell>
          <cell r="BC94">
            <v>45631.175999999999</v>
          </cell>
          <cell r="BI94">
            <v>45631.175999999999</v>
          </cell>
          <cell r="BX94">
            <v>0</v>
          </cell>
          <cell r="CD94">
            <v>0</v>
          </cell>
          <cell r="CJ94">
            <v>0</v>
          </cell>
          <cell r="CP94">
            <v>0</v>
          </cell>
          <cell r="CT94">
            <v>45631.175999999999</v>
          </cell>
          <cell r="CX94">
            <v>45631.175999999999</v>
          </cell>
          <cell r="FC94">
            <v>49766.67</v>
          </cell>
          <cell r="FF94">
            <v>49766.67</v>
          </cell>
          <cell r="FN94">
            <v>0</v>
          </cell>
          <cell r="FO94">
            <v>0</v>
          </cell>
          <cell r="FR94">
            <v>0</v>
          </cell>
          <cell r="FS94">
            <v>0</v>
          </cell>
          <cell r="FT94">
            <v>49766.67</v>
          </cell>
          <cell r="FV94">
            <v>49766.67</v>
          </cell>
          <cell r="FW94" t="str">
            <v>Preferred shares 3% AGI.Ltd</v>
          </cell>
          <cell r="FX94">
            <v>0</v>
          </cell>
          <cell r="FY94">
            <v>0</v>
          </cell>
          <cell r="GA94">
            <v>0</v>
          </cell>
          <cell r="GB94">
            <v>0</v>
          </cell>
          <cell r="GC94">
            <v>49766.67</v>
          </cell>
          <cell r="GD94">
            <v>50434.016206253749</v>
          </cell>
          <cell r="GE94">
            <v>49766.67</v>
          </cell>
          <cell r="GF94">
            <v>3.8925507455746353</v>
          </cell>
          <cell r="GG94">
            <v>35131.978597648595</v>
          </cell>
          <cell r="GH94">
            <v>0</v>
          </cell>
        </row>
        <row r="95">
          <cell r="A95" t="str">
            <v>Capital Notes AIG Golden I.Ltd</v>
          </cell>
          <cell r="C95">
            <v>1737.877</v>
          </cell>
          <cell r="I95">
            <v>1737.877</v>
          </cell>
          <cell r="U95">
            <v>0</v>
          </cell>
          <cell r="AD95">
            <v>0</v>
          </cell>
          <cell r="AJ95">
            <v>0</v>
          </cell>
          <cell r="AP95">
            <v>0</v>
          </cell>
          <cell r="AT95">
            <v>1737.877</v>
          </cell>
          <cell r="AX95">
            <v>1737.877</v>
          </cell>
          <cell r="AY95">
            <v>0</v>
          </cell>
          <cell r="AZ95" t="str">
            <v>Capital Notes AIG Golden I.Ltd</v>
          </cell>
          <cell r="BC95">
            <v>7229.5690000000004</v>
          </cell>
          <cell r="BG95">
            <v>0</v>
          </cell>
          <cell r="BI95">
            <v>7229.5690000000004</v>
          </cell>
          <cell r="BX95">
            <v>0</v>
          </cell>
          <cell r="CD95">
            <v>0</v>
          </cell>
          <cell r="CJ95">
            <v>0</v>
          </cell>
          <cell r="CP95">
            <v>0</v>
          </cell>
          <cell r="CT95">
            <v>7229.5690000000004</v>
          </cell>
          <cell r="CX95">
            <v>7229.5690000000004</v>
          </cell>
          <cell r="FC95">
            <v>7229.5690000000004</v>
          </cell>
          <cell r="FF95">
            <v>7229.5690000000004</v>
          </cell>
          <cell r="FN95">
            <v>0</v>
          </cell>
          <cell r="FO95">
            <v>0</v>
          </cell>
          <cell r="FR95">
            <v>0</v>
          </cell>
          <cell r="FS95">
            <v>0</v>
          </cell>
          <cell r="FT95">
            <v>7229.5690000000004</v>
          </cell>
          <cell r="FV95">
            <v>7229.5690000000004</v>
          </cell>
          <cell r="FW95" t="str">
            <v>Capital Notes AIG Golden I.Ltd</v>
          </cell>
          <cell r="FX95">
            <v>0</v>
          </cell>
          <cell r="FY95">
            <v>0</v>
          </cell>
          <cell r="GA95">
            <v>0</v>
          </cell>
          <cell r="GB95">
            <v>0</v>
          </cell>
          <cell r="GC95">
            <v>7229.5690000000004</v>
          </cell>
          <cell r="GD95">
            <v>7326.5139120264585</v>
          </cell>
          <cell r="GE95">
            <v>7229.5690000000004</v>
          </cell>
          <cell r="GF95">
            <v>4.1600003912820069</v>
          </cell>
          <cell r="GG95">
            <v>7257.5438125408245</v>
          </cell>
          <cell r="GH95">
            <v>0</v>
          </cell>
        </row>
        <row r="96">
          <cell r="A96" t="str">
            <v>Provision for the year-AGI</v>
          </cell>
          <cell r="I96">
            <v>0</v>
          </cell>
          <cell r="U96">
            <v>0</v>
          </cell>
          <cell r="AD96">
            <v>0</v>
          </cell>
          <cell r="AJ96">
            <v>0</v>
          </cell>
          <cell r="AP96">
            <v>0</v>
          </cell>
          <cell r="AT96">
            <v>0</v>
          </cell>
          <cell r="AX96">
            <v>0</v>
          </cell>
          <cell r="AY96">
            <v>0</v>
          </cell>
          <cell r="AZ96" t="str">
            <v>Provision for the year</v>
          </cell>
          <cell r="BG96">
            <v>0</v>
          </cell>
          <cell r="BI96">
            <v>0</v>
          </cell>
          <cell r="BX96">
            <v>0</v>
          </cell>
          <cell r="CD96">
            <v>0</v>
          </cell>
          <cell r="CJ96">
            <v>0</v>
          </cell>
          <cell r="CP96">
            <v>0</v>
          </cell>
          <cell r="CT96">
            <v>0</v>
          </cell>
          <cell r="CX96">
            <v>0</v>
          </cell>
          <cell r="FN96">
            <v>0</v>
          </cell>
          <cell r="FO96">
            <v>0</v>
          </cell>
          <cell r="FR96">
            <v>0</v>
          </cell>
          <cell r="FS96">
            <v>0</v>
          </cell>
          <cell r="FT96">
            <v>0</v>
          </cell>
          <cell r="FV96">
            <v>0</v>
          </cell>
          <cell r="FW96" t="str">
            <v>Provision for the year-AGI</v>
          </cell>
          <cell r="FX96">
            <v>0</v>
          </cell>
          <cell r="FY96">
            <v>0</v>
          </cell>
          <cell r="GA96">
            <v>0</v>
          </cell>
          <cell r="GB96">
            <v>0</v>
          </cell>
          <cell r="GC96">
            <v>0</v>
          </cell>
          <cell r="GD96">
            <v>0</v>
          </cell>
          <cell r="GE96">
            <v>0</v>
          </cell>
          <cell r="GF96" t="e">
            <v>#DIV/0!</v>
          </cell>
          <cell r="GG96">
            <v>0</v>
          </cell>
          <cell r="GH96">
            <v>0</v>
          </cell>
        </row>
        <row r="97">
          <cell r="A97" t="str">
            <v>Accumulated Provision</v>
          </cell>
          <cell r="I97">
            <v>0</v>
          </cell>
          <cell r="U97">
            <v>0</v>
          </cell>
          <cell r="AD97">
            <v>0</v>
          </cell>
          <cell r="AJ97">
            <v>0</v>
          </cell>
          <cell r="AP97">
            <v>0</v>
          </cell>
          <cell r="AT97">
            <v>0</v>
          </cell>
          <cell r="AX97">
            <v>0</v>
          </cell>
          <cell r="AY97">
            <v>0</v>
          </cell>
          <cell r="AZ97" t="str">
            <v>Accumulated Provision</v>
          </cell>
          <cell r="BI97">
            <v>0</v>
          </cell>
          <cell r="BX97">
            <v>0</v>
          </cell>
          <cell r="CD97">
            <v>0</v>
          </cell>
          <cell r="CJ97">
            <v>0</v>
          </cell>
          <cell r="CP97">
            <v>0</v>
          </cell>
          <cell r="CT97">
            <v>0</v>
          </cell>
          <cell r="CX97">
            <v>0</v>
          </cell>
          <cell r="FN97">
            <v>0</v>
          </cell>
          <cell r="FO97">
            <v>0</v>
          </cell>
          <cell r="FR97">
            <v>0</v>
          </cell>
          <cell r="FS97">
            <v>0</v>
          </cell>
          <cell r="FT97">
            <v>0</v>
          </cell>
          <cell r="FV97">
            <v>0</v>
          </cell>
          <cell r="FW97" t="str">
            <v>Accumulated Provision</v>
          </cell>
          <cell r="FX97">
            <v>0</v>
          </cell>
          <cell r="FY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 t="e">
            <v>#DIV/0!</v>
          </cell>
          <cell r="GG97">
            <v>0</v>
          </cell>
          <cell r="GH97">
            <v>0</v>
          </cell>
        </row>
        <row r="98">
          <cell r="C98">
            <v>14522.982</v>
          </cell>
          <cell r="E98">
            <v>0</v>
          </cell>
          <cell r="G98">
            <v>0</v>
          </cell>
          <cell r="I98">
            <v>14522.982</v>
          </cell>
          <cell r="M98">
            <v>0</v>
          </cell>
          <cell r="O98">
            <v>0</v>
          </cell>
          <cell r="Q98">
            <v>0</v>
          </cell>
          <cell r="S98">
            <v>0</v>
          </cell>
          <cell r="U98">
            <v>0</v>
          </cell>
          <cell r="Z98">
            <v>0</v>
          </cell>
          <cell r="AB98">
            <v>0</v>
          </cell>
          <cell r="AD98">
            <v>0</v>
          </cell>
          <cell r="AF98">
            <v>0</v>
          </cell>
          <cell r="AH98">
            <v>0</v>
          </cell>
          <cell r="AJ98">
            <v>0</v>
          </cell>
          <cell r="AL98">
            <v>0</v>
          </cell>
          <cell r="AN98">
            <v>0</v>
          </cell>
          <cell r="AP98">
            <v>0</v>
          </cell>
          <cell r="AR98">
            <v>0</v>
          </cell>
          <cell r="AT98">
            <v>14522.982</v>
          </cell>
          <cell r="AV98">
            <v>0</v>
          </cell>
          <cell r="AX98">
            <v>14522.982</v>
          </cell>
          <cell r="AY98">
            <v>0</v>
          </cell>
          <cell r="BA98" t="str">
            <v xml:space="preserve">total </v>
          </cell>
          <cell r="BC98">
            <v>52860.745000000003</v>
          </cell>
          <cell r="BE98">
            <v>0</v>
          </cell>
          <cell r="BG98">
            <v>0</v>
          </cell>
          <cell r="BI98">
            <v>52860.745000000003</v>
          </cell>
          <cell r="BM98">
            <v>0</v>
          </cell>
          <cell r="BO98">
            <v>0</v>
          </cell>
          <cell r="BQ98">
            <v>0</v>
          </cell>
          <cell r="BS98">
            <v>0</v>
          </cell>
          <cell r="BU98">
            <v>0</v>
          </cell>
          <cell r="BW98">
            <v>0</v>
          </cell>
          <cell r="BX98">
            <v>0</v>
          </cell>
          <cell r="BZ98">
            <v>0</v>
          </cell>
          <cell r="CB98">
            <v>0</v>
          </cell>
          <cell r="CD98">
            <v>0</v>
          </cell>
          <cell r="CF98">
            <v>0</v>
          </cell>
          <cell r="CH98">
            <v>0</v>
          </cell>
          <cell r="CJ98">
            <v>0</v>
          </cell>
          <cell r="CL98">
            <v>0</v>
          </cell>
          <cell r="CN98">
            <v>0</v>
          </cell>
          <cell r="CP98">
            <v>0</v>
          </cell>
          <cell r="CR98">
            <v>0</v>
          </cell>
          <cell r="CT98">
            <v>52860.745000000003</v>
          </cell>
          <cell r="CV98">
            <v>0</v>
          </cell>
          <cell r="CX98">
            <v>52860.745000000003</v>
          </cell>
          <cell r="FC98">
            <v>56996.239000000001</v>
          </cell>
          <cell r="FE98">
            <v>0</v>
          </cell>
          <cell r="FF98">
            <v>56996.239000000001</v>
          </cell>
          <cell r="FI98">
            <v>0</v>
          </cell>
          <cell r="FJ98">
            <v>0</v>
          </cell>
          <cell r="FK98">
            <v>0</v>
          </cell>
          <cell r="FM98">
            <v>0</v>
          </cell>
          <cell r="FN98">
            <v>0</v>
          </cell>
          <cell r="FO98">
            <v>0</v>
          </cell>
          <cell r="FQ98">
            <v>0</v>
          </cell>
          <cell r="FR98">
            <v>0</v>
          </cell>
          <cell r="FS98">
            <v>0</v>
          </cell>
          <cell r="FT98">
            <v>56996.239000000001</v>
          </cell>
          <cell r="FU98">
            <v>0</v>
          </cell>
          <cell r="FV98">
            <v>56996.239000000001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GC98">
            <v>56996.239000000001</v>
          </cell>
          <cell r="GD98">
            <v>57760.530118280207</v>
          </cell>
          <cell r="GE98">
            <v>56996.239000000001</v>
          </cell>
          <cell r="GF98">
            <v>3.9245548193890207</v>
          </cell>
          <cell r="GG98">
            <v>42389.522410189427</v>
          </cell>
          <cell r="GH98">
            <v>0</v>
          </cell>
        </row>
        <row r="99">
          <cell r="A99" t="str">
            <v>AU. GOL.MED 1</v>
          </cell>
          <cell r="B99">
            <v>0.1</v>
          </cell>
          <cell r="C99">
            <v>2.3079999999999998</v>
          </cell>
          <cell r="I99">
            <v>2.3079999999999998</v>
          </cell>
          <cell r="U99">
            <v>0</v>
          </cell>
          <cell r="AD99">
            <v>0</v>
          </cell>
          <cell r="AJ99">
            <v>0</v>
          </cell>
          <cell r="AP99">
            <v>0</v>
          </cell>
          <cell r="AT99">
            <v>2.3079999999999998</v>
          </cell>
          <cell r="AX99">
            <v>2.3079999999999998</v>
          </cell>
          <cell r="AY99">
            <v>0</v>
          </cell>
          <cell r="AZ99" t="str">
            <v>AUREC GOLDEN MED 1</v>
          </cell>
          <cell r="BC99">
            <v>8.25</v>
          </cell>
          <cell r="BI99">
            <v>8.25</v>
          </cell>
          <cell r="BX99">
            <v>0</v>
          </cell>
          <cell r="CD99">
            <v>0</v>
          </cell>
          <cell r="CJ99">
            <v>0</v>
          </cell>
          <cell r="CP99">
            <v>0</v>
          </cell>
          <cell r="CT99">
            <v>8.25</v>
          </cell>
          <cell r="CX99">
            <v>8.25</v>
          </cell>
          <cell r="FC99">
            <v>8.9239999999999995</v>
          </cell>
          <cell r="FF99">
            <v>8.9239999999999995</v>
          </cell>
          <cell r="FO99">
            <v>0</v>
          </cell>
          <cell r="FR99">
            <v>0</v>
          </cell>
          <cell r="FS99">
            <v>0</v>
          </cell>
          <cell r="FT99">
            <v>8.9239999999999995</v>
          </cell>
          <cell r="FV99">
            <v>8.9239999999999995</v>
          </cell>
          <cell r="FW99" t="str">
            <v>AU. GOL.MED 1</v>
          </cell>
          <cell r="FX99">
            <v>0</v>
          </cell>
          <cell r="FY99">
            <v>0</v>
          </cell>
          <cell r="GA99">
            <v>0</v>
          </cell>
          <cell r="GB99">
            <v>0</v>
          </cell>
          <cell r="GC99">
            <v>8.9239999999999995</v>
          </cell>
          <cell r="GD99">
            <v>9.0436663860493081</v>
          </cell>
          <cell r="GE99">
            <v>8.9239999999999995</v>
          </cell>
          <cell r="GF99">
            <v>3.8665511265164647</v>
          </cell>
          <cell r="GG99">
            <v>5.5527472240365778</v>
          </cell>
          <cell r="GH99">
            <v>0</v>
          </cell>
        </row>
        <row r="100">
          <cell r="A100" t="str">
            <v xml:space="preserve"> Long term loans-Med1</v>
          </cell>
          <cell r="C100">
            <v>892.274</v>
          </cell>
          <cell r="I100">
            <v>892.274</v>
          </cell>
          <cell r="U100">
            <v>0</v>
          </cell>
          <cell r="AD100">
            <v>0</v>
          </cell>
          <cell r="AJ100">
            <v>0</v>
          </cell>
          <cell r="AP100">
            <v>0</v>
          </cell>
          <cell r="AT100">
            <v>892.274</v>
          </cell>
          <cell r="AX100">
            <v>892.274</v>
          </cell>
          <cell r="AY100">
            <v>0</v>
          </cell>
          <cell r="AZ100" t="str">
            <v xml:space="preserve"> long term loans+ idan</v>
          </cell>
          <cell r="BC100">
            <v>3711.8609999999999</v>
          </cell>
          <cell r="BI100">
            <v>3711.8609999999999</v>
          </cell>
          <cell r="BX100">
            <v>0</v>
          </cell>
          <cell r="CD100">
            <v>0</v>
          </cell>
          <cell r="CJ100">
            <v>0</v>
          </cell>
          <cell r="CP100">
            <v>0</v>
          </cell>
          <cell r="CT100">
            <v>3711.8609999999999</v>
          </cell>
          <cell r="CX100">
            <v>3711.8609999999999</v>
          </cell>
          <cell r="FC100">
            <v>3711.8609999999999</v>
          </cell>
          <cell r="FF100">
            <v>3711.8609999999999</v>
          </cell>
          <cell r="FN100">
            <v>0</v>
          </cell>
          <cell r="FO100">
            <v>0</v>
          </cell>
          <cell r="FR100">
            <v>0</v>
          </cell>
          <cell r="FS100">
            <v>0</v>
          </cell>
          <cell r="FT100">
            <v>3711.8609999999999</v>
          </cell>
          <cell r="FV100">
            <v>3711.8609999999999</v>
          </cell>
          <cell r="FW100" t="str">
            <v xml:space="preserve"> Long term loans-Med1</v>
          </cell>
          <cell r="FX100">
            <v>0</v>
          </cell>
          <cell r="FY100">
            <v>0</v>
          </cell>
          <cell r="GA100">
            <v>0</v>
          </cell>
          <cell r="GB100">
            <v>0</v>
          </cell>
          <cell r="GC100">
            <v>3711.8609999999999</v>
          </cell>
          <cell r="GD100">
            <v>3761.6352034275401</v>
          </cell>
          <cell r="GE100">
            <v>3711.8609999999999</v>
          </cell>
          <cell r="GF100">
            <v>4.1600013000490881</v>
          </cell>
          <cell r="GG100">
            <v>1186.9985649902026</v>
          </cell>
          <cell r="GH100">
            <v>0</v>
          </cell>
        </row>
        <row r="101">
          <cell r="A101" t="str">
            <v>Provision for the year-Med1</v>
          </cell>
          <cell r="I101">
            <v>0</v>
          </cell>
          <cell r="U101">
            <v>0</v>
          </cell>
          <cell r="AD101">
            <v>0</v>
          </cell>
          <cell r="AJ101">
            <v>0</v>
          </cell>
          <cell r="AP101">
            <v>0</v>
          </cell>
          <cell r="AT101">
            <v>0</v>
          </cell>
          <cell r="AX101">
            <v>0</v>
          </cell>
          <cell r="AY101">
            <v>0</v>
          </cell>
          <cell r="BI101">
            <v>0</v>
          </cell>
          <cell r="BX101">
            <v>0</v>
          </cell>
          <cell r="CD101">
            <v>0</v>
          </cell>
          <cell r="CJ101">
            <v>0</v>
          </cell>
          <cell r="CP101">
            <v>0</v>
          </cell>
          <cell r="CT101">
            <v>0</v>
          </cell>
          <cell r="CX101">
            <v>0</v>
          </cell>
          <cell r="FN101">
            <v>0</v>
          </cell>
          <cell r="FO101">
            <v>0</v>
          </cell>
          <cell r="FR101">
            <v>0</v>
          </cell>
          <cell r="FS101">
            <v>0</v>
          </cell>
          <cell r="FT101">
            <v>0</v>
          </cell>
          <cell r="FV101">
            <v>0</v>
          </cell>
          <cell r="FW101" t="str">
            <v>Provision for the year-Med1</v>
          </cell>
          <cell r="FX101">
            <v>0</v>
          </cell>
          <cell r="FY101">
            <v>0</v>
          </cell>
          <cell r="GA101">
            <v>0</v>
          </cell>
          <cell r="GB101">
            <v>0</v>
          </cell>
          <cell r="GC101">
            <v>0</v>
          </cell>
          <cell r="GD101">
            <v>0</v>
          </cell>
          <cell r="GE101">
            <v>0</v>
          </cell>
          <cell r="GF101" t="e">
            <v>#DIV/0!</v>
          </cell>
          <cell r="GG101">
            <v>0</v>
          </cell>
          <cell r="GH101">
            <v>0</v>
          </cell>
        </row>
        <row r="102">
          <cell r="A102" t="str">
            <v>Accumulated Provision</v>
          </cell>
          <cell r="I102">
            <v>0</v>
          </cell>
          <cell r="U102">
            <v>0</v>
          </cell>
          <cell r="AD102">
            <v>0</v>
          </cell>
          <cell r="AJ102">
            <v>0</v>
          </cell>
          <cell r="AP102">
            <v>0</v>
          </cell>
          <cell r="AT102">
            <v>0</v>
          </cell>
          <cell r="AX102">
            <v>0</v>
          </cell>
          <cell r="AY102">
            <v>0</v>
          </cell>
          <cell r="AZ102" t="str">
            <v>Accumulated Provision</v>
          </cell>
          <cell r="BI102">
            <v>0</v>
          </cell>
          <cell r="BX102">
            <v>0</v>
          </cell>
          <cell r="CD102">
            <v>0</v>
          </cell>
          <cell r="CJ102">
            <v>0</v>
          </cell>
          <cell r="CP102">
            <v>0</v>
          </cell>
          <cell r="CT102">
            <v>0</v>
          </cell>
          <cell r="CX102">
            <v>0</v>
          </cell>
          <cell r="FH102">
            <v>0</v>
          </cell>
          <cell r="FN102">
            <v>0</v>
          </cell>
          <cell r="FO102">
            <v>0</v>
          </cell>
          <cell r="FR102">
            <v>0</v>
          </cell>
          <cell r="FS102">
            <v>0</v>
          </cell>
          <cell r="FT102">
            <v>0</v>
          </cell>
          <cell r="FU102" t="str">
            <v xml:space="preserve">    </v>
          </cell>
          <cell r="FV102">
            <v>0</v>
          </cell>
          <cell r="FW102" t="str">
            <v>Accumulated Provision</v>
          </cell>
          <cell r="FX102">
            <v>0</v>
          </cell>
          <cell r="FY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 t="e">
            <v>#DIV/0!</v>
          </cell>
          <cell r="GG102">
            <v>0</v>
          </cell>
          <cell r="GH102">
            <v>0</v>
          </cell>
        </row>
        <row r="103">
          <cell r="I103">
            <v>0</v>
          </cell>
          <cell r="M103">
            <v>0</v>
          </cell>
          <cell r="AT103">
            <v>0</v>
          </cell>
          <cell r="AX103">
            <v>0</v>
          </cell>
          <cell r="BI103">
            <v>0</v>
          </cell>
          <cell r="BX103">
            <v>0</v>
          </cell>
          <cell r="CT103">
            <v>0</v>
          </cell>
          <cell r="CX103">
            <v>0</v>
          </cell>
          <cell r="FN103">
            <v>0</v>
          </cell>
          <cell r="FO103">
            <v>0</v>
          </cell>
          <cell r="FQ103">
            <v>0</v>
          </cell>
          <cell r="FR103">
            <v>0</v>
          </cell>
          <cell r="FS103">
            <v>0</v>
          </cell>
          <cell r="FV103">
            <v>0</v>
          </cell>
          <cell r="FX103">
            <v>0</v>
          </cell>
          <cell r="FY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 t="e">
            <v>#DIV/0!</v>
          </cell>
        </row>
        <row r="104">
          <cell r="A104" t="str">
            <v>Investment in NETVISION-in trust</v>
          </cell>
          <cell r="C104">
            <v>10200</v>
          </cell>
          <cell r="I104">
            <v>10200</v>
          </cell>
          <cell r="M104">
            <v>0</v>
          </cell>
          <cell r="AT104">
            <v>10200</v>
          </cell>
          <cell r="AX104">
            <v>10200</v>
          </cell>
          <cell r="AZ104" t="str">
            <v>Investment in NETVISION-in trust</v>
          </cell>
          <cell r="BC104">
            <v>42432</v>
          </cell>
          <cell r="BI104">
            <v>42432</v>
          </cell>
          <cell r="BX104">
            <v>0</v>
          </cell>
          <cell r="CT104">
            <v>42432</v>
          </cell>
          <cell r="CX104">
            <v>42432</v>
          </cell>
          <cell r="FC104">
            <v>42432</v>
          </cell>
          <cell r="FF104">
            <v>42432</v>
          </cell>
          <cell r="FN104">
            <v>0</v>
          </cell>
          <cell r="FT104">
            <v>42432</v>
          </cell>
          <cell r="FV104">
            <v>42432</v>
          </cell>
          <cell r="FW104" t="str">
            <v>Investment in NETVISION-in trust</v>
          </cell>
          <cell r="FX104">
            <v>0</v>
          </cell>
          <cell r="FY104">
            <v>0</v>
          </cell>
          <cell r="GA104">
            <v>0</v>
          </cell>
          <cell r="GB104">
            <v>0</v>
          </cell>
          <cell r="GC104">
            <v>42432</v>
          </cell>
          <cell r="GD104">
            <v>43000.991942272994</v>
          </cell>
          <cell r="GE104">
            <v>42432</v>
          </cell>
          <cell r="GF104">
            <v>4.16</v>
          </cell>
        </row>
        <row r="105">
          <cell r="C105">
            <v>11094.582</v>
          </cell>
          <cell r="E105">
            <v>0</v>
          </cell>
          <cell r="G105">
            <v>0</v>
          </cell>
          <cell r="I105">
            <v>11094.582</v>
          </cell>
          <cell r="O105">
            <v>0</v>
          </cell>
          <cell r="Q105">
            <v>0</v>
          </cell>
          <cell r="S105">
            <v>0</v>
          </cell>
          <cell r="U105">
            <v>0</v>
          </cell>
          <cell r="Z105">
            <v>0</v>
          </cell>
          <cell r="AB105">
            <v>0</v>
          </cell>
          <cell r="AD105">
            <v>0</v>
          </cell>
          <cell r="AF105">
            <v>0</v>
          </cell>
          <cell r="AH105">
            <v>0</v>
          </cell>
          <cell r="AJ105">
            <v>0</v>
          </cell>
          <cell r="AL105">
            <v>0</v>
          </cell>
          <cell r="AN105">
            <v>0</v>
          </cell>
          <cell r="AP105">
            <v>0</v>
          </cell>
          <cell r="AR105">
            <v>0</v>
          </cell>
          <cell r="AT105">
            <v>11094.582</v>
          </cell>
          <cell r="AV105">
            <v>0</v>
          </cell>
          <cell r="AX105">
            <v>11094.582</v>
          </cell>
          <cell r="AY105">
            <v>0</v>
          </cell>
          <cell r="BA105" t="str">
            <v xml:space="preserve">total </v>
          </cell>
          <cell r="BC105">
            <v>46152.110999999997</v>
          </cell>
          <cell r="BE105">
            <v>0</v>
          </cell>
          <cell r="BG105">
            <v>0</v>
          </cell>
          <cell r="BI105">
            <v>46152.110999999997</v>
          </cell>
          <cell r="BM105">
            <v>0</v>
          </cell>
          <cell r="BO105">
            <v>0</v>
          </cell>
          <cell r="BQ105">
            <v>0</v>
          </cell>
          <cell r="BS105">
            <v>0</v>
          </cell>
          <cell r="BU105">
            <v>0</v>
          </cell>
          <cell r="BW105">
            <v>0</v>
          </cell>
          <cell r="BX105">
            <v>0</v>
          </cell>
          <cell r="BZ105">
            <v>0</v>
          </cell>
          <cell r="CB105">
            <v>0</v>
          </cell>
          <cell r="CD105">
            <v>0</v>
          </cell>
          <cell r="CF105">
            <v>0</v>
          </cell>
          <cell r="CH105">
            <v>0</v>
          </cell>
          <cell r="CJ105">
            <v>0</v>
          </cell>
          <cell r="CL105">
            <v>0</v>
          </cell>
          <cell r="CN105">
            <v>0</v>
          </cell>
          <cell r="CP105">
            <v>0</v>
          </cell>
          <cell r="CR105">
            <v>0</v>
          </cell>
          <cell r="CT105">
            <v>46152.110999999997</v>
          </cell>
          <cell r="CV105">
            <v>0</v>
          </cell>
          <cell r="CX105">
            <v>46152.110999999997</v>
          </cell>
          <cell r="FC105">
            <v>46152.785000000003</v>
          </cell>
          <cell r="FE105">
            <v>0</v>
          </cell>
          <cell r="FF105">
            <v>46152.785000000003</v>
          </cell>
          <cell r="FI105">
            <v>0</v>
          </cell>
          <cell r="FJ105">
            <v>0</v>
          </cell>
          <cell r="FM105">
            <v>0</v>
          </cell>
          <cell r="FT105">
            <v>46152.785000000003</v>
          </cell>
          <cell r="FU105">
            <v>0</v>
          </cell>
          <cell r="FV105">
            <v>46152.785000000003</v>
          </cell>
          <cell r="FX105">
            <v>0</v>
          </cell>
          <cell r="FY105">
            <v>0</v>
          </cell>
          <cell r="GA105">
            <v>0</v>
          </cell>
          <cell r="GB105">
            <v>0</v>
          </cell>
          <cell r="GC105">
            <v>46152.785000000003</v>
          </cell>
          <cell r="GD105">
            <v>46771.670812086588</v>
          </cell>
          <cell r="GE105">
            <v>46152.785000000003</v>
          </cell>
          <cell r="GF105">
            <v>4.1599390585422684</v>
          </cell>
          <cell r="GG105">
            <v>1192.5513122142393</v>
          </cell>
          <cell r="GH105">
            <v>0</v>
          </cell>
        </row>
        <row r="106">
          <cell r="A106" t="str">
            <v>TOTAL OTHER INVESTMENTS</v>
          </cell>
          <cell r="C106">
            <v>25617.563999999998</v>
          </cell>
          <cell r="E106">
            <v>0</v>
          </cell>
          <cell r="G106">
            <v>0</v>
          </cell>
          <cell r="I106">
            <v>25617.563999999998</v>
          </cell>
          <cell r="O106">
            <v>0</v>
          </cell>
          <cell r="Q106">
            <v>0</v>
          </cell>
          <cell r="S106">
            <v>0</v>
          </cell>
          <cell r="U106">
            <v>0</v>
          </cell>
          <cell r="Z106">
            <v>0</v>
          </cell>
          <cell r="AB106">
            <v>0</v>
          </cell>
          <cell r="AD106">
            <v>0</v>
          </cell>
          <cell r="AF106">
            <v>0</v>
          </cell>
          <cell r="AH106">
            <v>0</v>
          </cell>
          <cell r="AJ106">
            <v>0</v>
          </cell>
          <cell r="AL106">
            <v>0</v>
          </cell>
          <cell r="AN106">
            <v>0</v>
          </cell>
          <cell r="AP106">
            <v>0</v>
          </cell>
          <cell r="AR106">
            <v>0</v>
          </cell>
          <cell r="AT106">
            <v>25617.563999999998</v>
          </cell>
          <cell r="AV106">
            <v>0</v>
          </cell>
          <cell r="AX106">
            <v>25617.563999999998</v>
          </cell>
          <cell r="AY106">
            <v>0</v>
          </cell>
          <cell r="BC106">
            <v>99012.856</v>
          </cell>
          <cell r="BE106">
            <v>0</v>
          </cell>
          <cell r="BG106">
            <v>0</v>
          </cell>
          <cell r="BI106">
            <v>99012.856</v>
          </cell>
          <cell r="BM106">
            <v>0</v>
          </cell>
          <cell r="BO106">
            <v>0</v>
          </cell>
          <cell r="BQ106">
            <v>0</v>
          </cell>
          <cell r="BS106">
            <v>0</v>
          </cell>
          <cell r="BU106">
            <v>0</v>
          </cell>
          <cell r="BW106">
            <v>0</v>
          </cell>
          <cell r="BX106">
            <v>0</v>
          </cell>
          <cell r="BZ106">
            <v>0</v>
          </cell>
          <cell r="CB106">
            <v>0</v>
          </cell>
          <cell r="CD106">
            <v>0</v>
          </cell>
          <cell r="CF106">
            <v>0</v>
          </cell>
          <cell r="CH106">
            <v>0</v>
          </cell>
          <cell r="CJ106">
            <v>0</v>
          </cell>
          <cell r="CL106">
            <v>0</v>
          </cell>
          <cell r="CN106">
            <v>0</v>
          </cell>
          <cell r="CP106">
            <v>0</v>
          </cell>
          <cell r="CR106">
            <v>0</v>
          </cell>
          <cell r="CT106">
            <v>99012.856</v>
          </cell>
          <cell r="CV106">
            <v>0</v>
          </cell>
          <cell r="CX106">
            <v>99012.856</v>
          </cell>
          <cell r="FC106">
            <v>103149.024</v>
          </cell>
          <cell r="FE106">
            <v>0</v>
          </cell>
          <cell r="FF106">
            <v>103149.024</v>
          </cell>
          <cell r="FI106">
            <v>0</v>
          </cell>
          <cell r="FJ106">
            <v>0</v>
          </cell>
          <cell r="FK106">
            <v>0</v>
          </cell>
          <cell r="FM106">
            <v>0</v>
          </cell>
          <cell r="FN106">
            <v>0</v>
          </cell>
          <cell r="FO106">
            <v>0</v>
          </cell>
          <cell r="FQ106">
            <v>0</v>
          </cell>
          <cell r="FR106">
            <v>0</v>
          </cell>
          <cell r="FS106">
            <v>0</v>
          </cell>
          <cell r="FT106">
            <v>103149.024</v>
          </cell>
          <cell r="FU106">
            <v>0</v>
          </cell>
          <cell r="FV106">
            <v>103149.024</v>
          </cell>
          <cell r="FW106" t="str">
            <v>TOTAL OTHER INVESTMENTS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GC106">
            <v>103149.024</v>
          </cell>
          <cell r="GD106">
            <v>104532.2009303668</v>
          </cell>
          <cell r="GE106">
            <v>92296.646000000008</v>
          </cell>
          <cell r="GF106">
            <v>4.0264961961254402</v>
          </cell>
          <cell r="GG106">
            <v>43582.073722403657</v>
          </cell>
          <cell r="GH106">
            <v>0</v>
          </cell>
        </row>
        <row r="107">
          <cell r="FX107">
            <v>0</v>
          </cell>
          <cell r="FY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</row>
        <row r="108">
          <cell r="A108" t="str">
            <v>CURRENT ASSETS</v>
          </cell>
          <cell r="AT108">
            <v>0</v>
          </cell>
          <cell r="AY108">
            <v>0</v>
          </cell>
          <cell r="AZ108" t="str">
            <v>CURRENT ASSETS</v>
          </cell>
          <cell r="BX108">
            <v>0</v>
          </cell>
          <cell r="CD108">
            <v>0</v>
          </cell>
          <cell r="CT108">
            <v>0</v>
          </cell>
          <cell r="FW108" t="str">
            <v>CURRENT ASSETS</v>
          </cell>
          <cell r="FX108">
            <v>0</v>
          </cell>
          <cell r="FY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 t="e">
            <v>#DIV/0!</v>
          </cell>
          <cell r="GG108">
            <v>0</v>
          </cell>
          <cell r="GH108">
            <v>0</v>
          </cell>
        </row>
        <row r="109">
          <cell r="A109" t="str">
            <v>Acc.receivable</v>
          </cell>
          <cell r="M109" t="str">
            <v xml:space="preserve"> </v>
          </cell>
          <cell r="Q109">
            <v>47.584000000000003</v>
          </cell>
          <cell r="U109">
            <v>47.584000000000003</v>
          </cell>
          <cell r="Z109">
            <v>4.8289999999999997</v>
          </cell>
          <cell r="AD109">
            <v>52.413000000000004</v>
          </cell>
          <cell r="AR109">
            <v>9.1999999999999998E-2</v>
          </cell>
          <cell r="AT109">
            <v>52.505000000000003</v>
          </cell>
          <cell r="AX109">
            <v>52.505000000000003</v>
          </cell>
          <cell r="AY109">
            <v>0</v>
          </cell>
          <cell r="AZ109" t="str">
            <v>Acc.receivable</v>
          </cell>
          <cell r="BC109" t="str">
            <v xml:space="preserve">                                                                                                                      </v>
          </cell>
          <cell r="BE109" t="str">
            <v xml:space="preserve"> </v>
          </cell>
          <cell r="BQ109">
            <v>198.209</v>
          </cell>
          <cell r="BU109">
            <v>198.209</v>
          </cell>
          <cell r="BX109">
            <v>0</v>
          </cell>
          <cell r="BZ109">
            <v>20.088999999999999</v>
          </cell>
          <cell r="CD109">
            <v>218.298</v>
          </cell>
          <cell r="CR109">
            <v>0.38500000000000001</v>
          </cell>
          <cell r="CT109">
            <v>218.68299999999999</v>
          </cell>
          <cell r="CX109">
            <v>218.68299999999999</v>
          </cell>
          <cell r="FI109">
            <v>198.209</v>
          </cell>
          <cell r="FL109">
            <v>20.088999999999999</v>
          </cell>
          <cell r="FN109">
            <v>218.298</v>
          </cell>
          <cell r="FR109">
            <v>0</v>
          </cell>
          <cell r="FS109">
            <v>0.38500000000000001</v>
          </cell>
          <cell r="FT109">
            <v>218.68299999999999</v>
          </cell>
          <cell r="FV109">
            <v>218.68299999999999</v>
          </cell>
          <cell r="FW109" t="str">
            <v>Acc.receivable</v>
          </cell>
          <cell r="FX109">
            <v>218.298</v>
          </cell>
          <cell r="FY109">
            <v>0</v>
          </cell>
          <cell r="GA109">
            <v>218.298</v>
          </cell>
          <cell r="GB109">
            <v>221.22526722790138</v>
          </cell>
          <cell r="GC109">
            <v>218.68299999999999</v>
          </cell>
          <cell r="GD109">
            <v>221.61542988574863</v>
          </cell>
          <cell r="GE109">
            <v>0.38499999999999091</v>
          </cell>
          <cell r="GF109">
            <v>4.1649938101133221</v>
          </cell>
          <cell r="GG109">
            <v>436.65969954278256</v>
          </cell>
          <cell r="GH109">
            <v>0</v>
          </cell>
        </row>
        <row r="110">
          <cell r="A110" t="str">
            <v>customers</v>
          </cell>
          <cell r="I110">
            <v>0</v>
          </cell>
          <cell r="M110" t="str">
            <v xml:space="preserve"> </v>
          </cell>
          <cell r="O110">
            <v>3649.5</v>
          </cell>
          <cell r="Q110">
            <v>707.06600000000003</v>
          </cell>
          <cell r="U110">
            <v>707.06600000000003</v>
          </cell>
          <cell r="W110">
            <v>73</v>
          </cell>
          <cell r="X110">
            <v>73</v>
          </cell>
          <cell r="Z110">
            <v>18.760999999999999</v>
          </cell>
          <cell r="AD110">
            <v>871.827</v>
          </cell>
          <cell r="AJ110">
            <v>0</v>
          </cell>
          <cell r="AL110">
            <v>337</v>
          </cell>
          <cell r="AP110">
            <v>337</v>
          </cell>
          <cell r="AT110">
            <v>4858.3270000000002</v>
          </cell>
          <cell r="AX110">
            <v>4858.3270000000002</v>
          </cell>
          <cell r="AY110">
            <v>0</v>
          </cell>
          <cell r="AZ110" t="str">
            <v>customers</v>
          </cell>
          <cell r="BI110">
            <v>0</v>
          </cell>
          <cell r="BO110">
            <v>15182.5</v>
          </cell>
          <cell r="BQ110">
            <v>2941.3939999999998</v>
          </cell>
          <cell r="BU110">
            <v>2941.3939999999998</v>
          </cell>
          <cell r="BW110">
            <v>303.5</v>
          </cell>
          <cell r="BX110">
            <v>303.5</v>
          </cell>
          <cell r="BZ110">
            <v>78.046000000000006</v>
          </cell>
          <cell r="CD110">
            <v>3626.44</v>
          </cell>
          <cell r="CJ110">
            <v>0</v>
          </cell>
          <cell r="CL110">
            <v>1401</v>
          </cell>
          <cell r="CP110">
            <v>1401</v>
          </cell>
          <cell r="CT110">
            <v>20209.939999999999</v>
          </cell>
          <cell r="CX110">
            <v>20209.939999999999</v>
          </cell>
          <cell r="FH110">
            <v>15182.5</v>
          </cell>
          <cell r="FI110">
            <v>2941.3939999999998</v>
          </cell>
          <cell r="FJ110">
            <v>303.5</v>
          </cell>
          <cell r="FK110">
            <v>303.5</v>
          </cell>
          <cell r="FL110">
            <v>78.046000000000006</v>
          </cell>
          <cell r="FN110">
            <v>3626.44</v>
          </cell>
          <cell r="FO110">
            <v>0</v>
          </cell>
          <cell r="FP110">
            <v>1611.88</v>
          </cell>
          <cell r="FR110">
            <v>1611.88</v>
          </cell>
          <cell r="FS110">
            <v>0</v>
          </cell>
          <cell r="FT110">
            <v>20420.82</v>
          </cell>
          <cell r="FU110">
            <v>-212</v>
          </cell>
          <cell r="FV110">
            <v>20208.82</v>
          </cell>
          <cell r="FW110" t="str">
            <v>customers</v>
          </cell>
          <cell r="FX110">
            <v>3626.44</v>
          </cell>
          <cell r="FY110">
            <v>1611.88</v>
          </cell>
          <cell r="GA110">
            <v>5238.32</v>
          </cell>
          <cell r="GB110">
            <v>5308.5632567648818</v>
          </cell>
          <cell r="GC110">
            <v>20208.82</v>
          </cell>
          <cell r="GD110">
            <v>20479.810190018037</v>
          </cell>
          <cell r="GE110">
            <v>14970.5</v>
          </cell>
          <cell r="GF110">
            <v>4.1596253195801758</v>
          </cell>
          <cell r="GG110">
            <v>21139.00009322874</v>
          </cell>
          <cell r="GH110">
            <v>0</v>
          </cell>
        </row>
        <row r="111">
          <cell r="A111" t="str">
            <v>checks receivable</v>
          </cell>
          <cell r="I111">
            <v>0</v>
          </cell>
          <cell r="M111">
            <v>38.849639423076923</v>
          </cell>
          <cell r="O111">
            <v>197</v>
          </cell>
          <cell r="Q111">
            <v>151.65600000000001</v>
          </cell>
          <cell r="U111">
            <v>151.65600000000001</v>
          </cell>
          <cell r="W111">
            <v>90</v>
          </cell>
          <cell r="X111">
            <v>90</v>
          </cell>
          <cell r="Z111">
            <v>3.4569999999999999</v>
          </cell>
          <cell r="AD111">
            <v>335.113</v>
          </cell>
          <cell r="AJ111">
            <v>0</v>
          </cell>
          <cell r="AL111">
            <v>83</v>
          </cell>
          <cell r="AP111">
            <v>83</v>
          </cell>
          <cell r="AT111">
            <v>653.96263942307689</v>
          </cell>
          <cell r="AX111">
            <v>653.96263942307689</v>
          </cell>
          <cell r="AY111">
            <v>0</v>
          </cell>
          <cell r="AZ111" t="str">
            <v>checks receivable</v>
          </cell>
          <cell r="BI111">
            <v>0</v>
          </cell>
          <cell r="BM111">
            <v>161.61449999999999</v>
          </cell>
          <cell r="BO111">
            <v>819.5</v>
          </cell>
          <cell r="BQ111">
            <v>630.89099999999996</v>
          </cell>
          <cell r="BU111">
            <v>630.89099999999996</v>
          </cell>
          <cell r="BW111">
            <v>375</v>
          </cell>
          <cell r="BX111">
            <v>375</v>
          </cell>
          <cell r="BZ111">
            <v>14.382</v>
          </cell>
          <cell r="CD111">
            <v>1395.2730000000001</v>
          </cell>
          <cell r="CJ111">
            <v>0</v>
          </cell>
          <cell r="CL111">
            <v>347</v>
          </cell>
          <cell r="CP111">
            <v>347</v>
          </cell>
          <cell r="CT111">
            <v>2723.3874999999998</v>
          </cell>
          <cell r="CX111">
            <v>2723.3874999999998</v>
          </cell>
          <cell r="FG111">
            <v>161.61449999999999</v>
          </cell>
          <cell r="FH111">
            <v>819.5</v>
          </cell>
          <cell r="FI111">
            <v>630.89099999999996</v>
          </cell>
          <cell r="FJ111">
            <v>375</v>
          </cell>
          <cell r="FK111">
            <v>375</v>
          </cell>
          <cell r="FL111">
            <v>14</v>
          </cell>
          <cell r="FN111">
            <v>1394.8910000000001</v>
          </cell>
          <cell r="FO111">
            <v>0</v>
          </cell>
          <cell r="FP111">
            <v>345.28</v>
          </cell>
          <cell r="FR111">
            <v>345.28</v>
          </cell>
          <cell r="FS111">
            <v>0</v>
          </cell>
          <cell r="FT111">
            <v>2721.2855</v>
          </cell>
          <cell r="FV111">
            <v>2721.2855</v>
          </cell>
          <cell r="FW111" t="str">
            <v>checks receivable</v>
          </cell>
          <cell r="FX111">
            <v>1394.8910000000001</v>
          </cell>
          <cell r="FY111">
            <v>345.28</v>
          </cell>
          <cell r="GA111">
            <v>1740.171</v>
          </cell>
          <cell r="GB111">
            <v>1763.505824594107</v>
          </cell>
          <cell r="GC111">
            <v>2721.2855</v>
          </cell>
          <cell r="GD111">
            <v>2757.7765803668067</v>
          </cell>
          <cell r="GE111">
            <v>981.11449999999991</v>
          </cell>
          <cell r="GF111">
            <v>4.1612247182816233</v>
          </cell>
          <cell r="GG111">
            <v>1145.2621686458447</v>
          </cell>
          <cell r="GH111">
            <v>0</v>
          </cell>
        </row>
        <row r="112">
          <cell r="A112" t="str">
            <v>prov.doubtf.debts</v>
          </cell>
          <cell r="I112">
            <v>0</v>
          </cell>
          <cell r="M112">
            <v>-101.86141826923077</v>
          </cell>
          <cell r="O112">
            <v>-9</v>
          </cell>
          <cell r="Q112">
            <v>-162.01900000000001</v>
          </cell>
          <cell r="U112">
            <v>-162.01900000000001</v>
          </cell>
          <cell r="W112">
            <v>-36</v>
          </cell>
          <cell r="X112">
            <v>-36</v>
          </cell>
          <cell r="Z112">
            <v>-5.5279999999999996</v>
          </cell>
          <cell r="AD112">
            <v>-239.547</v>
          </cell>
          <cell r="AJ112">
            <v>0</v>
          </cell>
          <cell r="AL112">
            <v>-104</v>
          </cell>
          <cell r="AP112">
            <v>-104</v>
          </cell>
          <cell r="AT112">
            <v>-454.40841826923076</v>
          </cell>
          <cell r="AX112">
            <v>-454.40841826923076</v>
          </cell>
          <cell r="AY112">
            <v>0</v>
          </cell>
          <cell r="AZ112" t="str">
            <v>prov.doubtf.debts</v>
          </cell>
          <cell r="BI112">
            <v>0</v>
          </cell>
          <cell r="BM112">
            <v>-423.74349999999998</v>
          </cell>
          <cell r="BO112">
            <v>-37.5</v>
          </cell>
          <cell r="BQ112">
            <v>-674</v>
          </cell>
          <cell r="BU112">
            <v>-674</v>
          </cell>
          <cell r="BW112">
            <v>-149</v>
          </cell>
          <cell r="BX112">
            <v>-149</v>
          </cell>
          <cell r="BZ112">
            <v>-23</v>
          </cell>
          <cell r="CD112">
            <v>-995</v>
          </cell>
          <cell r="CH112">
            <v>0</v>
          </cell>
          <cell r="CJ112">
            <v>0</v>
          </cell>
          <cell r="CL112">
            <v>-431</v>
          </cell>
          <cell r="CP112">
            <v>-431</v>
          </cell>
          <cell r="CT112">
            <v>-1887.2435</v>
          </cell>
          <cell r="CV112">
            <v>0</v>
          </cell>
          <cell r="CX112">
            <v>-1887.2435</v>
          </cell>
          <cell r="FG112">
            <v>-423.74349999999998</v>
          </cell>
          <cell r="FH112">
            <v>-37.5</v>
          </cell>
          <cell r="FI112">
            <v>-674</v>
          </cell>
          <cell r="FJ112">
            <v>-149</v>
          </cell>
          <cell r="FK112">
            <v>-149</v>
          </cell>
          <cell r="FL112">
            <v>-23</v>
          </cell>
          <cell r="FN112">
            <v>-995</v>
          </cell>
          <cell r="FO112">
            <v>0</v>
          </cell>
          <cell r="FP112">
            <v>-431</v>
          </cell>
          <cell r="FR112">
            <v>-431</v>
          </cell>
          <cell r="FS112">
            <v>0</v>
          </cell>
          <cell r="FT112">
            <v>-1887.2435</v>
          </cell>
          <cell r="FU112" t="str">
            <v>לשאול את גיא</v>
          </cell>
          <cell r="FV112">
            <v>-1887.2435</v>
          </cell>
          <cell r="FW112" t="str">
            <v>prov.doubtf.debts</v>
          </cell>
          <cell r="FX112">
            <v>-995</v>
          </cell>
          <cell r="FY112">
            <v>-431</v>
          </cell>
          <cell r="GA112">
            <v>-1426</v>
          </cell>
          <cell r="GB112">
            <v>-1445.1219482862296</v>
          </cell>
          <cell r="GC112">
            <v>-1887.2435</v>
          </cell>
          <cell r="GD112">
            <v>-1912.550493415514</v>
          </cell>
          <cell r="GE112">
            <v>-461.24350000000004</v>
          </cell>
          <cell r="GF112">
            <v>4.1531878022599358</v>
          </cell>
          <cell r="GG112">
            <v>-953.14954410804637</v>
          </cell>
          <cell r="GH112">
            <v>0</v>
          </cell>
        </row>
        <row r="113">
          <cell r="A113" t="str">
            <v>related companies</v>
          </cell>
          <cell r="C113">
            <v>-17941.614999999998</v>
          </cell>
          <cell r="E113">
            <v>18208.349999999999</v>
          </cell>
          <cell r="I113">
            <v>266.73500000000058</v>
          </cell>
          <cell r="M113">
            <v>227.57175480769229</v>
          </cell>
          <cell r="O113">
            <v>7.5</v>
          </cell>
          <cell r="Q113">
            <v>4890.2530000000006</v>
          </cell>
          <cell r="S113">
            <v>-15.269</v>
          </cell>
          <cell r="U113">
            <v>4874.9840000000004</v>
          </cell>
          <cell r="W113">
            <v>218.5</v>
          </cell>
          <cell r="X113">
            <v>218.5</v>
          </cell>
          <cell r="AD113">
            <v>5311.9840000000004</v>
          </cell>
          <cell r="AF113">
            <v>42.854999999999997</v>
          </cell>
          <cell r="AJ113">
            <v>42.854999999999997</v>
          </cell>
          <cell r="AL113">
            <v>216</v>
          </cell>
          <cell r="AN113">
            <v>-26.103999999999999</v>
          </cell>
          <cell r="AP113">
            <v>232.75100000000003</v>
          </cell>
          <cell r="AR113">
            <v>1805</v>
          </cell>
          <cell r="AT113">
            <v>7851.541754807693</v>
          </cell>
          <cell r="AV113">
            <v>-5858.0150000000003</v>
          </cell>
          <cell r="AX113">
            <v>1993.5267548076927</v>
          </cell>
          <cell r="AY113">
            <v>0</v>
          </cell>
          <cell r="AZ113" t="str">
            <v>related companies</v>
          </cell>
          <cell r="BC113">
            <v>-67408.320000000007</v>
          </cell>
          <cell r="BE113">
            <v>67408.320000000007</v>
          </cell>
          <cell r="BG113">
            <v>0</v>
          </cell>
          <cell r="BI113">
            <v>0</v>
          </cell>
          <cell r="BM113">
            <v>946.69849999999997</v>
          </cell>
          <cell r="BO113">
            <v>30.5</v>
          </cell>
          <cell r="BQ113">
            <v>18611.771999999997</v>
          </cell>
          <cell r="BU113">
            <v>18611.771999999997</v>
          </cell>
          <cell r="BW113">
            <v>909</v>
          </cell>
          <cell r="BX113">
            <v>909</v>
          </cell>
          <cell r="CD113">
            <v>20429.771999999997</v>
          </cell>
          <cell r="CF113">
            <v>178.279</v>
          </cell>
          <cell r="CH113">
            <v>0</v>
          </cell>
          <cell r="CJ113">
            <v>178.279</v>
          </cell>
          <cell r="CL113">
            <v>898</v>
          </cell>
          <cell r="CN113">
            <v>-108.59399999999999</v>
          </cell>
          <cell r="CP113">
            <v>967.68499999999995</v>
          </cell>
          <cell r="CR113">
            <v>7508.2929999999997</v>
          </cell>
          <cell r="CT113">
            <v>29882.948499999995</v>
          </cell>
          <cell r="CV113">
            <v>-23376.774000000001</v>
          </cell>
          <cell r="CX113">
            <v>6506.1744999999937</v>
          </cell>
          <cell r="FC113">
            <v>-67407.64</v>
          </cell>
          <cell r="FD113">
            <v>67407.64</v>
          </cell>
          <cell r="FE113">
            <v>1109.6199999999999</v>
          </cell>
          <cell r="FF113">
            <v>1109.6199999999999</v>
          </cell>
          <cell r="FG113">
            <v>946.69849999999997</v>
          </cell>
          <cell r="FH113">
            <v>30.5</v>
          </cell>
          <cell r="FI113">
            <v>20279.382999999998</v>
          </cell>
          <cell r="FJ113">
            <v>909</v>
          </cell>
          <cell r="FK113">
            <v>909</v>
          </cell>
          <cell r="FN113">
            <v>22097.382999999998</v>
          </cell>
          <cell r="FO113">
            <v>178.279</v>
          </cell>
          <cell r="FP113">
            <v>898</v>
          </cell>
          <cell r="FR113">
            <v>1076.279</v>
          </cell>
          <cell r="FS113">
            <v>7508.2920000000004</v>
          </cell>
          <cell r="FT113">
            <v>32768.772499999999</v>
          </cell>
          <cell r="FU113">
            <v>-24473.342400000001</v>
          </cell>
          <cell r="FV113">
            <v>8295.4300999999978</v>
          </cell>
          <cell r="FW113" t="str">
            <v>related companies</v>
          </cell>
          <cell r="FX113">
            <v>22097.382999999998</v>
          </cell>
          <cell r="FY113">
            <v>1076.279</v>
          </cell>
          <cell r="GA113">
            <v>23173.661999999997</v>
          </cell>
          <cell r="GB113">
            <v>23484.409241491277</v>
          </cell>
          <cell r="GC113">
            <v>8295.4300999999978</v>
          </cell>
          <cell r="GD113">
            <v>8406.6676774082953</v>
          </cell>
          <cell r="GE113">
            <v>-14878.231899999999</v>
          </cell>
          <cell r="GF113">
            <v>4.1611832296678779</v>
          </cell>
          <cell r="GG113">
            <v>1001.4062328339301</v>
          </cell>
          <cell r="GH113">
            <v>0</v>
          </cell>
          <cell r="HJ113" t="str">
            <v>------~:tac~</v>
          </cell>
        </row>
        <row r="114">
          <cell r="A114" t="str">
            <v>INCOME TAX</v>
          </cell>
          <cell r="B114">
            <v>0.36</v>
          </cell>
          <cell r="C114">
            <v>4344.4549999999999</v>
          </cell>
          <cell r="G114">
            <v>-5030.1838852202718</v>
          </cell>
          <cell r="I114">
            <v>-685.72888522027188</v>
          </cell>
          <cell r="M114" t="str">
            <v xml:space="preserve"> </v>
          </cell>
          <cell r="O114">
            <v>397.5</v>
          </cell>
          <cell r="U114">
            <v>0</v>
          </cell>
          <cell r="W114">
            <v>353</v>
          </cell>
          <cell r="X114">
            <v>353</v>
          </cell>
          <cell r="Z114">
            <v>51.353000000000002</v>
          </cell>
          <cell r="AD114">
            <v>757.35299999999995</v>
          </cell>
          <cell r="AJ114">
            <v>0</v>
          </cell>
          <cell r="AP114">
            <v>0</v>
          </cell>
          <cell r="AT114">
            <v>469.12411477972807</v>
          </cell>
          <cell r="AV114">
            <v>-94.021692307692305</v>
          </cell>
          <cell r="AX114">
            <v>375.10242247203576</v>
          </cell>
          <cell r="AY114">
            <v>0</v>
          </cell>
          <cell r="AZ114" t="str">
            <v>INCOME TAX</v>
          </cell>
          <cell r="BA114">
            <v>0.36</v>
          </cell>
          <cell r="BC114">
            <v>16044.262000000001</v>
          </cell>
          <cell r="BG114">
            <v>-18618.462406415285</v>
          </cell>
          <cell r="BI114">
            <v>-2574.2004064152843</v>
          </cell>
          <cell r="BO114">
            <v>430.5</v>
          </cell>
          <cell r="BU114">
            <v>0</v>
          </cell>
          <cell r="BW114">
            <v>1469.5</v>
          </cell>
          <cell r="BX114">
            <v>1469.5</v>
          </cell>
          <cell r="BZ114">
            <v>213.62700000000001</v>
          </cell>
          <cell r="CD114">
            <v>3152.627</v>
          </cell>
          <cell r="CH114">
            <v>0</v>
          </cell>
          <cell r="CJ114">
            <v>0</v>
          </cell>
          <cell r="CL114">
            <v>165</v>
          </cell>
          <cell r="CP114">
            <v>165</v>
          </cell>
          <cell r="CT114">
            <v>1173.9265935847156</v>
          </cell>
          <cell r="CV114">
            <v>0</v>
          </cell>
          <cell r="CX114">
            <v>1173.9265935847156</v>
          </cell>
          <cell r="FC114">
            <v>16044.262000000001</v>
          </cell>
          <cell r="FE114">
            <v>-18588.940406415284</v>
          </cell>
          <cell r="FF114">
            <v>-2544.6784064152835</v>
          </cell>
          <cell r="FH114">
            <v>1652</v>
          </cell>
          <cell r="FJ114">
            <v>1469</v>
          </cell>
          <cell r="FK114">
            <v>1469</v>
          </cell>
          <cell r="FN114">
            <v>2938</v>
          </cell>
          <cell r="FO114">
            <v>0</v>
          </cell>
          <cell r="FR114">
            <v>0</v>
          </cell>
          <cell r="FS114">
            <v>0</v>
          </cell>
          <cell r="FT114">
            <v>2045.3215935847165</v>
          </cell>
          <cell r="FU114">
            <v>0</v>
          </cell>
          <cell r="FV114">
            <v>2045.3215935847165</v>
          </cell>
          <cell r="FW114" t="str">
            <v>INCOME TAX</v>
          </cell>
          <cell r="FX114">
            <v>2938</v>
          </cell>
          <cell r="FY114">
            <v>0</v>
          </cell>
          <cell r="GA114">
            <v>2938</v>
          </cell>
          <cell r="GB114">
            <v>2977.39711365003</v>
          </cell>
          <cell r="GC114">
            <v>2045.3215935847165</v>
          </cell>
          <cell r="GD114">
            <v>2072.7483353387388</v>
          </cell>
          <cell r="GE114">
            <v>-892.67840641528346</v>
          </cell>
          <cell r="GF114">
            <v>5.4527016384096996</v>
          </cell>
          <cell r="GG114">
            <v>2473.8340885893531</v>
          </cell>
          <cell r="GH114">
            <v>0</v>
          </cell>
        </row>
        <row r="115">
          <cell r="A115" t="str">
            <v>VAT</v>
          </cell>
          <cell r="C115">
            <v>7.0000000000000001E-3</v>
          </cell>
          <cell r="I115">
            <v>7.0000000000000001E-3</v>
          </cell>
          <cell r="M115" t="str">
            <v xml:space="preserve"> </v>
          </cell>
          <cell r="O115">
            <v>17.5</v>
          </cell>
          <cell r="W115">
            <v>212.5</v>
          </cell>
          <cell r="X115">
            <v>212.5</v>
          </cell>
          <cell r="AD115">
            <v>425</v>
          </cell>
          <cell r="AT115">
            <v>442.50700000000001</v>
          </cell>
          <cell r="AX115">
            <v>442.50700000000001</v>
          </cell>
          <cell r="AY115">
            <v>0</v>
          </cell>
          <cell r="AZ115" t="str">
            <v>VAT</v>
          </cell>
          <cell r="BC115">
            <v>0</v>
          </cell>
          <cell r="BI115">
            <v>0</v>
          </cell>
          <cell r="BW115">
            <v>883</v>
          </cell>
          <cell r="BX115">
            <v>883</v>
          </cell>
          <cell r="CD115">
            <v>1766</v>
          </cell>
          <cell r="CP115">
            <v>0</v>
          </cell>
          <cell r="CT115">
            <v>1766</v>
          </cell>
          <cell r="CX115">
            <v>1766</v>
          </cell>
          <cell r="FC115">
            <v>0</v>
          </cell>
          <cell r="FF115">
            <v>0</v>
          </cell>
          <cell r="FH115">
            <v>72.5</v>
          </cell>
          <cell r="FJ115">
            <v>883</v>
          </cell>
          <cell r="FK115">
            <v>883</v>
          </cell>
          <cell r="FN115">
            <v>1766</v>
          </cell>
          <cell r="FR115">
            <v>0</v>
          </cell>
          <cell r="FS115">
            <v>0</v>
          </cell>
          <cell r="FT115">
            <v>1838.5</v>
          </cell>
          <cell r="FV115">
            <v>1838.5</v>
          </cell>
          <cell r="FW115" t="str">
            <v>VAT</v>
          </cell>
          <cell r="FX115">
            <v>1766</v>
          </cell>
          <cell r="FY115">
            <v>0</v>
          </cell>
          <cell r="GA115">
            <v>1766</v>
          </cell>
          <cell r="GB115">
            <v>1789.6811785929042</v>
          </cell>
          <cell r="GC115">
            <v>1838.5</v>
          </cell>
          <cell r="GD115">
            <v>1863.1533674082982</v>
          </cell>
          <cell r="GE115">
            <v>72.5</v>
          </cell>
          <cell r="GF115">
            <v>4.1547365352412502</v>
          </cell>
        </row>
        <row r="116">
          <cell r="A116" t="str">
            <v>prepaid exp.</v>
          </cell>
          <cell r="I116">
            <v>0</v>
          </cell>
          <cell r="M116">
            <v>5.2531249999999998</v>
          </cell>
          <cell r="O116">
            <v>39.5</v>
          </cell>
          <cell r="Q116">
            <v>237.34700000000001</v>
          </cell>
          <cell r="U116">
            <v>237.34700000000001</v>
          </cell>
          <cell r="W116">
            <v>36.5</v>
          </cell>
          <cell r="X116">
            <v>36.5</v>
          </cell>
          <cell r="AD116">
            <v>310.34699999999998</v>
          </cell>
          <cell r="AH116">
            <v>0</v>
          </cell>
          <cell r="AJ116">
            <v>0</v>
          </cell>
          <cell r="AL116">
            <v>42</v>
          </cell>
          <cell r="AP116">
            <v>42</v>
          </cell>
          <cell r="AR116">
            <v>17.288</v>
          </cell>
          <cell r="AT116">
            <v>414.388125</v>
          </cell>
          <cell r="AX116">
            <v>414.388125</v>
          </cell>
          <cell r="AY116">
            <v>0</v>
          </cell>
          <cell r="AZ116" t="str">
            <v>prepaid exp.</v>
          </cell>
          <cell r="BA116" t="str">
            <v>='ני"ע 2'!BO28+'ני"ע 2'!BK29-BH286+'ני"ע 2'!BO30-BD105+'ני"ע 2'!BK42+BH297+'ני"ע 2'!BO18+'ני"ע 2'!BO2</v>
          </cell>
          <cell r="BI116">
            <v>0</v>
          </cell>
          <cell r="BM116">
            <v>21.853000000000002</v>
          </cell>
          <cell r="BO116">
            <v>152</v>
          </cell>
          <cell r="BQ116">
            <v>950.13699999999994</v>
          </cell>
          <cell r="BU116">
            <v>950.13699999999994</v>
          </cell>
          <cell r="BW116">
            <v>138</v>
          </cell>
          <cell r="BX116">
            <v>138</v>
          </cell>
          <cell r="CD116">
            <v>1226.1369999999999</v>
          </cell>
          <cell r="CH116">
            <v>0</v>
          </cell>
          <cell r="CJ116">
            <v>0</v>
          </cell>
          <cell r="CL116">
            <v>167</v>
          </cell>
          <cell r="CP116">
            <v>167</v>
          </cell>
          <cell r="CR116">
            <v>75.406999999999996</v>
          </cell>
          <cell r="CT116">
            <v>1642.3969999999999</v>
          </cell>
          <cell r="CV116">
            <v>0</v>
          </cell>
          <cell r="CX116">
            <v>1642.3969999999999</v>
          </cell>
          <cell r="FG116">
            <v>21.853000000000002</v>
          </cell>
          <cell r="FH116">
            <v>158</v>
          </cell>
          <cell r="FI116">
            <v>964.50800000000004</v>
          </cell>
          <cell r="FJ116">
            <v>154</v>
          </cell>
          <cell r="FK116">
            <v>154</v>
          </cell>
          <cell r="FN116">
            <v>1272.508</v>
          </cell>
          <cell r="FO116">
            <v>0</v>
          </cell>
          <cell r="FR116">
            <v>0</v>
          </cell>
          <cell r="FS116">
            <v>71.917000000000002</v>
          </cell>
          <cell r="FT116">
            <v>1524.278</v>
          </cell>
          <cell r="FU116">
            <v>212</v>
          </cell>
          <cell r="FV116">
            <v>1736.278</v>
          </cell>
          <cell r="FW116" t="str">
            <v>prepaid exp.</v>
          </cell>
          <cell r="FX116">
            <v>1272.508</v>
          </cell>
          <cell r="FY116">
            <v>0</v>
          </cell>
          <cell r="GA116">
            <v>1272.508</v>
          </cell>
          <cell r="GB116">
            <v>1289.5716971737822</v>
          </cell>
          <cell r="GC116">
            <v>1736.278</v>
          </cell>
          <cell r="GD116">
            <v>1759.5606214070956</v>
          </cell>
          <cell r="GE116">
            <v>463.77</v>
          </cell>
          <cell r="GF116">
            <v>4.1899801062108137</v>
          </cell>
          <cell r="GG116">
            <v>892.34944870385368</v>
          </cell>
          <cell r="GH116">
            <v>0</v>
          </cell>
          <cell r="HJ116" t="str">
            <v>:fu~~</v>
          </cell>
        </row>
        <row r="117">
          <cell r="A117" t="str">
            <v>i.c.p.</v>
          </cell>
          <cell r="I117">
            <v>0</v>
          </cell>
          <cell r="M117" t="str">
            <v xml:space="preserve"> </v>
          </cell>
          <cell r="U117">
            <v>0</v>
          </cell>
          <cell r="W117">
            <v>0</v>
          </cell>
          <cell r="X117">
            <v>0</v>
          </cell>
          <cell r="AD117">
            <v>0</v>
          </cell>
          <cell r="AJ117">
            <v>0</v>
          </cell>
          <cell r="AP117">
            <v>0</v>
          </cell>
          <cell r="AT117">
            <v>0</v>
          </cell>
          <cell r="AX117">
            <v>0</v>
          </cell>
          <cell r="AY117">
            <v>0</v>
          </cell>
          <cell r="AZ117" t="str">
            <v>i.c.p.</v>
          </cell>
          <cell r="BI117">
            <v>0</v>
          </cell>
          <cell r="BQ117">
            <v>1667.6110000000001</v>
          </cell>
          <cell r="BU117">
            <v>1667.6110000000001</v>
          </cell>
          <cell r="BW117">
            <v>0</v>
          </cell>
          <cell r="BX117">
            <v>0</v>
          </cell>
          <cell r="CD117">
            <v>1667.6110000000001</v>
          </cell>
          <cell r="CJ117">
            <v>0</v>
          </cell>
          <cell r="CP117">
            <v>0</v>
          </cell>
          <cell r="CT117">
            <v>1667.6110000000001</v>
          </cell>
          <cell r="CX117">
            <v>1667.6110000000001</v>
          </cell>
          <cell r="FJ117">
            <v>0</v>
          </cell>
          <cell r="FK117">
            <v>0</v>
          </cell>
          <cell r="FN117">
            <v>0</v>
          </cell>
          <cell r="FO117">
            <v>0</v>
          </cell>
          <cell r="FR117">
            <v>0</v>
          </cell>
          <cell r="FS117">
            <v>0</v>
          </cell>
          <cell r="FT117">
            <v>0</v>
          </cell>
          <cell r="FV117">
            <v>0</v>
          </cell>
          <cell r="FW117" t="str">
            <v>i.c.p.</v>
          </cell>
          <cell r="FX117">
            <v>0</v>
          </cell>
          <cell r="FY117">
            <v>0</v>
          </cell>
          <cell r="GA117">
            <v>0</v>
          </cell>
          <cell r="GB117">
            <v>0</v>
          </cell>
          <cell r="GC117">
            <v>0</v>
          </cell>
          <cell r="GD117">
            <v>0</v>
          </cell>
          <cell r="GE117">
            <v>0</v>
          </cell>
          <cell r="GF117" t="e">
            <v>#DIV/0!</v>
          </cell>
          <cell r="GG117">
            <v>1842.3106829941539</v>
          </cell>
          <cell r="GH117">
            <v>0</v>
          </cell>
        </row>
        <row r="118">
          <cell r="A118" t="str">
            <v>employees</v>
          </cell>
          <cell r="I118">
            <v>0</v>
          </cell>
          <cell r="M118" t="str">
            <v xml:space="preserve"> </v>
          </cell>
          <cell r="O118">
            <v>18.5</v>
          </cell>
          <cell r="U118">
            <v>0</v>
          </cell>
          <cell r="W118">
            <v>0</v>
          </cell>
          <cell r="X118">
            <v>0</v>
          </cell>
          <cell r="AD118">
            <v>0</v>
          </cell>
          <cell r="AJ118">
            <v>0</v>
          </cell>
          <cell r="AP118">
            <v>0</v>
          </cell>
          <cell r="AT118">
            <v>18.5</v>
          </cell>
          <cell r="AX118">
            <v>18.5</v>
          </cell>
          <cell r="AY118">
            <v>0</v>
          </cell>
          <cell r="AZ118" t="str">
            <v>employees</v>
          </cell>
          <cell r="BI118">
            <v>0</v>
          </cell>
          <cell r="BO118">
            <v>78</v>
          </cell>
          <cell r="BU118">
            <v>0</v>
          </cell>
          <cell r="BW118">
            <v>0</v>
          </cell>
          <cell r="BX118">
            <v>0</v>
          </cell>
          <cell r="CD118">
            <v>0</v>
          </cell>
          <cell r="CH118">
            <v>0</v>
          </cell>
          <cell r="CJ118">
            <v>0</v>
          </cell>
          <cell r="CP118">
            <v>0</v>
          </cell>
          <cell r="CT118">
            <v>78</v>
          </cell>
          <cell r="CX118">
            <v>78</v>
          </cell>
          <cell r="FH118">
            <v>78</v>
          </cell>
          <cell r="FJ118">
            <v>0</v>
          </cell>
          <cell r="FK118">
            <v>0</v>
          </cell>
          <cell r="FN118">
            <v>0</v>
          </cell>
          <cell r="FR118">
            <v>0</v>
          </cell>
          <cell r="FS118">
            <v>0</v>
          </cell>
          <cell r="FT118">
            <v>78</v>
          </cell>
          <cell r="FV118">
            <v>78</v>
          </cell>
          <cell r="FW118" t="str">
            <v>employees</v>
          </cell>
          <cell r="FX118">
            <v>0</v>
          </cell>
          <cell r="FY118">
            <v>0</v>
          </cell>
          <cell r="GA118">
            <v>0</v>
          </cell>
          <cell r="GB118">
            <v>0</v>
          </cell>
          <cell r="GC118">
            <v>78</v>
          </cell>
          <cell r="GD118">
            <v>79.045941070354772</v>
          </cell>
          <cell r="GE118">
            <v>78</v>
          </cell>
          <cell r="GF118">
            <v>4.2162162162162158</v>
          </cell>
          <cell r="GG118">
            <v>88.373110915994573</v>
          </cell>
          <cell r="GH118">
            <v>0</v>
          </cell>
          <cell r="HJ118" t="str">
            <v>/re~:fldb~{D}</v>
          </cell>
        </row>
        <row r="119">
          <cell r="A119" t="str">
            <v>suppliers</v>
          </cell>
          <cell r="I119">
            <v>0</v>
          </cell>
          <cell r="M119" t="str">
            <v xml:space="preserve"> </v>
          </cell>
          <cell r="Q119">
            <v>157.68100000000001</v>
          </cell>
          <cell r="U119">
            <v>157.68100000000001</v>
          </cell>
          <cell r="W119">
            <v>33</v>
          </cell>
          <cell r="X119">
            <v>33</v>
          </cell>
          <cell r="AD119">
            <v>223.68100000000001</v>
          </cell>
          <cell r="AJ119">
            <v>0</v>
          </cell>
          <cell r="AL119">
            <v>0.32500000000000001</v>
          </cell>
          <cell r="AP119">
            <v>0.32500000000000001</v>
          </cell>
          <cell r="AR119">
            <v>1</v>
          </cell>
          <cell r="AT119">
            <v>225.006</v>
          </cell>
          <cell r="AX119">
            <v>225.006</v>
          </cell>
          <cell r="AY119">
            <v>0</v>
          </cell>
          <cell r="AZ119" t="str">
            <v>suppliers</v>
          </cell>
          <cell r="BG119">
            <v>0</v>
          </cell>
          <cell r="BI119">
            <v>0</v>
          </cell>
          <cell r="BO119">
            <v>43</v>
          </cell>
          <cell r="BQ119">
            <v>657.19</v>
          </cell>
          <cell r="BU119">
            <v>657.19</v>
          </cell>
          <cell r="BW119">
            <v>136.5</v>
          </cell>
          <cell r="BX119">
            <v>136.5</v>
          </cell>
          <cell r="BZ119" t="str">
            <v xml:space="preserve"> </v>
          </cell>
          <cell r="CD119">
            <v>930.19</v>
          </cell>
          <cell r="CJ119">
            <v>0</v>
          </cell>
          <cell r="CL119">
            <v>0</v>
          </cell>
          <cell r="CP119">
            <v>0</v>
          </cell>
          <cell r="CT119">
            <v>973.19</v>
          </cell>
          <cell r="CX119">
            <v>973.19</v>
          </cell>
          <cell r="FI119">
            <v>657.19</v>
          </cell>
          <cell r="FJ119">
            <v>136.5</v>
          </cell>
          <cell r="FK119">
            <v>136.5</v>
          </cell>
          <cell r="FN119">
            <v>930.19</v>
          </cell>
          <cell r="FR119">
            <v>0</v>
          </cell>
          <cell r="FS119">
            <v>4.0949999999999998</v>
          </cell>
          <cell r="FT119">
            <v>934.28499999999997</v>
          </cell>
          <cell r="FV119">
            <v>934.28499999999997</v>
          </cell>
          <cell r="FW119" t="str">
            <v>suppliers</v>
          </cell>
          <cell r="FX119">
            <v>930.19</v>
          </cell>
          <cell r="FY119">
            <v>0</v>
          </cell>
          <cell r="GA119">
            <v>930.19</v>
          </cell>
          <cell r="GB119">
            <v>942.6633836440169</v>
          </cell>
          <cell r="GC119">
            <v>934.28499999999997</v>
          </cell>
          <cell r="GD119">
            <v>946.81329555021046</v>
          </cell>
          <cell r="GE119">
            <v>4.0950000000000273</v>
          </cell>
          <cell r="GF119">
            <v>4.1522670506564276</v>
          </cell>
          <cell r="GG119">
            <v>474.0597769922644</v>
          </cell>
          <cell r="GH119">
            <v>0</v>
          </cell>
        </row>
        <row r="120">
          <cell r="A120" t="str">
            <v>program material</v>
          </cell>
          <cell r="I120">
            <v>0</v>
          </cell>
          <cell r="M120" t="str">
            <v xml:space="preserve"> </v>
          </cell>
          <cell r="U120">
            <v>0</v>
          </cell>
          <cell r="W120">
            <v>0</v>
          </cell>
          <cell r="X120">
            <v>0</v>
          </cell>
          <cell r="AD120">
            <v>0</v>
          </cell>
          <cell r="AJ120">
            <v>0</v>
          </cell>
          <cell r="AN120">
            <v>0</v>
          </cell>
          <cell r="AP120">
            <v>0</v>
          </cell>
          <cell r="AT120">
            <v>0</v>
          </cell>
          <cell r="AX120">
            <v>0</v>
          </cell>
          <cell r="AY120">
            <v>0</v>
          </cell>
          <cell r="AZ120" t="str">
            <v>program material</v>
          </cell>
          <cell r="BG120">
            <v>0</v>
          </cell>
          <cell r="BI120">
            <v>0</v>
          </cell>
          <cell r="BU120">
            <v>0</v>
          </cell>
          <cell r="BW120">
            <v>0</v>
          </cell>
          <cell r="BX120">
            <v>0</v>
          </cell>
          <cell r="CD120">
            <v>0</v>
          </cell>
          <cell r="CJ120">
            <v>0</v>
          </cell>
          <cell r="CN120">
            <v>0</v>
          </cell>
          <cell r="CP120">
            <v>0</v>
          </cell>
          <cell r="CT120">
            <v>0</v>
          </cell>
          <cell r="CX120">
            <v>0</v>
          </cell>
          <cell r="FJ120">
            <v>0</v>
          </cell>
          <cell r="FK120">
            <v>0</v>
          </cell>
          <cell r="FN120">
            <v>0</v>
          </cell>
          <cell r="FO120">
            <v>0</v>
          </cell>
          <cell r="FQ120">
            <v>0</v>
          </cell>
          <cell r="FR120">
            <v>0</v>
          </cell>
          <cell r="FS120">
            <v>0</v>
          </cell>
          <cell r="FT120">
            <v>0</v>
          </cell>
          <cell r="FV120">
            <v>0</v>
          </cell>
          <cell r="FW120" t="str">
            <v>program material</v>
          </cell>
          <cell r="FX120">
            <v>0</v>
          </cell>
          <cell r="FY120">
            <v>0</v>
          </cell>
          <cell r="GA120">
            <v>0</v>
          </cell>
          <cell r="GB120">
            <v>0</v>
          </cell>
          <cell r="GC120">
            <v>0</v>
          </cell>
          <cell r="GD120">
            <v>0</v>
          </cell>
          <cell r="GE120">
            <v>0</v>
          </cell>
          <cell r="GF120" t="e">
            <v>#DIV/0!</v>
          </cell>
          <cell r="GG120">
            <v>169.14820081931691</v>
          </cell>
          <cell r="GH120">
            <v>0</v>
          </cell>
          <cell r="GT120" t="str">
            <v xml:space="preserve">דוח דולר  </v>
          </cell>
        </row>
        <row r="121">
          <cell r="A121" t="str">
            <v>sundry</v>
          </cell>
          <cell r="I121">
            <v>0</v>
          </cell>
          <cell r="M121" t="str">
            <v xml:space="preserve"> </v>
          </cell>
          <cell r="O121">
            <v>20</v>
          </cell>
          <cell r="Q121">
            <v>235.922</v>
          </cell>
          <cell r="U121">
            <v>235.922</v>
          </cell>
          <cell r="W121">
            <v>11</v>
          </cell>
          <cell r="X121">
            <v>11</v>
          </cell>
          <cell r="AD121">
            <v>257.92200000000003</v>
          </cell>
          <cell r="AH121">
            <v>0</v>
          </cell>
          <cell r="AJ121">
            <v>0</v>
          </cell>
          <cell r="AL121">
            <v>49</v>
          </cell>
          <cell r="AP121">
            <v>49</v>
          </cell>
          <cell r="AR121">
            <v>2.504</v>
          </cell>
          <cell r="AT121">
            <v>329.42600000000004</v>
          </cell>
          <cell r="AX121">
            <v>329.42600000000004</v>
          </cell>
          <cell r="AZ121" t="str">
            <v>sundry</v>
          </cell>
          <cell r="BG121">
            <v>0</v>
          </cell>
          <cell r="BI121">
            <v>0</v>
          </cell>
          <cell r="BO121">
            <v>1762</v>
          </cell>
          <cell r="BQ121">
            <v>981.41800000000001</v>
          </cell>
          <cell r="BU121">
            <v>981.41800000000001</v>
          </cell>
          <cell r="BW121">
            <v>197.5</v>
          </cell>
          <cell r="BX121">
            <v>197.5</v>
          </cell>
          <cell r="CD121">
            <v>1376.4180000000001</v>
          </cell>
          <cell r="CH121">
            <v>0</v>
          </cell>
          <cell r="CJ121">
            <v>0</v>
          </cell>
          <cell r="CL121">
            <v>210</v>
          </cell>
          <cell r="CP121">
            <v>210</v>
          </cell>
          <cell r="CR121">
            <v>0.40500000000000003</v>
          </cell>
          <cell r="CT121">
            <v>3348.8230000000003</v>
          </cell>
          <cell r="CV121">
            <v>0</v>
          </cell>
          <cell r="CX121">
            <v>3348.8230000000003</v>
          </cell>
          <cell r="FH121">
            <v>81</v>
          </cell>
          <cell r="FI121">
            <v>981.41800000000001</v>
          </cell>
          <cell r="FJ121">
            <v>47.5</v>
          </cell>
          <cell r="FK121">
            <v>47.5</v>
          </cell>
          <cell r="FN121">
            <v>1076.4180000000001</v>
          </cell>
          <cell r="FO121">
            <v>0</v>
          </cell>
          <cell r="FP121">
            <v>203.84</v>
          </cell>
          <cell r="FR121">
            <v>203.84</v>
          </cell>
          <cell r="FS121">
            <v>11.895</v>
          </cell>
          <cell r="FT121">
            <v>1373.153</v>
          </cell>
          <cell r="FU121">
            <v>0</v>
          </cell>
          <cell r="FV121">
            <v>1373.153</v>
          </cell>
          <cell r="FW121" t="str">
            <v>sundry</v>
          </cell>
          <cell r="FX121">
            <v>1076.4180000000001</v>
          </cell>
          <cell r="FY121">
            <v>203.84</v>
          </cell>
          <cell r="GA121">
            <v>1280.258</v>
          </cell>
          <cell r="GB121">
            <v>1297.4256208057727</v>
          </cell>
          <cell r="GC121">
            <v>1373.153</v>
          </cell>
          <cell r="GD121">
            <v>1391.5662963920624</v>
          </cell>
          <cell r="GE121">
            <v>92.894999999999996</v>
          </cell>
          <cell r="GF121">
            <v>4.1683200475979429</v>
          </cell>
          <cell r="GG121">
            <v>2670.3466610525779</v>
          </cell>
          <cell r="GH121">
            <v>0</v>
          </cell>
          <cell r="HJ121" t="str">
            <v>/re~:fr~{U}:fud~</v>
          </cell>
        </row>
        <row r="122">
          <cell r="A122" t="str">
            <v>total acc. rec.</v>
          </cell>
          <cell r="C122">
            <v>-13597.152999999998</v>
          </cell>
          <cell r="E122">
            <v>18208.349999999999</v>
          </cell>
          <cell r="G122">
            <v>-5030.1838852202718</v>
          </cell>
          <cell r="I122">
            <v>-418.98688522027129</v>
          </cell>
          <cell r="M122">
            <v>169.81310096153845</v>
          </cell>
          <cell r="O122">
            <v>4338</v>
          </cell>
          <cell r="Q122">
            <v>6265.49</v>
          </cell>
          <cell r="S122">
            <v>-15.269</v>
          </cell>
          <cell r="U122">
            <v>6250.2209999999995</v>
          </cell>
          <cell r="W122">
            <v>991.5</v>
          </cell>
          <cell r="X122">
            <v>1028</v>
          </cell>
          <cell r="Z122">
            <v>72.872</v>
          </cell>
          <cell r="AB122">
            <v>0</v>
          </cell>
          <cell r="AD122">
            <v>8306.0930000000008</v>
          </cell>
          <cell r="AF122">
            <v>42.854999999999997</v>
          </cell>
          <cell r="AH122">
            <v>0</v>
          </cell>
          <cell r="AJ122">
            <v>42.854999999999997</v>
          </cell>
          <cell r="AL122">
            <v>623.32500000000005</v>
          </cell>
          <cell r="AN122">
            <v>-26.103999999999999</v>
          </cell>
          <cell r="AP122">
            <v>640.07600000000002</v>
          </cell>
          <cell r="AR122">
            <v>1825.7919999999999</v>
          </cell>
          <cell r="AT122">
            <v>14860.879215741266</v>
          </cell>
          <cell r="AV122">
            <v>-5952.0366923076926</v>
          </cell>
          <cell r="AX122">
            <v>8908.8425234335737</v>
          </cell>
          <cell r="AZ122" t="str">
            <v>total acc. rec.</v>
          </cell>
          <cell r="BC122">
            <v>-51364.058000000005</v>
          </cell>
          <cell r="BE122">
            <v>67408.320000000007</v>
          </cell>
          <cell r="BG122">
            <v>-18618.462406415285</v>
          </cell>
          <cell r="BI122">
            <v>-2574.2004064152843</v>
          </cell>
          <cell r="BM122">
            <v>706.42250000000001</v>
          </cell>
          <cell r="BO122">
            <v>18460.5</v>
          </cell>
          <cell r="BQ122">
            <v>25964.621999999996</v>
          </cell>
          <cell r="BS122">
            <v>0</v>
          </cell>
          <cell r="BU122">
            <v>25964.621999999996</v>
          </cell>
          <cell r="BW122">
            <v>4263</v>
          </cell>
          <cell r="BX122">
            <v>4263</v>
          </cell>
          <cell r="BZ122">
            <v>303.14400000000001</v>
          </cell>
          <cell r="CB122">
            <v>0</v>
          </cell>
          <cell r="CD122">
            <v>34793.765999999996</v>
          </cell>
          <cell r="CF122">
            <v>178.279</v>
          </cell>
          <cell r="CH122">
            <v>0</v>
          </cell>
          <cell r="CJ122">
            <v>178.279</v>
          </cell>
          <cell r="CL122">
            <v>2757</v>
          </cell>
          <cell r="CN122">
            <v>-108.59399999999999</v>
          </cell>
          <cell r="CP122">
            <v>2826.6849999999999</v>
          </cell>
          <cell r="CR122">
            <v>7584.1049999999996</v>
          </cell>
          <cell r="CT122">
            <v>61797.663093584706</v>
          </cell>
          <cell r="CV122">
            <v>-23376.774000000001</v>
          </cell>
          <cell r="CX122">
            <v>38420.889093584716</v>
          </cell>
          <cell r="FC122">
            <v>-51363.377999999997</v>
          </cell>
          <cell r="FD122">
            <v>67407.64</v>
          </cell>
          <cell r="FE122">
            <v>-17479.320406415285</v>
          </cell>
          <cell r="FF122">
            <v>-1435.0584064152836</v>
          </cell>
          <cell r="FG122">
            <v>706.42250000000001</v>
          </cell>
          <cell r="FH122">
            <v>18036.5</v>
          </cell>
          <cell r="FI122">
            <v>25978.992999999999</v>
          </cell>
          <cell r="FJ122">
            <v>4128.5</v>
          </cell>
          <cell r="FK122">
            <v>4128.5</v>
          </cell>
          <cell r="FL122">
            <v>89.135000000000005</v>
          </cell>
          <cell r="FM122">
            <v>0</v>
          </cell>
          <cell r="FN122">
            <v>34325.127999999997</v>
          </cell>
          <cell r="FO122">
            <v>178.279</v>
          </cell>
          <cell r="FP122">
            <v>2628</v>
          </cell>
          <cell r="FQ122">
            <v>0</v>
          </cell>
          <cell r="FR122">
            <v>2806.2790000000005</v>
          </cell>
          <cell r="FS122">
            <v>7596.5840000000017</v>
          </cell>
          <cell r="FT122">
            <v>62035.855093584723</v>
          </cell>
          <cell r="FU122">
            <v>-24473.342400000001</v>
          </cell>
          <cell r="FV122">
            <v>37562.512693584715</v>
          </cell>
          <cell r="FW122" t="str">
            <v>total acc. rec.</v>
          </cell>
          <cell r="FX122">
            <v>34325.127999999997</v>
          </cell>
          <cell r="FY122">
            <v>2806.2790000000005</v>
          </cell>
          <cell r="FZ122">
            <v>0</v>
          </cell>
          <cell r="GA122">
            <v>37131.407000000007</v>
          </cell>
          <cell r="GB122">
            <v>37629.320635658441</v>
          </cell>
          <cell r="GC122">
            <v>37562.512693584715</v>
          </cell>
          <cell r="GD122">
            <v>38066.207241430129</v>
          </cell>
          <cell r="GE122">
            <v>431.10569358470821</v>
          </cell>
          <cell r="GF122">
            <v>4.216317955422527</v>
          </cell>
          <cell r="GG122">
            <v>31379.600620210771</v>
          </cell>
          <cell r="GH122">
            <v>0</v>
          </cell>
        </row>
        <row r="123">
          <cell r="FX123">
            <v>0</v>
          </cell>
          <cell r="FY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</row>
        <row r="124">
          <cell r="A124" t="str">
            <v>INVENTORIES</v>
          </cell>
          <cell r="I124">
            <v>0</v>
          </cell>
          <cell r="O124">
            <v>2104.5</v>
          </cell>
          <cell r="Q124">
            <v>0</v>
          </cell>
          <cell r="U124">
            <v>0</v>
          </cell>
          <cell r="AD124">
            <v>0</v>
          </cell>
          <cell r="AJ124">
            <v>0</v>
          </cell>
          <cell r="AN124">
            <v>0</v>
          </cell>
          <cell r="AP124">
            <v>0</v>
          </cell>
          <cell r="AT124">
            <v>2104.5</v>
          </cell>
          <cell r="AX124">
            <v>2104.5</v>
          </cell>
          <cell r="AY124">
            <v>0</v>
          </cell>
          <cell r="AZ124" t="str">
            <v>INVENTORIES</v>
          </cell>
          <cell r="BG124">
            <v>0</v>
          </cell>
          <cell r="BI124">
            <v>0</v>
          </cell>
          <cell r="BM124">
            <v>8.7769999999999992</v>
          </cell>
          <cell r="BO124">
            <v>8435</v>
          </cell>
          <cell r="BU124">
            <v>0</v>
          </cell>
          <cell r="BW124">
            <v>0</v>
          </cell>
          <cell r="BX124">
            <v>0</v>
          </cell>
          <cell r="CD124">
            <v>0</v>
          </cell>
          <cell r="CJ124">
            <v>0</v>
          </cell>
          <cell r="CN124">
            <v>0</v>
          </cell>
          <cell r="CP124">
            <v>0</v>
          </cell>
          <cell r="CT124">
            <v>8443.777</v>
          </cell>
          <cell r="CX124">
            <v>8443.777</v>
          </cell>
          <cell r="FG124">
            <v>8.7769999999999992</v>
          </cell>
          <cell r="FH124">
            <v>8657</v>
          </cell>
          <cell r="FL124">
            <v>0</v>
          </cell>
          <cell r="FN124">
            <v>0</v>
          </cell>
          <cell r="FO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8665.777</v>
          </cell>
          <cell r="FV124">
            <v>8665.777</v>
          </cell>
          <cell r="FW124" t="str">
            <v>INVENTORIES</v>
          </cell>
          <cell r="FX124">
            <v>0</v>
          </cell>
          <cell r="FY124">
            <v>0</v>
          </cell>
          <cell r="GA124">
            <v>0</v>
          </cell>
          <cell r="GB124">
            <v>0</v>
          </cell>
          <cell r="GC124">
            <v>8665.777</v>
          </cell>
          <cell r="GD124">
            <v>8781.9807444978942</v>
          </cell>
          <cell r="GE124">
            <v>8665.777</v>
          </cell>
          <cell r="GF124">
            <v>4.1177367545735333</v>
          </cell>
          <cell r="GG124">
            <v>8146.5367965382111</v>
          </cell>
          <cell r="GH124">
            <v>0</v>
          </cell>
          <cell r="HJ124" t="str">
            <v>:flb~{D}</v>
          </cell>
        </row>
        <row r="125">
          <cell r="FX125">
            <v>0</v>
          </cell>
          <cell r="FY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</row>
        <row r="126">
          <cell r="A126" t="str">
            <v>BANKS</v>
          </cell>
          <cell r="AT126">
            <v>0</v>
          </cell>
          <cell r="AY126">
            <v>0</v>
          </cell>
          <cell r="AZ126" t="str">
            <v>BANKS</v>
          </cell>
          <cell r="BX126">
            <v>0</v>
          </cell>
          <cell r="CD126">
            <v>0</v>
          </cell>
          <cell r="CT126">
            <v>0</v>
          </cell>
          <cell r="FL126">
            <v>0</v>
          </cell>
          <cell r="FN126">
            <v>0</v>
          </cell>
          <cell r="FW126" t="str">
            <v>BANKS</v>
          </cell>
          <cell r="FX126">
            <v>0</v>
          </cell>
          <cell r="FY126">
            <v>0</v>
          </cell>
          <cell r="GA126">
            <v>0</v>
          </cell>
          <cell r="GB126">
            <v>0</v>
          </cell>
          <cell r="GC126">
            <v>0</v>
          </cell>
          <cell r="GD126">
            <v>0</v>
          </cell>
          <cell r="GE126">
            <v>0</v>
          </cell>
          <cell r="GF126" t="e">
            <v>#DIV/0!</v>
          </cell>
          <cell r="GH126">
            <v>0</v>
          </cell>
        </row>
        <row r="127">
          <cell r="A127" t="str">
            <v xml:space="preserve">Shekel  accounts                                                   </v>
          </cell>
          <cell r="C127">
            <v>0.871</v>
          </cell>
          <cell r="I127">
            <v>0.871</v>
          </cell>
          <cell r="O127">
            <v>40.5</v>
          </cell>
          <cell r="Q127">
            <v>81.971000000000004</v>
          </cell>
          <cell r="S127" t="str">
            <v xml:space="preserve"> </v>
          </cell>
          <cell r="U127">
            <v>81.971000000000004</v>
          </cell>
          <cell r="W127">
            <v>99.5</v>
          </cell>
          <cell r="X127">
            <v>99.5</v>
          </cell>
          <cell r="Z127">
            <v>12.333</v>
          </cell>
          <cell r="AD127">
            <v>293.30400000000003</v>
          </cell>
          <cell r="AF127">
            <v>16.248000000000001</v>
          </cell>
          <cell r="AJ127">
            <v>16.248000000000001</v>
          </cell>
          <cell r="AL127">
            <v>13</v>
          </cell>
          <cell r="AP127">
            <v>29.248000000000001</v>
          </cell>
          <cell r="AR127">
            <v>8.7769999999999992</v>
          </cell>
          <cell r="AT127">
            <v>372.7</v>
          </cell>
          <cell r="AX127">
            <v>372.7</v>
          </cell>
          <cell r="AY127">
            <v>0</v>
          </cell>
          <cell r="AZ127" t="str">
            <v xml:space="preserve">Shekel  accounts                                                   </v>
          </cell>
          <cell r="BC127">
            <v>3.625</v>
          </cell>
          <cell r="BI127">
            <v>3.625</v>
          </cell>
          <cell r="BO127">
            <v>168.5</v>
          </cell>
          <cell r="BQ127">
            <v>340.7</v>
          </cell>
          <cell r="BS127" t="str">
            <v xml:space="preserve"> </v>
          </cell>
          <cell r="BU127">
            <v>340.7</v>
          </cell>
          <cell r="BW127">
            <v>413.5</v>
          </cell>
          <cell r="BX127">
            <v>413.5</v>
          </cell>
          <cell r="BZ127">
            <v>51.302999999999997</v>
          </cell>
          <cell r="CD127">
            <v>1219.0030000000002</v>
          </cell>
          <cell r="CF127">
            <v>67.59</v>
          </cell>
          <cell r="CJ127">
            <v>67.59</v>
          </cell>
          <cell r="CL127">
            <v>53</v>
          </cell>
          <cell r="CP127">
            <v>120.59</v>
          </cell>
          <cell r="CR127">
            <v>36.517000000000003</v>
          </cell>
          <cell r="CT127">
            <v>1548.2349999999999</v>
          </cell>
          <cell r="CX127">
            <v>1548.2349999999999</v>
          </cell>
          <cell r="FC127">
            <v>3.625</v>
          </cell>
          <cell r="FF127">
            <v>3.625</v>
          </cell>
          <cell r="FH127">
            <v>168.5</v>
          </cell>
          <cell r="FI127">
            <v>340.7</v>
          </cell>
          <cell r="FJ127">
            <v>413.5</v>
          </cell>
          <cell r="FK127">
            <v>413.5</v>
          </cell>
          <cell r="FL127">
            <v>51.302999999999997</v>
          </cell>
          <cell r="FN127">
            <v>1219.0030000000002</v>
          </cell>
          <cell r="FO127">
            <v>67.59</v>
          </cell>
          <cell r="FP127">
            <v>7713</v>
          </cell>
          <cell r="FR127">
            <v>7780.59</v>
          </cell>
          <cell r="FS127">
            <v>36.517000000000003</v>
          </cell>
          <cell r="FT127">
            <v>9208.2350000000006</v>
          </cell>
          <cell r="FV127">
            <v>9208.2350000000006</v>
          </cell>
          <cell r="FW127" t="str">
            <v xml:space="preserve">Shekel  accounts                                                   </v>
          </cell>
          <cell r="FX127">
            <v>1219.0030000000002</v>
          </cell>
          <cell r="FY127">
            <v>7780.59</v>
          </cell>
          <cell r="GA127">
            <v>8999.5930000000008</v>
          </cell>
          <cell r="GB127">
            <v>9120.2730504509927</v>
          </cell>
          <cell r="GC127">
            <v>9208.2350000000006</v>
          </cell>
          <cell r="GD127">
            <v>9331.7128355381828</v>
          </cell>
          <cell r="GE127">
            <v>208.64199999999983</v>
          </cell>
          <cell r="GF127">
            <v>24.706828548430376</v>
          </cell>
          <cell r="GG127">
            <v>10227.441908675792</v>
          </cell>
          <cell r="GH127">
            <v>0</v>
          </cell>
          <cell r="HJ127" t="str">
            <v>{EDIT}{HOME}{R 1} ~</v>
          </cell>
        </row>
        <row r="128">
          <cell r="A128" t="str">
            <v>Shekel deposits</v>
          </cell>
          <cell r="I128">
            <v>0</v>
          </cell>
          <cell r="Q128">
            <v>89.278999999999996</v>
          </cell>
          <cell r="U128">
            <v>89.278999999999996</v>
          </cell>
          <cell r="Z128">
            <v>593.78200000000004</v>
          </cell>
          <cell r="AD128">
            <v>683.06100000000004</v>
          </cell>
          <cell r="AJ128">
            <v>0</v>
          </cell>
          <cell r="AL128">
            <v>1841</v>
          </cell>
          <cell r="AP128">
            <v>1841</v>
          </cell>
          <cell r="AR128">
            <v>636.10199999999998</v>
          </cell>
          <cell r="AT128">
            <v>3160.163</v>
          </cell>
          <cell r="AX128">
            <v>3160.163</v>
          </cell>
          <cell r="AY128">
            <v>0</v>
          </cell>
          <cell r="AZ128" t="str">
            <v>Shekel deposits</v>
          </cell>
          <cell r="BE128">
            <v>0</v>
          </cell>
          <cell r="BI128">
            <v>0</v>
          </cell>
          <cell r="BQ128">
            <v>371.4</v>
          </cell>
          <cell r="BU128">
            <v>371.4</v>
          </cell>
          <cell r="BX128">
            <v>0</v>
          </cell>
          <cell r="BZ128">
            <v>2470.1309999999999</v>
          </cell>
          <cell r="CD128">
            <v>2841.5309999999999</v>
          </cell>
          <cell r="CJ128">
            <v>0</v>
          </cell>
          <cell r="CL128">
            <v>7660</v>
          </cell>
          <cell r="CP128">
            <v>7660</v>
          </cell>
          <cell r="CR128">
            <v>2646.1849999999999</v>
          </cell>
          <cell r="CT128">
            <v>13147.716</v>
          </cell>
          <cell r="CX128">
            <v>13147.716</v>
          </cell>
          <cell r="FI128">
            <v>371.4</v>
          </cell>
          <cell r="FL128">
            <v>2469.1309999999999</v>
          </cell>
          <cell r="FN128">
            <v>2840.5309999999999</v>
          </cell>
          <cell r="FO128">
            <v>0</v>
          </cell>
          <cell r="FR128">
            <v>0</v>
          </cell>
          <cell r="FS128">
            <v>2646.1849999999999</v>
          </cell>
          <cell r="FT128">
            <v>5486.7160000000003</v>
          </cell>
          <cell r="FV128">
            <v>5486.7160000000003</v>
          </cell>
          <cell r="FW128" t="str">
            <v>Shekel deposits</v>
          </cell>
          <cell r="FX128">
            <v>2840.5309999999999</v>
          </cell>
          <cell r="FY128">
            <v>0</v>
          </cell>
          <cell r="GA128">
            <v>2840.5309999999999</v>
          </cell>
          <cell r="GB128">
            <v>2878.6211030066142</v>
          </cell>
          <cell r="GC128">
            <v>5486.7160000000003</v>
          </cell>
          <cell r="GD128">
            <v>5560.2901231509322</v>
          </cell>
          <cell r="GE128">
            <v>2646.1850000000004</v>
          </cell>
          <cell r="GF128">
            <v>1.7362129738244516</v>
          </cell>
          <cell r="GG128">
            <v>2891.392628713234</v>
          </cell>
          <cell r="GH128">
            <v>0</v>
          </cell>
        </row>
        <row r="129">
          <cell r="A129" t="str">
            <v>Cash in banks</v>
          </cell>
          <cell r="C129">
            <v>0.871</v>
          </cell>
          <cell r="E129">
            <v>0</v>
          </cell>
          <cell r="G129">
            <v>0</v>
          </cell>
          <cell r="I129">
            <v>0.871</v>
          </cell>
          <cell r="O129">
            <v>40.5</v>
          </cell>
          <cell r="Q129">
            <v>171.25</v>
          </cell>
          <cell r="S129">
            <v>0</v>
          </cell>
          <cell r="U129">
            <v>171.25</v>
          </cell>
          <cell r="W129">
            <v>99.5</v>
          </cell>
          <cell r="X129">
            <v>99.5</v>
          </cell>
          <cell r="Z129">
            <v>606.11500000000001</v>
          </cell>
          <cell r="AB129">
            <v>0</v>
          </cell>
          <cell r="AD129">
            <v>976.36500000000001</v>
          </cell>
          <cell r="AF129">
            <v>16.248000000000001</v>
          </cell>
          <cell r="AH129">
            <v>0</v>
          </cell>
          <cell r="AJ129">
            <v>16.248000000000001</v>
          </cell>
          <cell r="AL129">
            <v>1854</v>
          </cell>
          <cell r="AN129">
            <v>0</v>
          </cell>
          <cell r="AP129">
            <v>1870.248</v>
          </cell>
          <cell r="AR129">
            <v>644.87900000000002</v>
          </cell>
          <cell r="AT129">
            <v>3532.8629999999998</v>
          </cell>
          <cell r="AV129">
            <v>0</v>
          </cell>
          <cell r="AX129">
            <v>3532.8629999999998</v>
          </cell>
          <cell r="AY129">
            <v>0</v>
          </cell>
          <cell r="AZ129" t="str">
            <v>Cash in banks</v>
          </cell>
          <cell r="BC129">
            <v>3.625</v>
          </cell>
          <cell r="BE129">
            <v>0</v>
          </cell>
          <cell r="BG129">
            <v>0</v>
          </cell>
          <cell r="BI129">
            <v>3.625</v>
          </cell>
          <cell r="BM129">
            <v>0</v>
          </cell>
          <cell r="BO129">
            <v>168.5</v>
          </cell>
          <cell r="BQ129">
            <v>712.1</v>
          </cell>
          <cell r="BS129">
            <v>0</v>
          </cell>
          <cell r="BU129">
            <v>712.1</v>
          </cell>
          <cell r="BW129">
            <v>413.5</v>
          </cell>
          <cell r="BX129">
            <v>413.5</v>
          </cell>
          <cell r="BZ129">
            <v>2521.4339999999997</v>
          </cell>
          <cell r="CB129">
            <v>0</v>
          </cell>
          <cell r="CD129">
            <v>4060.5339999999997</v>
          </cell>
          <cell r="CF129">
            <v>67.59</v>
          </cell>
          <cell r="CH129">
            <v>0</v>
          </cell>
          <cell r="CJ129">
            <v>67.59</v>
          </cell>
          <cell r="CL129">
            <v>7713</v>
          </cell>
          <cell r="CP129">
            <v>7780.59</v>
          </cell>
          <cell r="CR129">
            <v>2682.7019999999998</v>
          </cell>
          <cell r="CT129">
            <v>14695.951000000001</v>
          </cell>
          <cell r="CV129">
            <v>0</v>
          </cell>
          <cell r="CX129">
            <v>14695.951000000001</v>
          </cell>
          <cell r="FC129">
            <v>3.625</v>
          </cell>
          <cell r="FD129">
            <v>0</v>
          </cell>
          <cell r="FE129">
            <v>0</v>
          </cell>
          <cell r="FF129">
            <v>3.625</v>
          </cell>
          <cell r="FG129">
            <v>0</v>
          </cell>
          <cell r="FH129">
            <v>168.5</v>
          </cell>
          <cell r="FI129">
            <v>712.1</v>
          </cell>
          <cell r="FJ129">
            <v>413.5</v>
          </cell>
          <cell r="FK129">
            <v>413.5</v>
          </cell>
          <cell r="FL129">
            <v>2520.4339999999997</v>
          </cell>
          <cell r="FM129">
            <v>0</v>
          </cell>
          <cell r="FN129">
            <v>4059.5340000000001</v>
          </cell>
          <cell r="FO129">
            <v>67.59</v>
          </cell>
          <cell r="FP129">
            <v>7713</v>
          </cell>
          <cell r="FQ129">
            <v>0</v>
          </cell>
          <cell r="FR129">
            <v>7780.59</v>
          </cell>
          <cell r="FS129">
            <v>2682.7019999999998</v>
          </cell>
          <cell r="FT129">
            <v>14694.951000000001</v>
          </cell>
          <cell r="FU129">
            <v>0</v>
          </cell>
          <cell r="FV129">
            <v>14694.951000000001</v>
          </cell>
          <cell r="FW129" t="str">
            <v>Cash in banks</v>
          </cell>
          <cell r="FX129">
            <v>4059.5340000000001</v>
          </cell>
          <cell r="FY129">
            <v>7780.59</v>
          </cell>
          <cell r="FZ129">
            <v>0</v>
          </cell>
          <cell r="GA129">
            <v>11840.124</v>
          </cell>
          <cell r="GB129">
            <v>11998.894153457608</v>
          </cell>
          <cell r="GC129">
            <v>14694.951000000001</v>
          </cell>
          <cell r="GD129">
            <v>14892.002958689114</v>
          </cell>
          <cell r="GE129">
            <v>2854.8270000000011</v>
          </cell>
          <cell r="GF129">
            <v>4.1595020808902019</v>
          </cell>
          <cell r="GG129">
            <v>13118.834537389024</v>
          </cell>
          <cell r="GH129">
            <v>0</v>
          </cell>
          <cell r="HJ129" t="str">
            <v>{EDIT}{HOME}{R 1}{DELETE 1}~</v>
          </cell>
        </row>
        <row r="130">
          <cell r="FX130">
            <v>0</v>
          </cell>
          <cell r="FY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</row>
        <row r="131">
          <cell r="A131" t="str">
            <v>Total curr.ass.</v>
          </cell>
          <cell r="C131">
            <v>-13596.281999999999</v>
          </cell>
          <cell r="E131">
            <v>18208.349999999999</v>
          </cell>
          <cell r="G131">
            <v>-5030.1838852202718</v>
          </cell>
          <cell r="I131">
            <v>-418.11588522027131</v>
          </cell>
          <cell r="M131">
            <v>169.81310096153845</v>
          </cell>
          <cell r="O131">
            <v>6483</v>
          </cell>
          <cell r="Q131">
            <v>6436.74</v>
          </cell>
          <cell r="S131">
            <v>-15.269</v>
          </cell>
          <cell r="U131">
            <v>6421.4709999999995</v>
          </cell>
          <cell r="W131">
            <v>1091</v>
          </cell>
          <cell r="X131">
            <v>1127.5</v>
          </cell>
          <cell r="Z131">
            <v>678.98699999999997</v>
          </cell>
          <cell r="AB131">
            <v>0</v>
          </cell>
          <cell r="AD131">
            <v>9282.4580000000005</v>
          </cell>
          <cell r="AF131">
            <v>59.103000000000009</v>
          </cell>
          <cell r="AH131">
            <v>0</v>
          </cell>
          <cell r="AJ131">
            <v>59.103000000000009</v>
          </cell>
          <cell r="AL131">
            <v>2477.3249999999998</v>
          </cell>
          <cell r="AN131">
            <v>-26.103999999999999</v>
          </cell>
          <cell r="AP131">
            <v>2510.3240000000001</v>
          </cell>
          <cell r="AR131">
            <v>2470.6709999999998</v>
          </cell>
          <cell r="AT131">
            <v>20498.242215741266</v>
          </cell>
          <cell r="AV131">
            <v>-5952.0366923076926</v>
          </cell>
          <cell r="AX131">
            <v>14546.205523433573</v>
          </cell>
          <cell r="AY131">
            <v>0</v>
          </cell>
          <cell r="AZ131" t="str">
            <v>Total curr.ass.</v>
          </cell>
          <cell r="BC131">
            <v>-51360.433000000005</v>
          </cell>
          <cell r="BE131">
            <v>67408.320000000007</v>
          </cell>
          <cell r="BG131">
            <v>-18618.462406415285</v>
          </cell>
          <cell r="BI131">
            <v>-2570.5754064152843</v>
          </cell>
          <cell r="BM131">
            <v>715.19949999999994</v>
          </cell>
          <cell r="BO131">
            <v>27064</v>
          </cell>
          <cell r="BQ131">
            <v>26676.721999999994</v>
          </cell>
          <cell r="BS131">
            <v>0</v>
          </cell>
          <cell r="BU131">
            <v>26676.721999999994</v>
          </cell>
          <cell r="BW131">
            <v>4676.5</v>
          </cell>
          <cell r="BX131">
            <v>4676.5</v>
          </cell>
          <cell r="BZ131">
            <v>2824.5779999999995</v>
          </cell>
          <cell r="CB131">
            <v>0</v>
          </cell>
          <cell r="CD131">
            <v>38854.300000000003</v>
          </cell>
          <cell r="CF131">
            <v>245.869</v>
          </cell>
          <cell r="CH131">
            <v>0</v>
          </cell>
          <cell r="CJ131">
            <v>245.869</v>
          </cell>
          <cell r="CL131">
            <v>10470</v>
          </cell>
          <cell r="CN131">
            <v>-108.59399999999999</v>
          </cell>
          <cell r="CP131">
            <v>10607.275</v>
          </cell>
          <cell r="CR131">
            <v>10266.806999999999</v>
          </cell>
          <cell r="CT131">
            <v>84937.391093584709</v>
          </cell>
          <cell r="CV131">
            <v>-23376.774000000001</v>
          </cell>
          <cell r="CX131">
            <v>61560.617093584719</v>
          </cell>
          <cell r="FC131">
            <v>-51359.752999999997</v>
          </cell>
          <cell r="FD131">
            <v>67407.64</v>
          </cell>
          <cell r="FE131">
            <v>-17479.320406415285</v>
          </cell>
          <cell r="FF131">
            <v>-1431.4334064152836</v>
          </cell>
          <cell r="FG131">
            <v>715.19949999999994</v>
          </cell>
          <cell r="FH131">
            <v>26862</v>
          </cell>
          <cell r="FI131">
            <v>26691.092999999997</v>
          </cell>
          <cell r="FJ131">
            <v>4542</v>
          </cell>
          <cell r="FK131">
            <v>4542</v>
          </cell>
          <cell r="FL131">
            <v>2609.569</v>
          </cell>
          <cell r="FM131">
            <v>0</v>
          </cell>
          <cell r="FN131">
            <v>38384.661999999997</v>
          </cell>
          <cell r="FO131">
            <v>245.869</v>
          </cell>
          <cell r="FP131">
            <v>10341</v>
          </cell>
          <cell r="FQ131">
            <v>0</v>
          </cell>
          <cell r="FR131">
            <v>10586.869000000001</v>
          </cell>
          <cell r="FS131">
            <v>10279.286000000002</v>
          </cell>
          <cell r="FT131">
            <v>85396.583093584719</v>
          </cell>
          <cell r="FU131">
            <v>-24473.342400000001</v>
          </cell>
          <cell r="FV131">
            <v>60923.240693584718</v>
          </cell>
          <cell r="FW131" t="str">
            <v>Total curr.ass.</v>
          </cell>
          <cell r="FX131">
            <v>38384.661999999997</v>
          </cell>
          <cell r="FY131">
            <v>10586.869000000001</v>
          </cell>
          <cell r="FZ131">
            <v>0</v>
          </cell>
          <cell r="GA131">
            <v>48971.531000000003</v>
          </cell>
          <cell r="GB131">
            <v>49628.214789116049</v>
          </cell>
          <cell r="GC131">
            <v>60923.240693584718</v>
          </cell>
          <cell r="GD131">
            <v>61740.190944617134</v>
          </cell>
          <cell r="GE131">
            <v>11951.709693584715</v>
          </cell>
          <cell r="GF131">
            <v>4.1882565591032588</v>
          </cell>
          <cell r="GG131">
            <v>52644.971954138004</v>
          </cell>
          <cell r="GH131">
            <v>0</v>
          </cell>
        </row>
        <row r="132">
          <cell r="FX132">
            <v>0</v>
          </cell>
          <cell r="FY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</row>
        <row r="133">
          <cell r="A133" t="str">
            <v>DEFERRED EXP.</v>
          </cell>
          <cell r="AT133">
            <v>0</v>
          </cell>
          <cell r="AX133">
            <v>0</v>
          </cell>
          <cell r="AY133">
            <v>0</v>
          </cell>
          <cell r="AZ133" t="str">
            <v>DEF0ED EXP.</v>
          </cell>
          <cell r="BX133">
            <v>0</v>
          </cell>
          <cell r="CD133">
            <v>0</v>
          </cell>
          <cell r="CT133">
            <v>0</v>
          </cell>
          <cell r="FG133">
            <v>0</v>
          </cell>
          <cell r="FW133" t="str">
            <v>DEFERRED EXP.</v>
          </cell>
          <cell r="FX133">
            <v>0</v>
          </cell>
          <cell r="FY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 t="e">
            <v>#DIV/0!</v>
          </cell>
          <cell r="GH133">
            <v>0</v>
          </cell>
          <cell r="HJ133" t="str">
            <v>{EDIT}{home}+"-"&amp;@string({end},0)&amp;" באור"~{d}</v>
          </cell>
        </row>
        <row r="134">
          <cell r="A134" t="str">
            <v>franchises</v>
          </cell>
          <cell r="C134">
            <v>36.124000000000002</v>
          </cell>
          <cell r="I134">
            <v>36.124000000000002</v>
          </cell>
          <cell r="Q134">
            <v>245.75</v>
          </cell>
          <cell r="U134">
            <v>245.75</v>
          </cell>
          <cell r="Z134">
            <v>320.80099999999999</v>
          </cell>
          <cell r="AD134">
            <v>566.55099999999993</v>
          </cell>
          <cell r="AJ134">
            <v>0</v>
          </cell>
          <cell r="AL134">
            <v>33</v>
          </cell>
          <cell r="AP134">
            <v>33</v>
          </cell>
          <cell r="AT134">
            <v>635.67499999999995</v>
          </cell>
          <cell r="AX134">
            <v>635.67499999999995</v>
          </cell>
          <cell r="AY134">
            <v>0</v>
          </cell>
          <cell r="AZ134" t="str">
            <v>franchises</v>
          </cell>
          <cell r="BA134" t="str">
            <v>-franchises</v>
          </cell>
          <cell r="BC134">
            <v>58.728999999999999</v>
          </cell>
          <cell r="BI134">
            <v>58.728999999999999</v>
          </cell>
          <cell r="BQ134">
            <v>460.12</v>
          </cell>
          <cell r="BU134">
            <v>460.12</v>
          </cell>
          <cell r="BX134">
            <v>0</v>
          </cell>
          <cell r="BZ134">
            <v>1000</v>
          </cell>
          <cell r="CD134">
            <v>1460.12</v>
          </cell>
          <cell r="CJ134">
            <v>0</v>
          </cell>
          <cell r="CL134">
            <v>78</v>
          </cell>
          <cell r="CP134">
            <v>78</v>
          </cell>
          <cell r="CT134">
            <v>1596.8489999999999</v>
          </cell>
          <cell r="CX134">
            <v>1596.8489999999999</v>
          </cell>
          <cell r="FC134">
            <v>157.72999999999999</v>
          </cell>
          <cell r="FF134">
            <v>157.72999999999999</v>
          </cell>
          <cell r="FI134">
            <v>1296.7190000000001</v>
          </cell>
          <cell r="FL134">
            <v>1227</v>
          </cell>
          <cell r="FN134">
            <v>2523.7190000000001</v>
          </cell>
          <cell r="FO134">
            <v>0</v>
          </cell>
          <cell r="FP134">
            <v>178.13977792292621</v>
          </cell>
          <cell r="FR134">
            <v>178.13977792292621</v>
          </cell>
          <cell r="FS134">
            <v>0</v>
          </cell>
          <cell r="FT134">
            <v>2859.5887779229261</v>
          </cell>
          <cell r="FV134">
            <v>2859.5887779229261</v>
          </cell>
          <cell r="FW134" t="str">
            <v>franchises</v>
          </cell>
          <cell r="FX134">
            <v>2523.7190000000001</v>
          </cell>
          <cell r="FY134">
            <v>178.13977792292621</v>
          </cell>
          <cell r="GA134">
            <v>2701.8587779229265</v>
          </cell>
          <cell r="GB134">
            <v>2738.0893556425181</v>
          </cell>
          <cell r="GC134">
            <v>2859.5887779229261</v>
          </cell>
          <cell r="GD134">
            <v>2897.934436219788</v>
          </cell>
          <cell r="GE134">
            <v>157.72999999999999</v>
          </cell>
          <cell r="GF134">
            <v>4.4985075359624433</v>
          </cell>
          <cell r="GG134">
            <v>2861.3104408883087</v>
          </cell>
          <cell r="GH134">
            <v>0</v>
          </cell>
        </row>
        <row r="135">
          <cell r="A135" t="str">
            <v>Goodwill-(GC. &amp; G.Lines)</v>
          </cell>
          <cell r="C135">
            <v>290.52199999999999</v>
          </cell>
          <cell r="I135">
            <v>290.52199999999999</v>
          </cell>
          <cell r="U135">
            <v>0</v>
          </cell>
          <cell r="AD135">
            <v>0</v>
          </cell>
          <cell r="AJ135">
            <v>0</v>
          </cell>
          <cell r="AP135">
            <v>0</v>
          </cell>
          <cell r="AT135">
            <v>290.52199999999999</v>
          </cell>
          <cell r="AV135">
            <v>82510.197</v>
          </cell>
          <cell r="AX135">
            <v>82800.718999999997</v>
          </cell>
          <cell r="AY135">
            <v>0</v>
          </cell>
          <cell r="AZ135" t="str">
            <v>Goodwill-(GC. &amp; G.Lines)</v>
          </cell>
          <cell r="BC135">
            <v>621.57799999999997</v>
          </cell>
          <cell r="BG135">
            <v>0</v>
          </cell>
          <cell r="BI135">
            <v>621.57799999999997</v>
          </cell>
          <cell r="BU135">
            <v>0</v>
          </cell>
          <cell r="BX135">
            <v>0</v>
          </cell>
          <cell r="CD135">
            <v>0</v>
          </cell>
          <cell r="CJ135">
            <v>0</v>
          </cell>
          <cell r="CP135">
            <v>0</v>
          </cell>
          <cell r="CT135">
            <v>621.57799999999997</v>
          </cell>
          <cell r="CV135">
            <v>356411.43</v>
          </cell>
          <cell r="CX135">
            <v>357033.00800000003</v>
          </cell>
          <cell r="FC135">
            <v>1651.78</v>
          </cell>
          <cell r="FF135">
            <v>1651.78</v>
          </cell>
          <cell r="FN135">
            <v>0</v>
          </cell>
          <cell r="FO135">
            <v>0</v>
          </cell>
          <cell r="FR135">
            <v>0</v>
          </cell>
          <cell r="FS135">
            <v>0</v>
          </cell>
          <cell r="FT135">
            <v>1651.78</v>
          </cell>
          <cell r="FU135">
            <v>333205.70900000003</v>
          </cell>
          <cell r="FV135">
            <v>334857.48900000006</v>
          </cell>
          <cell r="FW135" t="str">
            <v>Goodwill-(GC. &amp; G.Lines)</v>
          </cell>
          <cell r="FX135">
            <v>0</v>
          </cell>
          <cell r="FY135">
            <v>0</v>
          </cell>
          <cell r="FZ135">
            <v>328977.70900000003</v>
          </cell>
          <cell r="GA135">
            <v>328977.70900000003</v>
          </cell>
          <cell r="GB135">
            <v>333389.13588556828</v>
          </cell>
          <cell r="GC135">
            <v>334857.48900000006</v>
          </cell>
          <cell r="GD135">
            <v>339347.76080078178</v>
          </cell>
          <cell r="GE135">
            <v>5879.7800000000279</v>
          </cell>
          <cell r="GF135">
            <v>4.0441374548933577</v>
          </cell>
          <cell r="GG135">
            <v>1651.0516002612674</v>
          </cell>
          <cell r="GH135">
            <v>0</v>
          </cell>
        </row>
        <row r="136">
          <cell r="A136" t="str">
            <v>leashold impr.</v>
          </cell>
          <cell r="I136" t="str">
            <v xml:space="preserve"> </v>
          </cell>
          <cell r="O136">
            <v>154.5</v>
          </cell>
          <cell r="Q136">
            <v>3124.7869999999998</v>
          </cell>
          <cell r="U136">
            <v>3124.7869999999998</v>
          </cell>
          <cell r="W136">
            <v>91.5</v>
          </cell>
          <cell r="X136">
            <v>91.5</v>
          </cell>
          <cell r="AD136">
            <v>3307.7869999999998</v>
          </cell>
          <cell r="AJ136">
            <v>0</v>
          </cell>
          <cell r="AL136">
            <v>70</v>
          </cell>
          <cell r="AP136">
            <v>70</v>
          </cell>
          <cell r="AT136">
            <v>3532.2869999999998</v>
          </cell>
          <cell r="AX136">
            <v>3532.2869999999998</v>
          </cell>
          <cell r="AY136">
            <v>0</v>
          </cell>
          <cell r="AZ136" t="str">
            <v>leashold impr.</v>
          </cell>
          <cell r="BI136">
            <v>0</v>
          </cell>
          <cell r="BO136">
            <v>654</v>
          </cell>
          <cell r="BQ136">
            <v>10061.714</v>
          </cell>
          <cell r="BU136">
            <v>10061.714</v>
          </cell>
          <cell r="BX136">
            <v>0</v>
          </cell>
          <cell r="CD136">
            <v>10061.714</v>
          </cell>
          <cell r="CJ136">
            <v>0</v>
          </cell>
          <cell r="CL136">
            <v>213</v>
          </cell>
          <cell r="CP136">
            <v>213</v>
          </cell>
          <cell r="CT136">
            <v>10928.714</v>
          </cell>
          <cell r="CX136">
            <v>10928.714</v>
          </cell>
          <cell r="FH136">
            <v>625.5</v>
          </cell>
          <cell r="FI136">
            <v>13280.342000000001</v>
          </cell>
          <cell r="FJ136">
            <v>417</v>
          </cell>
          <cell r="FK136">
            <v>417</v>
          </cell>
          <cell r="FN136">
            <v>14114.342000000001</v>
          </cell>
          <cell r="FO136">
            <v>0</v>
          </cell>
          <cell r="FR136">
            <v>0</v>
          </cell>
          <cell r="FS136">
            <v>0</v>
          </cell>
          <cell r="FT136">
            <v>14739.842000000001</v>
          </cell>
          <cell r="FV136">
            <v>14739.842000000001</v>
          </cell>
          <cell r="FW136" t="str">
            <v>leashold impr.</v>
          </cell>
          <cell r="FX136">
            <v>14114.342000000001</v>
          </cell>
          <cell r="FY136">
            <v>0</v>
          </cell>
          <cell r="GA136">
            <v>14114.342000000001</v>
          </cell>
          <cell r="GB136">
            <v>14303.608281779916</v>
          </cell>
          <cell r="GC136">
            <v>14739.842000000001</v>
          </cell>
          <cell r="GD136">
            <v>14937.495924594108</v>
          </cell>
          <cell r="GE136">
            <v>625.5</v>
          </cell>
          <cell r="GF136">
            <v>4.1728891225429878</v>
          </cell>
          <cell r="GG136">
            <v>7570.1400189418691</v>
          </cell>
          <cell r="GH136">
            <v>0</v>
          </cell>
        </row>
        <row r="137">
          <cell r="A137" t="str">
            <v>fraction:l.o.+s.p.</v>
          </cell>
          <cell r="I137">
            <v>0</v>
          </cell>
          <cell r="Q137">
            <v>588</v>
          </cell>
          <cell r="U137">
            <v>588</v>
          </cell>
          <cell r="AD137">
            <v>588</v>
          </cell>
          <cell r="AJ137">
            <v>0</v>
          </cell>
          <cell r="AP137">
            <v>0</v>
          </cell>
          <cell r="AT137">
            <v>588</v>
          </cell>
          <cell r="AX137">
            <v>588</v>
          </cell>
          <cell r="AY137">
            <v>0</v>
          </cell>
          <cell r="AZ137" t="str">
            <v>fraction:l.o.+s.p.</v>
          </cell>
          <cell r="BI137">
            <v>0</v>
          </cell>
          <cell r="BQ137">
            <v>1430.056</v>
          </cell>
          <cell r="BU137">
            <v>1430.056</v>
          </cell>
          <cell r="BX137">
            <v>0</v>
          </cell>
          <cell r="CD137">
            <v>1430.056</v>
          </cell>
          <cell r="CJ137">
            <v>0</v>
          </cell>
          <cell r="CP137">
            <v>0</v>
          </cell>
          <cell r="CT137">
            <v>1430.056</v>
          </cell>
          <cell r="CX137">
            <v>1430.056</v>
          </cell>
          <cell r="FI137">
            <v>3220.1909999999998</v>
          </cell>
          <cell r="FN137">
            <v>3220.1909999999998</v>
          </cell>
          <cell r="FO137">
            <v>0</v>
          </cell>
          <cell r="FP137">
            <v>1094.9595035924233</v>
          </cell>
          <cell r="FR137">
            <v>1094.9595035924233</v>
          </cell>
          <cell r="FS137">
            <v>0</v>
          </cell>
          <cell r="FT137">
            <v>4315.1505035924229</v>
          </cell>
          <cell r="FV137">
            <v>4315.1505035924229</v>
          </cell>
          <cell r="FW137" t="str">
            <v>fraction:l.o.+s.p.</v>
          </cell>
          <cell r="FX137">
            <v>3220.1909999999998</v>
          </cell>
          <cell r="FY137">
            <v>1094.9595035924233</v>
          </cell>
          <cell r="GA137">
            <v>4315.1505035924229</v>
          </cell>
          <cell r="GB137">
            <v>4373.014518162543</v>
          </cell>
          <cell r="GC137">
            <v>4315.1505035924229</v>
          </cell>
          <cell r="GD137">
            <v>4373.014518162543</v>
          </cell>
          <cell r="GE137">
            <v>0</v>
          </cell>
          <cell r="GF137">
            <v>7.3386913326401748</v>
          </cell>
          <cell r="GG137">
            <v>3220.1936616590469</v>
          </cell>
          <cell r="GH137">
            <v>0</v>
          </cell>
        </row>
        <row r="138">
          <cell r="A138" t="str">
            <v>Bezek</v>
          </cell>
          <cell r="I138">
            <v>0</v>
          </cell>
          <cell r="Q138">
            <v>3624.7669999999998</v>
          </cell>
          <cell r="U138">
            <v>3624.7669999999998</v>
          </cell>
          <cell r="AD138">
            <v>3624.7669999999998</v>
          </cell>
          <cell r="AJ138">
            <v>0</v>
          </cell>
          <cell r="AP138">
            <v>0</v>
          </cell>
          <cell r="AT138">
            <v>3624.7669999999998</v>
          </cell>
          <cell r="AX138">
            <v>3624.7669999999998</v>
          </cell>
          <cell r="AY138">
            <v>0</v>
          </cell>
          <cell r="AZ138" t="str">
            <v>Bezek</v>
          </cell>
          <cell r="BI138">
            <v>0</v>
          </cell>
          <cell r="BQ138">
            <v>12122.939</v>
          </cell>
          <cell r="BU138">
            <v>12122.939</v>
          </cell>
          <cell r="BX138">
            <v>0</v>
          </cell>
          <cell r="CD138">
            <v>12122.939</v>
          </cell>
          <cell r="CJ138">
            <v>0</v>
          </cell>
          <cell r="CP138">
            <v>0</v>
          </cell>
          <cell r="CT138">
            <v>12122.939</v>
          </cell>
          <cell r="CX138">
            <v>12122.939</v>
          </cell>
          <cell r="FI138">
            <v>14130.727999999999</v>
          </cell>
          <cell r="FN138">
            <v>14130.727999999999</v>
          </cell>
          <cell r="FO138">
            <v>0</v>
          </cell>
          <cell r="FR138">
            <v>0</v>
          </cell>
          <cell r="FS138">
            <v>0</v>
          </cell>
          <cell r="FT138">
            <v>14130.727999999999</v>
          </cell>
          <cell r="FV138">
            <v>14130.727999999999</v>
          </cell>
          <cell r="FW138" t="str">
            <v>Bezek</v>
          </cell>
          <cell r="FX138">
            <v>14130.727999999999</v>
          </cell>
          <cell r="FY138">
            <v>0</v>
          </cell>
          <cell r="GA138">
            <v>14130.727999999999</v>
          </cell>
          <cell r="GB138">
            <v>14320.214009861695</v>
          </cell>
          <cell r="GC138">
            <v>14130.727999999999</v>
          </cell>
          <cell r="GD138">
            <v>14320.214009861695</v>
          </cell>
          <cell r="GE138">
            <v>0</v>
          </cell>
          <cell r="GF138">
            <v>3.8983824339605828</v>
          </cell>
          <cell r="GG138">
            <v>11455.795459177009</v>
          </cell>
          <cell r="GH138">
            <v>0</v>
          </cell>
        </row>
        <row r="139">
          <cell r="A139" t="str">
            <v>software/other</v>
          </cell>
          <cell r="I139">
            <v>0</v>
          </cell>
          <cell r="Q139">
            <v>2032.921</v>
          </cell>
          <cell r="U139">
            <v>2032.921</v>
          </cell>
          <cell r="W139">
            <v>623</v>
          </cell>
          <cell r="X139">
            <v>623</v>
          </cell>
          <cell r="AD139">
            <v>3278.9210000000003</v>
          </cell>
          <cell r="AJ139">
            <v>0</v>
          </cell>
          <cell r="AL139">
            <v>181</v>
          </cell>
          <cell r="AN139">
            <v>0</v>
          </cell>
          <cell r="AP139">
            <v>181</v>
          </cell>
          <cell r="AR139">
            <v>0</v>
          </cell>
          <cell r="AT139">
            <v>3459.9210000000003</v>
          </cell>
          <cell r="AX139">
            <v>3459.9210000000003</v>
          </cell>
          <cell r="AY139">
            <v>0</v>
          </cell>
          <cell r="AZ139" t="str">
            <v>software/other</v>
          </cell>
          <cell r="BC139">
            <v>0</v>
          </cell>
          <cell r="BE139">
            <v>0</v>
          </cell>
          <cell r="BG139">
            <v>0</v>
          </cell>
          <cell r="BI139">
            <v>0</v>
          </cell>
          <cell r="BQ139">
            <v>6112.6610000000001</v>
          </cell>
          <cell r="BU139">
            <v>6112.6610000000001</v>
          </cell>
          <cell r="BW139">
            <v>2385.5</v>
          </cell>
          <cell r="BX139">
            <v>2385.5</v>
          </cell>
          <cell r="CD139">
            <v>10883.661</v>
          </cell>
          <cell r="CH139">
            <v>0</v>
          </cell>
          <cell r="CJ139">
            <v>0</v>
          </cell>
          <cell r="CL139">
            <v>424</v>
          </cell>
          <cell r="CN139">
            <v>0</v>
          </cell>
          <cell r="CP139">
            <v>424</v>
          </cell>
          <cell r="CR139">
            <v>0</v>
          </cell>
          <cell r="CT139">
            <v>11307.661</v>
          </cell>
          <cell r="CV139">
            <v>0</v>
          </cell>
          <cell r="CX139">
            <v>11307.661</v>
          </cell>
          <cell r="FI139">
            <v>8419.5370000000003</v>
          </cell>
          <cell r="FJ139">
            <v>2927.5</v>
          </cell>
          <cell r="FK139">
            <v>2927.5</v>
          </cell>
          <cell r="FN139">
            <v>14274.537</v>
          </cell>
          <cell r="FO139">
            <v>0</v>
          </cell>
          <cell r="FQ139">
            <v>0</v>
          </cell>
          <cell r="FR139">
            <v>0</v>
          </cell>
          <cell r="FS139">
            <v>0</v>
          </cell>
          <cell r="FT139">
            <v>14274.537</v>
          </cell>
          <cell r="FU139">
            <v>0</v>
          </cell>
          <cell r="FV139">
            <v>14274.537</v>
          </cell>
          <cell r="FW139" t="str">
            <v>software/other</v>
          </cell>
          <cell r="FX139">
            <v>14274.537</v>
          </cell>
          <cell r="FY139">
            <v>0</v>
          </cell>
          <cell r="GA139">
            <v>14274.537</v>
          </cell>
          <cell r="GB139">
            <v>14465.95141677691</v>
          </cell>
          <cell r="GC139">
            <v>14274.537</v>
          </cell>
          <cell r="GD139">
            <v>14465.95141677691</v>
          </cell>
          <cell r="GE139">
            <v>0</v>
          </cell>
          <cell r="GF139">
            <v>4.125682927442563</v>
          </cell>
          <cell r="GG139">
            <v>8800.8968824297863</v>
          </cell>
          <cell r="GH139">
            <v>0</v>
          </cell>
        </row>
        <row r="140">
          <cell r="A140" t="str">
            <v>total cost</v>
          </cell>
          <cell r="C140">
            <v>326.64600000000002</v>
          </cell>
          <cell r="E140">
            <v>0</v>
          </cell>
          <cell r="G140">
            <v>0</v>
          </cell>
          <cell r="I140">
            <v>326.64600000000002</v>
          </cell>
          <cell r="O140">
            <v>154.5</v>
          </cell>
          <cell r="Q140">
            <v>9616.2250000000004</v>
          </cell>
          <cell r="S140">
            <v>0</v>
          </cell>
          <cell r="U140">
            <v>9616.2250000000004</v>
          </cell>
          <cell r="W140">
            <v>714.5</v>
          </cell>
          <cell r="X140">
            <v>714.5</v>
          </cell>
          <cell r="Z140">
            <v>320.80099999999999</v>
          </cell>
          <cell r="AB140">
            <v>0</v>
          </cell>
          <cell r="AD140">
            <v>11366.026</v>
          </cell>
          <cell r="AF140">
            <v>0</v>
          </cell>
          <cell r="AH140">
            <v>0</v>
          </cell>
          <cell r="AJ140">
            <v>0</v>
          </cell>
          <cell r="AL140">
            <v>284</v>
          </cell>
          <cell r="AN140">
            <v>0</v>
          </cell>
          <cell r="AP140">
            <v>284</v>
          </cell>
          <cell r="AR140">
            <v>0</v>
          </cell>
          <cell r="AT140">
            <v>12131.172</v>
          </cell>
          <cell r="AV140">
            <v>82510.197</v>
          </cell>
          <cell r="AX140">
            <v>94641.369000000006</v>
          </cell>
          <cell r="AY140">
            <v>0</v>
          </cell>
          <cell r="AZ140" t="str">
            <v>total cost</v>
          </cell>
          <cell r="BC140">
            <v>680.30700000000002</v>
          </cell>
          <cell r="BE140">
            <v>0</v>
          </cell>
          <cell r="BG140">
            <v>0</v>
          </cell>
          <cell r="BI140">
            <v>680.30700000000002</v>
          </cell>
          <cell r="BO140">
            <v>654</v>
          </cell>
          <cell r="BQ140">
            <v>30187.49</v>
          </cell>
          <cell r="BS140">
            <v>0</v>
          </cell>
          <cell r="BU140">
            <v>30187.49</v>
          </cell>
          <cell r="BW140">
            <v>2385.5</v>
          </cell>
          <cell r="BX140">
            <v>2385.5</v>
          </cell>
          <cell r="BZ140">
            <v>1000</v>
          </cell>
          <cell r="CB140">
            <v>0</v>
          </cell>
          <cell r="CD140">
            <v>35958.49</v>
          </cell>
          <cell r="CF140">
            <v>0</v>
          </cell>
          <cell r="CH140">
            <v>0</v>
          </cell>
          <cell r="CJ140">
            <v>0</v>
          </cell>
          <cell r="CL140">
            <v>715</v>
          </cell>
          <cell r="CN140">
            <v>0</v>
          </cell>
          <cell r="CP140">
            <v>715</v>
          </cell>
          <cell r="CR140">
            <v>0</v>
          </cell>
          <cell r="CT140">
            <v>38007.796999999999</v>
          </cell>
          <cell r="CV140">
            <v>356411.43</v>
          </cell>
          <cell r="CX140">
            <v>394419.22700000001</v>
          </cell>
          <cell r="FC140">
            <v>1809.51</v>
          </cell>
          <cell r="FD140">
            <v>0</v>
          </cell>
          <cell r="FE140">
            <v>0</v>
          </cell>
          <cell r="FF140">
            <v>1809.51</v>
          </cell>
          <cell r="FG140">
            <v>0</v>
          </cell>
          <cell r="FH140">
            <v>625.5</v>
          </cell>
          <cell r="FI140">
            <v>40347.517</v>
          </cell>
          <cell r="FJ140">
            <v>3344.5</v>
          </cell>
          <cell r="FK140">
            <v>3344.5</v>
          </cell>
          <cell r="FL140">
            <v>1227</v>
          </cell>
          <cell r="FM140">
            <v>0</v>
          </cell>
          <cell r="FN140">
            <v>48263.516999999993</v>
          </cell>
          <cell r="FO140">
            <v>0</v>
          </cell>
          <cell r="FP140">
            <v>1273.0992815153495</v>
          </cell>
          <cell r="FQ140">
            <v>0</v>
          </cell>
          <cell r="FR140">
            <v>1273.0992815153495</v>
          </cell>
          <cell r="FS140">
            <v>0</v>
          </cell>
          <cell r="FT140">
            <v>51971.626281515346</v>
          </cell>
          <cell r="FU140">
            <v>333205.70900000003</v>
          </cell>
          <cell r="FV140">
            <v>385177.33528151544</v>
          </cell>
          <cell r="FW140" t="str">
            <v>total cost</v>
          </cell>
          <cell r="FX140">
            <v>48263.516999999993</v>
          </cell>
          <cell r="FY140">
            <v>1273.0992815153495</v>
          </cell>
          <cell r="FZ140">
            <v>328977.70900000003</v>
          </cell>
          <cell r="GA140">
            <v>378514.32528151543</v>
          </cell>
          <cell r="GB140">
            <v>383590.01346779184</v>
          </cell>
          <cell r="GC140">
            <v>385177.33528151544</v>
          </cell>
          <cell r="GD140">
            <v>390342.37110639684</v>
          </cell>
          <cell r="GE140">
            <v>6663.0100000000275</v>
          </cell>
          <cell r="GF140">
            <v>4.069862253170867</v>
          </cell>
          <cell r="GG140">
            <v>35559.388063357284</v>
          </cell>
          <cell r="GH140">
            <v>0</v>
          </cell>
        </row>
        <row r="141">
          <cell r="FX141">
            <v>0</v>
          </cell>
          <cell r="FY141">
            <v>0</v>
          </cell>
          <cell r="GA141">
            <v>0</v>
          </cell>
          <cell r="GB141">
            <v>0</v>
          </cell>
          <cell r="GC141">
            <v>0</v>
          </cell>
          <cell r="GD141">
            <v>0</v>
          </cell>
          <cell r="GE141">
            <v>0</v>
          </cell>
        </row>
        <row r="142">
          <cell r="A142" t="str">
            <v>amort.O.B.</v>
          </cell>
          <cell r="I142">
            <v>0</v>
          </cell>
          <cell r="Q142" t="str">
            <v xml:space="preserve"> </v>
          </cell>
          <cell r="U142">
            <v>0</v>
          </cell>
          <cell r="AD142">
            <v>0</v>
          </cell>
          <cell r="AJ142">
            <v>0</v>
          </cell>
          <cell r="AP142">
            <v>0</v>
          </cell>
          <cell r="AT142">
            <v>0</v>
          </cell>
          <cell r="AX142">
            <v>0</v>
          </cell>
          <cell r="AY142">
            <v>0</v>
          </cell>
          <cell r="AZ142" t="str">
            <v>amort.O.B.</v>
          </cell>
          <cell r="BE142">
            <v>0</v>
          </cell>
          <cell r="BI142">
            <v>0</v>
          </cell>
          <cell r="BU142">
            <v>0</v>
          </cell>
          <cell r="BX142">
            <v>0</v>
          </cell>
          <cell r="CD142">
            <v>0</v>
          </cell>
          <cell r="CJ142">
            <v>0</v>
          </cell>
          <cell r="CP142">
            <v>0</v>
          </cell>
          <cell r="CT142">
            <v>0</v>
          </cell>
          <cell r="CX142">
            <v>0</v>
          </cell>
          <cell r="FN142">
            <v>0</v>
          </cell>
          <cell r="FO142">
            <v>0</v>
          </cell>
          <cell r="FR142">
            <v>0</v>
          </cell>
          <cell r="FS142">
            <v>0</v>
          </cell>
          <cell r="FT142">
            <v>0</v>
          </cell>
          <cell r="FV142">
            <v>0</v>
          </cell>
          <cell r="FW142" t="str">
            <v>amort.O.B.</v>
          </cell>
          <cell r="FX142">
            <v>0</v>
          </cell>
          <cell r="FY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 t="e">
            <v>#DIV/0!</v>
          </cell>
          <cell r="GG142">
            <v>-4.8237776354059714E-16</v>
          </cell>
          <cell r="GH142">
            <v>0</v>
          </cell>
        </row>
        <row r="143">
          <cell r="A143" t="str">
            <v>amortiz.(GOODWIL)</v>
          </cell>
          <cell r="C143">
            <v>-261.46820000000002</v>
          </cell>
          <cell r="G143">
            <v>0</v>
          </cell>
          <cell r="I143">
            <v>-261.46820000000002</v>
          </cell>
          <cell r="AD143">
            <v>0</v>
          </cell>
          <cell r="AP143">
            <v>0</v>
          </cell>
          <cell r="AT143">
            <v>-261.46820000000002</v>
          </cell>
          <cell r="AX143">
            <v>-261.46820000000002</v>
          </cell>
          <cell r="AY143">
            <v>0</v>
          </cell>
          <cell r="AZ143" t="str">
            <v>amortiz.(GOODWIL)</v>
          </cell>
          <cell r="BC143">
            <v>-559.42160000000001</v>
          </cell>
          <cell r="BG143">
            <v>0</v>
          </cell>
          <cell r="BI143">
            <v>-559.42160000000001</v>
          </cell>
          <cell r="BU143">
            <v>0</v>
          </cell>
          <cell r="BX143">
            <v>0</v>
          </cell>
          <cell r="CD143">
            <v>0</v>
          </cell>
          <cell r="CP143">
            <v>0</v>
          </cell>
          <cell r="CT143">
            <v>-559.42160000000001</v>
          </cell>
          <cell r="CX143">
            <v>-559.42160000000001</v>
          </cell>
          <cell r="FC143">
            <v>-1486.607</v>
          </cell>
          <cell r="FE143">
            <v>0</v>
          </cell>
          <cell r="FF143">
            <v>-1486.607</v>
          </cell>
          <cell r="FG143">
            <v>0</v>
          </cell>
          <cell r="FN143">
            <v>0</v>
          </cell>
          <cell r="FR143">
            <v>0</v>
          </cell>
          <cell r="FS143">
            <v>0</v>
          </cell>
          <cell r="FT143">
            <v>-1486.607</v>
          </cell>
          <cell r="FV143">
            <v>-1486.607</v>
          </cell>
          <cell r="FW143" t="str">
            <v>amortiz.(GOODWIL)</v>
          </cell>
          <cell r="FX143">
            <v>0</v>
          </cell>
          <cell r="FY143">
            <v>0</v>
          </cell>
          <cell r="GA143">
            <v>0</v>
          </cell>
          <cell r="GB143">
            <v>0</v>
          </cell>
          <cell r="GC143">
            <v>-1486.607</v>
          </cell>
          <cell r="GD143">
            <v>-1506.5416579073963</v>
          </cell>
          <cell r="GE143">
            <v>-1486.607</v>
          </cell>
          <cell r="GF143">
            <v>5.685613011448428</v>
          </cell>
          <cell r="GG143">
            <v>-1321.9274983670805</v>
          </cell>
          <cell r="GH143">
            <v>0</v>
          </cell>
        </row>
        <row r="144">
          <cell r="A144" t="str">
            <v>amortiz.</v>
          </cell>
          <cell r="C144">
            <v>-28.111999999999995</v>
          </cell>
          <cell r="E144">
            <v>0</v>
          </cell>
          <cell r="G144">
            <v>0</v>
          </cell>
          <cell r="I144">
            <v>-28.111999999999995</v>
          </cell>
          <cell r="Q144">
            <v>-3767.7370000000001</v>
          </cell>
          <cell r="U144">
            <v>-3767.7370000000001</v>
          </cell>
          <cell r="W144">
            <v>-554</v>
          </cell>
          <cell r="X144">
            <v>-554</v>
          </cell>
          <cell r="Z144">
            <v>-139</v>
          </cell>
          <cell r="AD144">
            <v>-5014.7370000000001</v>
          </cell>
          <cell r="AH144">
            <v>0</v>
          </cell>
          <cell r="AJ144">
            <v>0</v>
          </cell>
          <cell r="AL144">
            <v>-159</v>
          </cell>
          <cell r="AN144">
            <v>0</v>
          </cell>
          <cell r="AP144">
            <v>-159</v>
          </cell>
          <cell r="AR144">
            <v>0</v>
          </cell>
          <cell r="AT144">
            <v>-5201.8490000000002</v>
          </cell>
          <cell r="AV144">
            <v>0</v>
          </cell>
          <cell r="AX144">
            <v>-5201.8490000000002</v>
          </cell>
          <cell r="AY144">
            <v>0</v>
          </cell>
          <cell r="AZ144" t="str">
            <v>amortiz.</v>
          </cell>
          <cell r="BC144">
            <v>-45.679000000000002</v>
          </cell>
          <cell r="BE144">
            <v>0</v>
          </cell>
          <cell r="BG144">
            <v>0</v>
          </cell>
          <cell r="BI144">
            <v>-45.679000000000002</v>
          </cell>
          <cell r="BO144">
            <v>-50</v>
          </cell>
          <cell r="BQ144">
            <v>-10182.071</v>
          </cell>
          <cell r="BU144">
            <v>-10182.071</v>
          </cell>
          <cell r="BW144">
            <v>-2052.5</v>
          </cell>
          <cell r="BX144">
            <v>-2052.5</v>
          </cell>
          <cell r="BZ144">
            <v>-432</v>
          </cell>
          <cell r="CD144">
            <v>-14719.071</v>
          </cell>
          <cell r="CH144">
            <v>0</v>
          </cell>
          <cell r="CJ144">
            <v>0</v>
          </cell>
          <cell r="CL144">
            <v>-390</v>
          </cell>
          <cell r="CN144">
            <v>0</v>
          </cell>
          <cell r="CP144">
            <v>-390</v>
          </cell>
          <cell r="CR144">
            <v>0</v>
          </cell>
          <cell r="CT144">
            <v>-15204.75</v>
          </cell>
          <cell r="CV144">
            <v>0</v>
          </cell>
          <cell r="CX144">
            <v>-15204.75</v>
          </cell>
          <cell r="FC144">
            <v>-125.31</v>
          </cell>
          <cell r="FE144">
            <v>0</v>
          </cell>
          <cell r="FF144">
            <v>-125.31</v>
          </cell>
          <cell r="FI144">
            <v>-17038.097000000002</v>
          </cell>
          <cell r="FJ144">
            <v>-2608.5</v>
          </cell>
          <cell r="FK144">
            <v>-2608.5</v>
          </cell>
          <cell r="FL144">
            <v>-531</v>
          </cell>
          <cell r="FN144">
            <v>-22786.097000000002</v>
          </cell>
          <cell r="FO144">
            <v>0</v>
          </cell>
          <cell r="FP144">
            <v>-720.74787720444169</v>
          </cell>
          <cell r="FQ144">
            <v>0</v>
          </cell>
          <cell r="FR144">
            <v>-720.74787720444169</v>
          </cell>
          <cell r="FS144">
            <v>0</v>
          </cell>
          <cell r="FT144">
            <v>-23632.154877204444</v>
          </cell>
          <cell r="FU144">
            <v>0</v>
          </cell>
          <cell r="FV144">
            <v>-23632.154877204444</v>
          </cell>
          <cell r="FW144" t="str">
            <v>amortiz.</v>
          </cell>
          <cell r="FX144">
            <v>-22786.097000000002</v>
          </cell>
          <cell r="FY144">
            <v>-720.74787720444169</v>
          </cell>
          <cell r="GA144">
            <v>-23506.844877204443</v>
          </cell>
          <cell r="GB144">
            <v>-23822.059934788122</v>
          </cell>
          <cell r="GC144">
            <v>-23632.154877204444</v>
          </cell>
          <cell r="GD144">
            <v>-23949.050279346149</v>
          </cell>
          <cell r="GE144">
            <v>-125.31000000000131</v>
          </cell>
          <cell r="GF144">
            <v>4.5430297721453359</v>
          </cell>
          <cell r="GG144">
            <v>-14825.817708687135</v>
          </cell>
          <cell r="GH144">
            <v>0</v>
          </cell>
          <cell r="HJ144" t="str">
            <v>{edit}{home}@round({end},0)~{d 1}</v>
          </cell>
        </row>
        <row r="145">
          <cell r="A145" t="str">
            <v>total</v>
          </cell>
          <cell r="C145">
            <v>37.065799999999996</v>
          </cell>
          <cell r="E145">
            <v>0</v>
          </cell>
          <cell r="G145">
            <v>0</v>
          </cell>
          <cell r="I145">
            <v>37.065799999999996</v>
          </cell>
          <cell r="O145">
            <v>154.5</v>
          </cell>
          <cell r="Q145">
            <v>5848.4880000000003</v>
          </cell>
          <cell r="S145">
            <v>0</v>
          </cell>
          <cell r="U145">
            <v>5848.4880000000003</v>
          </cell>
          <cell r="W145">
            <v>160.5</v>
          </cell>
          <cell r="X145">
            <v>160.5</v>
          </cell>
          <cell r="Z145">
            <v>181.80099999999999</v>
          </cell>
          <cell r="AB145">
            <v>0</v>
          </cell>
          <cell r="AD145">
            <v>6351.2889999999998</v>
          </cell>
          <cell r="AF145">
            <v>0</v>
          </cell>
          <cell r="AH145">
            <v>0</v>
          </cell>
          <cell r="AJ145">
            <v>0</v>
          </cell>
          <cell r="AL145">
            <v>125</v>
          </cell>
          <cell r="AN145">
            <v>0</v>
          </cell>
          <cell r="AP145">
            <v>125</v>
          </cell>
          <cell r="AR145">
            <v>0</v>
          </cell>
          <cell r="AT145">
            <v>6667.854800000001</v>
          </cell>
          <cell r="AV145">
            <v>82510.197</v>
          </cell>
          <cell r="AX145">
            <v>89178.051800000001</v>
          </cell>
          <cell r="AY145">
            <v>0</v>
          </cell>
          <cell r="AZ145" t="str">
            <v>total</v>
          </cell>
          <cell r="BA145">
            <v>0</v>
          </cell>
          <cell r="BC145">
            <v>75.206400000000002</v>
          </cell>
          <cell r="BE145">
            <v>0</v>
          </cell>
          <cell r="BG145">
            <v>0</v>
          </cell>
          <cell r="BI145">
            <v>75.206400000000002</v>
          </cell>
          <cell r="BO145">
            <v>604</v>
          </cell>
          <cell r="BQ145">
            <v>20005.419000000002</v>
          </cell>
          <cell r="BS145">
            <v>0</v>
          </cell>
          <cell r="BU145">
            <v>20005.419000000002</v>
          </cell>
          <cell r="BW145">
            <v>333</v>
          </cell>
          <cell r="BX145">
            <v>333</v>
          </cell>
          <cell r="BZ145">
            <v>568</v>
          </cell>
          <cell r="CB145">
            <v>0</v>
          </cell>
          <cell r="CD145">
            <v>21239.419000000002</v>
          </cell>
          <cell r="CF145">
            <v>0</v>
          </cell>
          <cell r="CH145">
            <v>0</v>
          </cell>
          <cell r="CJ145">
            <v>0</v>
          </cell>
          <cell r="CL145">
            <v>325</v>
          </cell>
          <cell r="CN145">
            <v>0</v>
          </cell>
          <cell r="CP145">
            <v>325</v>
          </cell>
          <cell r="CR145">
            <v>0</v>
          </cell>
          <cell r="CT145">
            <v>22243.625399999997</v>
          </cell>
          <cell r="CV145">
            <v>356411.43</v>
          </cell>
          <cell r="CX145">
            <v>378655.05540000001</v>
          </cell>
          <cell r="FC145">
            <v>197.59300000000002</v>
          </cell>
          <cell r="FD145">
            <v>0</v>
          </cell>
          <cell r="FE145">
            <v>0</v>
          </cell>
          <cell r="FF145">
            <v>197.59300000000002</v>
          </cell>
          <cell r="FG145">
            <v>0</v>
          </cell>
          <cell r="FH145">
            <v>625.5</v>
          </cell>
          <cell r="FI145">
            <v>23309.42</v>
          </cell>
          <cell r="FJ145">
            <v>736</v>
          </cell>
          <cell r="FK145">
            <v>736</v>
          </cell>
          <cell r="FL145">
            <v>696</v>
          </cell>
          <cell r="FM145">
            <v>0</v>
          </cell>
          <cell r="FN145">
            <v>25477.42</v>
          </cell>
          <cell r="FO145">
            <v>0</v>
          </cell>
          <cell r="FP145">
            <v>552.35140431090781</v>
          </cell>
          <cell r="FQ145">
            <v>0</v>
          </cell>
          <cell r="FR145">
            <v>552.35140431090781</v>
          </cell>
          <cell r="FS145">
            <v>0</v>
          </cell>
          <cell r="FT145">
            <v>26852.864404310898</v>
          </cell>
          <cell r="FU145">
            <v>333205.70900000003</v>
          </cell>
          <cell r="FV145">
            <v>360058.57340431097</v>
          </cell>
          <cell r="FW145" t="str">
            <v>total</v>
          </cell>
          <cell r="FX145">
            <v>25477.42</v>
          </cell>
          <cell r="FY145">
            <v>552.35140431090781</v>
          </cell>
          <cell r="FZ145">
            <v>328977.70900000003</v>
          </cell>
          <cell r="GA145">
            <v>355007.48040431098</v>
          </cell>
          <cell r="GB145">
            <v>359767.95353300369</v>
          </cell>
          <cell r="GC145">
            <v>360058.57340431097</v>
          </cell>
          <cell r="GD145">
            <v>364886.77916914329</v>
          </cell>
          <cell r="GE145">
            <v>5051.0930000000262</v>
          </cell>
          <cell r="GF145">
            <v>4.037524549334357</v>
          </cell>
          <cell r="GG145">
            <v>19411.642856303071</v>
          </cell>
          <cell r="GH145">
            <v>24932.889753755717</v>
          </cell>
          <cell r="GT145" t="str">
            <v xml:space="preserve"> A גליון</v>
          </cell>
        </row>
        <row r="146">
          <cell r="BX146">
            <v>0</v>
          </cell>
          <cell r="CD146">
            <v>0</v>
          </cell>
          <cell r="FI146">
            <v>0</v>
          </cell>
          <cell r="FL146">
            <v>0</v>
          </cell>
          <cell r="FN146">
            <v>0</v>
          </cell>
          <cell r="FX146">
            <v>0</v>
          </cell>
          <cell r="FY146">
            <v>0</v>
          </cell>
          <cell r="GA146">
            <v>0</v>
          </cell>
          <cell r="GB146">
            <v>0</v>
          </cell>
          <cell r="GC146">
            <v>0</v>
          </cell>
          <cell r="GD146">
            <v>0</v>
          </cell>
          <cell r="GE146">
            <v>0</v>
          </cell>
          <cell r="GF146" t="e">
            <v>#DIV/0!</v>
          </cell>
          <cell r="GG146">
            <v>0</v>
          </cell>
          <cell r="GH146">
            <v>0</v>
          </cell>
          <cell r="HJ146" t="str">
            <v>{edit}{bs 15}{del 15}~{edit}/1000{calc}~{D}</v>
          </cell>
        </row>
        <row r="147">
          <cell r="FX147">
            <v>0</v>
          </cell>
          <cell r="FY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</row>
        <row r="148">
          <cell r="FX148">
            <v>0</v>
          </cell>
          <cell r="FY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</row>
        <row r="149">
          <cell r="AZ149" t="str">
            <v>TOTAL ACTIVE</v>
          </cell>
          <cell r="BA149" t="str">
            <v>TOTAL ACTIVE</v>
          </cell>
          <cell r="BC149">
            <v>246674.38814999996</v>
          </cell>
          <cell r="BE149">
            <v>67408.320000000007</v>
          </cell>
          <cell r="BG149">
            <v>4683.6854635847158</v>
          </cell>
          <cell r="BI149">
            <v>318766.39361358481</v>
          </cell>
          <cell r="BM149">
            <v>769.16399999999999</v>
          </cell>
          <cell r="BO149">
            <v>30099</v>
          </cell>
          <cell r="BQ149">
            <v>579574.81400000001</v>
          </cell>
          <cell r="BS149">
            <v>0</v>
          </cell>
          <cell r="BU149">
            <v>579574.81400000001</v>
          </cell>
          <cell r="BW149">
            <v>84288.217000000004</v>
          </cell>
          <cell r="BX149">
            <v>70026</v>
          </cell>
          <cell r="BZ149">
            <v>7725.0929999999989</v>
          </cell>
          <cell r="CB149">
            <v>-4893.777</v>
          </cell>
          <cell r="CD149">
            <v>736720.34699999995</v>
          </cell>
          <cell r="CF149">
            <v>5483.9809999999998</v>
          </cell>
          <cell r="CH149">
            <v>1948.2059999999983</v>
          </cell>
          <cell r="CJ149">
            <v>7432.1869999999981</v>
          </cell>
          <cell r="CL149">
            <v>167841</v>
          </cell>
          <cell r="CN149">
            <v>-6973.5919999999996</v>
          </cell>
          <cell r="CP149">
            <v>168299.595</v>
          </cell>
          <cell r="CR149">
            <v>82090.294000000009</v>
          </cell>
          <cell r="CT149">
            <v>1336745.1786135847</v>
          </cell>
          <cell r="CV149">
            <v>-241245.91899999988</v>
          </cell>
          <cell r="CX149">
            <v>1095499.2596135847</v>
          </cell>
          <cell r="FC149">
            <v>361862.50430437626</v>
          </cell>
          <cell r="FD149">
            <v>67407.64</v>
          </cell>
          <cell r="FE149">
            <v>-17478.27480641528</v>
          </cell>
          <cell r="FF149">
            <v>411791.8694979609</v>
          </cell>
          <cell r="FG149">
            <v>771.43449999999996</v>
          </cell>
          <cell r="FH149">
            <v>30294.5</v>
          </cell>
          <cell r="FI149">
            <v>652430.13</v>
          </cell>
          <cell r="FJ149">
            <v>71643.217000000004</v>
          </cell>
          <cell r="FK149">
            <v>96114</v>
          </cell>
          <cell r="FL149">
            <v>8499.8469999999998</v>
          </cell>
          <cell r="FM149">
            <v>-5338.1769999999997</v>
          </cell>
          <cell r="FN149">
            <v>823349.01700000011</v>
          </cell>
          <cell r="FO149">
            <v>46846.699219000002</v>
          </cell>
          <cell r="FP149">
            <v>227211.80992815155</v>
          </cell>
          <cell r="FQ149">
            <v>-45995.904219000004</v>
          </cell>
          <cell r="FR149">
            <v>228062.60492815156</v>
          </cell>
          <cell r="FS149">
            <v>89217.725999999995</v>
          </cell>
          <cell r="FT149">
            <v>1583487.1519261128</v>
          </cell>
          <cell r="FU149">
            <v>-326624.00598693662</v>
          </cell>
          <cell r="FV149">
            <v>1256862.5275525008</v>
          </cell>
          <cell r="FW149" t="str">
            <v>TOTAL ACTIVE</v>
          </cell>
          <cell r="FX149">
            <v>823349.01700000011</v>
          </cell>
          <cell r="FY149">
            <v>228062.60492815156</v>
          </cell>
          <cell r="FZ149">
            <v>-4.1679999999469146</v>
          </cell>
          <cell r="GA149">
            <v>1051407.4539281516</v>
          </cell>
          <cell r="GB149">
            <v>1065506.3031299543</v>
          </cell>
          <cell r="GC149">
            <v>1256862.5275525008</v>
          </cell>
          <cell r="GD149">
            <v>1273716.4267493861</v>
          </cell>
          <cell r="GE149">
            <v>194602.69562434911</v>
          </cell>
          <cell r="GF149">
            <v>4.077277308000359</v>
          </cell>
          <cell r="GG149">
            <v>616379.9190516792</v>
          </cell>
          <cell r="GH149">
            <v>0.61838667537085712</v>
          </cell>
        </row>
        <row r="150">
          <cell r="BX150">
            <v>0</v>
          </cell>
          <cell r="CD150">
            <v>0</v>
          </cell>
          <cell r="FG150" t="str">
            <v>Madrichei Pnai</v>
          </cell>
          <cell r="FN150">
            <v>0</v>
          </cell>
          <cell r="FS150">
            <v>0</v>
          </cell>
          <cell r="FX150">
            <v>0</v>
          </cell>
          <cell r="FY150">
            <v>0</v>
          </cell>
          <cell r="GA150">
            <v>0</v>
          </cell>
          <cell r="GB150">
            <v>0</v>
          </cell>
          <cell r="GC150">
            <v>0</v>
          </cell>
          <cell r="GD150">
            <v>0</v>
          </cell>
          <cell r="GE150">
            <v>0</v>
          </cell>
          <cell r="GF150" t="e">
            <v>#DIV/0!</v>
          </cell>
          <cell r="GH150">
            <v>0</v>
          </cell>
        </row>
        <row r="151">
          <cell r="BX151">
            <v>0</v>
          </cell>
          <cell r="CD151">
            <v>0</v>
          </cell>
          <cell r="CT151">
            <v>-0.38500000000931323</v>
          </cell>
        </row>
        <row r="152">
          <cell r="BX152">
            <v>0</v>
          </cell>
          <cell r="CD152">
            <v>0</v>
          </cell>
          <cell r="FC152" t="str">
            <v>A.L.I.S</v>
          </cell>
          <cell r="FH152" t="str">
            <v>Netcom</v>
          </cell>
          <cell r="FI152" t="str">
            <v>G.C.&amp; CO.</v>
          </cell>
          <cell r="FJ152" t="str">
            <v>IDAN</v>
          </cell>
          <cell r="FL152" t="str">
            <v>EDOM</v>
          </cell>
          <cell r="FN152">
            <v>0</v>
          </cell>
          <cell r="FS152">
            <v>0</v>
          </cell>
          <cell r="FT152" t="str">
            <v>TOTAL</v>
          </cell>
          <cell r="FU152" t="str">
            <v>J.ENTRIES</v>
          </cell>
          <cell r="FV152" t="str">
            <v>TOTAL</v>
          </cell>
          <cell r="FX152">
            <v>0</v>
          </cell>
          <cell r="FY152">
            <v>0</v>
          </cell>
          <cell r="GA152">
            <v>0</v>
          </cell>
          <cell r="GB152">
            <v>0</v>
          </cell>
          <cell r="GC152" t="str">
            <v>TOTAL</v>
          </cell>
          <cell r="GD152">
            <v>0</v>
          </cell>
          <cell r="GE152">
            <v>0</v>
          </cell>
          <cell r="GF152" t="e">
            <v>#DIV/0!</v>
          </cell>
          <cell r="GG152" t="str">
            <v>TOTAL</v>
          </cell>
          <cell r="GH152">
            <v>0</v>
          </cell>
        </row>
        <row r="153">
          <cell r="BX153">
            <v>0</v>
          </cell>
          <cell r="CD153">
            <v>0</v>
          </cell>
          <cell r="FC153" t="str">
            <v>31/12/98</v>
          </cell>
          <cell r="FI153">
            <v>0</v>
          </cell>
          <cell r="FN153">
            <v>0</v>
          </cell>
          <cell r="FS153">
            <v>0</v>
          </cell>
          <cell r="FT153" t="str">
            <v xml:space="preserve"> =31/12/98</v>
          </cell>
          <cell r="FV153" t="str">
            <v xml:space="preserve"> 31/12/98</v>
          </cell>
          <cell r="FX153">
            <v>0</v>
          </cell>
          <cell r="FY153">
            <v>0</v>
          </cell>
          <cell r="GA153">
            <v>0</v>
          </cell>
          <cell r="GB153">
            <v>0</v>
          </cell>
          <cell r="GC153" t="str">
            <v xml:space="preserve"> 31/12/98</v>
          </cell>
          <cell r="GD153">
            <v>0</v>
          </cell>
          <cell r="GE153">
            <v>0</v>
          </cell>
          <cell r="GF153" t="e">
            <v>#DIV/0!</v>
          </cell>
          <cell r="GG153" t="str">
            <v>31/12/97</v>
          </cell>
          <cell r="GH153">
            <v>0</v>
          </cell>
        </row>
        <row r="154">
          <cell r="A154">
            <v>0</v>
          </cell>
          <cell r="G154" t="str">
            <v>CONSOLIDATED STATEMENTS</v>
          </cell>
          <cell r="S154" t="str">
            <v xml:space="preserve"> AS AT </v>
          </cell>
          <cell r="AZ154">
            <v>0</v>
          </cell>
          <cell r="BG154" t="str">
            <v>CONSOLIDATED STATEMENTS</v>
          </cell>
          <cell r="BQ154" t="str">
            <v xml:space="preserve"> AS AT </v>
          </cell>
          <cell r="BS154">
            <v>0</v>
          </cell>
          <cell r="BX154">
            <v>0</v>
          </cell>
          <cell r="CD154">
            <v>0</v>
          </cell>
          <cell r="CF154" t="str">
            <v xml:space="preserve"> AS AT </v>
          </cell>
          <cell r="CH154">
            <v>36160</v>
          </cell>
          <cell r="FC154" t="str">
            <v>A.C.T.V.</v>
          </cell>
          <cell r="FE154" t="str">
            <v>CONSOLIDATED STATEMENTS</v>
          </cell>
          <cell r="FI154" t="str">
            <v>מד"פ</v>
          </cell>
          <cell r="FL154" t="str">
            <v>G.C.&amp; CO. CONSOLIDATED</v>
          </cell>
          <cell r="FN154">
            <v>0</v>
          </cell>
          <cell r="FS154">
            <v>0</v>
          </cell>
          <cell r="FU154" t="str">
            <v xml:space="preserve">A.L.I.S-CONSOLIDATED </v>
          </cell>
          <cell r="FW154" t="str">
            <v>T.L.M</v>
          </cell>
          <cell r="FX154">
            <v>0</v>
          </cell>
          <cell r="FY154">
            <v>0</v>
          </cell>
          <cell r="GA154">
            <v>0</v>
          </cell>
          <cell r="GB154">
            <v>0</v>
          </cell>
          <cell r="GC154">
            <v>0</v>
          </cell>
          <cell r="GD154">
            <v>0</v>
          </cell>
          <cell r="GE154">
            <v>0</v>
          </cell>
          <cell r="GF154" t="e">
            <v>#DIV/0!</v>
          </cell>
          <cell r="GH154">
            <v>0</v>
          </cell>
          <cell r="HJ154" t="str">
            <v>/wcs1~{r 1}</v>
          </cell>
        </row>
        <row r="155">
          <cell r="A155" t="str">
            <v>SHAREHOL.EQUITY</v>
          </cell>
          <cell r="C155">
            <v>-3.19</v>
          </cell>
          <cell r="I155">
            <v>-3.19</v>
          </cell>
          <cell r="M155">
            <v>0</v>
          </cell>
          <cell r="O155">
            <v>-2500</v>
          </cell>
          <cell r="W155">
            <v>3</v>
          </cell>
          <cell r="X155">
            <v>-3</v>
          </cell>
          <cell r="Z155">
            <v>-0.32600000000000001</v>
          </cell>
          <cell r="AB155">
            <v>0.32600000000000001</v>
          </cell>
          <cell r="AD155">
            <v>0</v>
          </cell>
          <cell r="AF155">
            <v>-4.9000000000000002E-2</v>
          </cell>
          <cell r="AH155">
            <v>0</v>
          </cell>
          <cell r="AJ155">
            <v>-4.9000000000000002E-2</v>
          </cell>
          <cell r="AP155">
            <v>-4.9000000000000002E-2</v>
          </cell>
          <cell r="AR155">
            <v>-1.0349999999999999</v>
          </cell>
          <cell r="AT155">
            <v>-2504.2739999999999</v>
          </cell>
          <cell r="AV155">
            <v>2501.0839999999998</v>
          </cell>
          <cell r="AX155">
            <v>-3.1900000000000546</v>
          </cell>
          <cell r="AZ155" t="str">
            <v>SHAREHOL.EQUITY</v>
          </cell>
          <cell r="BC155">
            <v>-5</v>
          </cell>
          <cell r="BI155">
            <v>-5</v>
          </cell>
          <cell r="BO155">
            <v>-8181.5</v>
          </cell>
          <cell r="BQ155" t="str">
            <v xml:space="preserve"> </v>
          </cell>
          <cell r="BS155" t="str">
            <v xml:space="preserve"> </v>
          </cell>
          <cell r="BU155">
            <v>0</v>
          </cell>
          <cell r="BW155">
            <v>5</v>
          </cell>
          <cell r="BX155">
            <v>-5</v>
          </cell>
          <cell r="BZ155">
            <v>-1</v>
          </cell>
          <cell r="CD155">
            <v>-1</v>
          </cell>
          <cell r="CF155">
            <v>-0.1</v>
          </cell>
          <cell r="CH155">
            <v>0</v>
          </cell>
          <cell r="CJ155">
            <v>-0.1</v>
          </cell>
          <cell r="CL155">
            <v>-0.1</v>
          </cell>
          <cell r="CP155">
            <v>-0.2</v>
          </cell>
          <cell r="CR155">
            <v>-2</v>
          </cell>
          <cell r="CT155">
            <v>-8189.7</v>
          </cell>
          <cell r="CU155">
            <v>0</v>
          </cell>
          <cell r="CV155">
            <v>8184.7</v>
          </cell>
          <cell r="CX155">
            <v>-5</v>
          </cell>
          <cell r="FC155">
            <v>-17.643000000000001</v>
          </cell>
          <cell r="FF155">
            <v>-17.643000000000001</v>
          </cell>
          <cell r="FH155">
            <v>-9447.5</v>
          </cell>
          <cell r="FJ155">
            <v>18.5</v>
          </cell>
          <cell r="FK155">
            <v>-18.5</v>
          </cell>
          <cell r="FL155">
            <v>-1</v>
          </cell>
          <cell r="FM155">
            <v>1</v>
          </cell>
          <cell r="FN155">
            <v>0</v>
          </cell>
          <cell r="FO155">
            <v>-0.22900000000000001</v>
          </cell>
          <cell r="FR155">
            <v>-0.22900000000000001</v>
          </cell>
          <cell r="FS155">
            <v>-5.79</v>
          </cell>
          <cell r="FT155">
            <v>-9471.1620000000003</v>
          </cell>
          <cell r="FU155">
            <v>9453.5190000000002</v>
          </cell>
          <cell r="FV155">
            <v>-17.643000000000029</v>
          </cell>
          <cell r="FW155" t="str">
            <v>SHAREHOL.EQUITY</v>
          </cell>
          <cell r="FX155">
            <v>0</v>
          </cell>
          <cell r="FY155">
            <v>-0.22900000000000001</v>
          </cell>
          <cell r="GA155">
            <v>-0.22900000000000001</v>
          </cell>
          <cell r="GB155">
            <v>-0.23207077570655441</v>
          </cell>
          <cell r="GC155">
            <v>-17.643000000000029</v>
          </cell>
          <cell r="GD155">
            <v>-17.879583824413739</v>
          </cell>
          <cell r="GE155">
            <v>-17.41400000000003</v>
          </cell>
          <cell r="GF155">
            <v>5.5307210031347109</v>
          </cell>
          <cell r="GG155">
            <v>-17.379490529065972</v>
          </cell>
          <cell r="GH155">
            <v>0</v>
          </cell>
          <cell r="HJ155" t="str">
            <v>{edit}{home}+ez22/~{d}</v>
          </cell>
        </row>
        <row r="156">
          <cell r="A156" t="str">
            <v>PASSIV</v>
          </cell>
          <cell r="G156" t="str">
            <v>A.C.T.V.</v>
          </cell>
          <cell r="S156" t="str">
            <v>G.C.&amp; CO.</v>
          </cell>
          <cell r="Z156" t="str">
            <v>G.C.&amp; CO. CONSOLIDATED</v>
          </cell>
          <cell r="AF156" t="str">
            <v>SOUTH SHARON COMM.</v>
          </cell>
          <cell r="AL156" t="str">
            <v>T.L.M</v>
          </cell>
          <cell r="AN156" t="str">
            <v>S.S.C.-CONSOLIDATED</v>
          </cell>
          <cell r="AR156" t="str">
            <v>MERCAZ</v>
          </cell>
          <cell r="AV156" t="str">
            <v xml:space="preserve">A.L.I.S-CONSOLIDATED </v>
          </cell>
          <cell r="AZ156" t="str">
            <v>PASSIV</v>
          </cell>
          <cell r="BG156" t="str">
            <v>A.C.T.V.</v>
          </cell>
          <cell r="BS156" t="str">
            <v>G.C.&amp; CO.</v>
          </cell>
          <cell r="BX156">
            <v>0</v>
          </cell>
          <cell r="BZ156" t="str">
            <v>G.C.&amp; CO. CONSOLIDATED</v>
          </cell>
          <cell r="CD156">
            <v>0</v>
          </cell>
          <cell r="CF156" t="str">
            <v>SOUTH SHARON COMM.</v>
          </cell>
          <cell r="CL156" t="str">
            <v>T.L.M</v>
          </cell>
          <cell r="CN156" t="str">
            <v>S.S.C.-CONSOLIDATED</v>
          </cell>
          <cell r="CR156" t="str">
            <v>MERCAZ</v>
          </cell>
          <cell r="CV156" t="str">
            <v xml:space="preserve">CONSOLIDATED </v>
          </cell>
          <cell r="FE156" t="str">
            <v>A.C.T.V.</v>
          </cell>
          <cell r="FG156" t="str">
            <v>מדד000</v>
          </cell>
          <cell r="FN156">
            <v>0</v>
          </cell>
          <cell r="FP156" t="str">
            <v>T.L.M</v>
          </cell>
          <cell r="FQ156" t="str">
            <v>S.S.C.-CONSOLIDATED</v>
          </cell>
          <cell r="FS156">
            <v>0</v>
          </cell>
          <cell r="FW156" t="str">
            <v>PASSIVE</v>
          </cell>
          <cell r="FX156">
            <v>0</v>
          </cell>
          <cell r="FY156">
            <v>0</v>
          </cell>
          <cell r="GA156">
            <v>0</v>
          </cell>
          <cell r="GB156">
            <v>0</v>
          </cell>
          <cell r="GC156">
            <v>0</v>
          </cell>
          <cell r="GD156">
            <v>0</v>
          </cell>
          <cell r="GE156">
            <v>0</v>
          </cell>
          <cell r="GF156" t="e">
            <v>#DIV/0!</v>
          </cell>
          <cell r="GH156">
            <v>0</v>
          </cell>
        </row>
        <row r="157">
          <cell r="A157" t="str">
            <v>OWNERS'INVESTMENT</v>
          </cell>
          <cell r="I157">
            <v>0</v>
          </cell>
          <cell r="M157">
            <v>145.83004807692308</v>
          </cell>
          <cell r="Q157">
            <v>5221.085</v>
          </cell>
          <cell r="U157">
            <v>5221.085</v>
          </cell>
          <cell r="W157">
            <v>3099.5</v>
          </cell>
          <cell r="X157">
            <v>-3099.5</v>
          </cell>
          <cell r="AD157">
            <v>5221.0849999999991</v>
          </cell>
          <cell r="AH157">
            <v>0</v>
          </cell>
          <cell r="AJ157">
            <v>0</v>
          </cell>
          <cell r="AP157">
            <v>0</v>
          </cell>
          <cell r="AT157">
            <v>5366.9150480769222</v>
          </cell>
          <cell r="AV157">
            <v>-5366.9150480769222</v>
          </cell>
          <cell r="AX157">
            <v>0</v>
          </cell>
          <cell r="AZ157" t="str">
            <v>OWNERS'INVESTMENT</v>
          </cell>
          <cell r="BI157">
            <v>0</v>
          </cell>
          <cell r="BM157">
            <v>623.2885</v>
          </cell>
          <cell r="BQ157">
            <v>-12388.386999999999</v>
          </cell>
          <cell r="BU157">
            <v>-12388.386999999999</v>
          </cell>
          <cell r="BW157">
            <v>6422.5</v>
          </cell>
          <cell r="BX157">
            <v>-6422.5</v>
          </cell>
          <cell r="CD157">
            <v>-12388.386999999999</v>
          </cell>
          <cell r="CH157">
            <v>0</v>
          </cell>
          <cell r="CJ157">
            <v>0</v>
          </cell>
          <cell r="CL157">
            <v>0</v>
          </cell>
          <cell r="CP157">
            <v>0</v>
          </cell>
          <cell r="CT157">
            <v>-11765.098499999998</v>
          </cell>
          <cell r="CU157">
            <v>0</v>
          </cell>
          <cell r="CV157">
            <v>11765.098499999998</v>
          </cell>
          <cell r="CX157">
            <v>0</v>
          </cell>
          <cell r="FG157">
            <v>606.65300000000002</v>
          </cell>
          <cell r="FI157">
            <v>-10331.803000000002</v>
          </cell>
          <cell r="FJ157">
            <v>15602</v>
          </cell>
          <cell r="FK157">
            <v>-15602</v>
          </cell>
          <cell r="FN157">
            <v>-10331.803000000002</v>
          </cell>
          <cell r="FO157">
            <v>0</v>
          </cell>
          <cell r="FR157">
            <v>0</v>
          </cell>
          <cell r="FS157">
            <v>0</v>
          </cell>
          <cell r="FT157">
            <v>-9725.15</v>
          </cell>
          <cell r="FU157">
            <v>9725.15</v>
          </cell>
          <cell r="FV157">
            <v>0</v>
          </cell>
          <cell r="FW157" t="str">
            <v>OWNERS'INVESTMENT</v>
          </cell>
          <cell r="FX157">
            <v>-10331.803000000002</v>
          </cell>
          <cell r="FY157">
            <v>0</v>
          </cell>
          <cell r="GA157">
            <v>-10331.803000000002</v>
          </cell>
          <cell r="GB157">
            <v>-10470.347321647627</v>
          </cell>
          <cell r="GC157">
            <v>0</v>
          </cell>
          <cell r="GD157">
            <v>0</v>
          </cell>
          <cell r="GE157">
            <v>10331.803000000002</v>
          </cell>
          <cell r="GF157" t="e">
            <v>#DIV/0!</v>
          </cell>
          <cell r="GG157">
            <v>0</v>
          </cell>
          <cell r="GH157">
            <v>0</v>
          </cell>
        </row>
        <row r="158">
          <cell r="A158">
            <v>36661.599853703701</v>
          </cell>
          <cell r="C158" t="str">
            <v>A.C.T.V.</v>
          </cell>
          <cell r="E158" t="str">
            <v>A.L.I.S</v>
          </cell>
          <cell r="G158" t="str">
            <v>J.ENTRIES</v>
          </cell>
          <cell r="I158" t="str">
            <v>TOTAL</v>
          </cell>
          <cell r="Q158" t="str">
            <v>G.C.&amp; CO.</v>
          </cell>
          <cell r="S158" t="str">
            <v>J.ENTRIES</v>
          </cell>
          <cell r="U158" t="str">
            <v>TOTAL</v>
          </cell>
          <cell r="W158" t="str">
            <v>עידן -כניסה לאיחוד</v>
          </cell>
          <cell r="X158" t="str">
            <v>עידן 50%</v>
          </cell>
          <cell r="Z158" t="str">
            <v>A. EDOM</v>
          </cell>
          <cell r="AB158" t="str">
            <v>J.ENTRIES</v>
          </cell>
          <cell r="AD158" t="str">
            <v>TOTAL</v>
          </cell>
          <cell r="AF158" t="str">
            <v>S.S.C.</v>
          </cell>
          <cell r="AH158" t="str">
            <v>J.ENTRIES</v>
          </cell>
          <cell r="AJ158" t="str">
            <v>TOTAL</v>
          </cell>
          <cell r="AL158" t="str">
            <v>T.L.M</v>
          </cell>
          <cell r="AN158" t="str">
            <v>J.ENTRIES</v>
          </cell>
          <cell r="AP158" t="str">
            <v>TOTAL</v>
          </cell>
          <cell r="AR158" t="str">
            <v>MERCAZ</v>
          </cell>
          <cell r="AT158" t="str">
            <v>TOTAL</v>
          </cell>
          <cell r="AV158" t="str">
            <v>J.ENTRIES</v>
          </cell>
          <cell r="AX158" t="str">
            <v>TOTAL</v>
          </cell>
          <cell r="AZ158">
            <v>36661.599855671295</v>
          </cell>
          <cell r="BC158" t="str">
            <v>A.C.T.V.</v>
          </cell>
          <cell r="BE158" t="str">
            <v>A.L.I.S</v>
          </cell>
          <cell r="BG158" t="str">
            <v>J.ENTRIES</v>
          </cell>
          <cell r="BI158" t="str">
            <v>TOTAL</v>
          </cell>
          <cell r="BX158">
            <v>0</v>
          </cell>
          <cell r="BZ158" t="str">
            <v>A. EDOM</v>
          </cell>
          <cell r="CB158" t="str">
            <v>J.ENTRIES</v>
          </cell>
          <cell r="CD158">
            <v>0</v>
          </cell>
          <cell r="CF158" t="str">
            <v>S.S.C.</v>
          </cell>
          <cell r="CH158" t="str">
            <v>J.ENTRIES</v>
          </cell>
          <cell r="CJ158" t="str">
            <v>TOTAL</v>
          </cell>
          <cell r="CL158" t="str">
            <v>T.L.M</v>
          </cell>
          <cell r="CN158" t="str">
            <v>J.ENTRIES</v>
          </cell>
          <cell r="CP158" t="str">
            <v>TOTAL</v>
          </cell>
          <cell r="CR158" t="str">
            <v>MERCAZ</v>
          </cell>
          <cell r="CT158" t="str">
            <v>TOTAL</v>
          </cell>
          <cell r="CV158" t="str">
            <v>J.ENTRIES</v>
          </cell>
          <cell r="CX158" t="str">
            <v>TOTAL</v>
          </cell>
          <cell r="FE158" t="str">
            <v>J.ENTRIES</v>
          </cell>
          <cell r="FM158" t="str">
            <v>J.ENTRIES</v>
          </cell>
          <cell r="FN158">
            <v>0</v>
          </cell>
          <cell r="FO158" t="str">
            <v>TOTAL</v>
          </cell>
          <cell r="FP158" t="str">
            <v>T.L.M</v>
          </cell>
          <cell r="FQ158" t="str">
            <v>J.ENTRIES</v>
          </cell>
          <cell r="FR158" t="str">
            <v>TOTAL</v>
          </cell>
          <cell r="FS158">
            <v>0</v>
          </cell>
          <cell r="FW158">
            <v>36661.599853703701</v>
          </cell>
          <cell r="FX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 t="e">
            <v>#DIV/0!</v>
          </cell>
          <cell r="GH158">
            <v>0</v>
          </cell>
        </row>
        <row r="159">
          <cell r="C159" t="str">
            <v>000$</v>
          </cell>
          <cell r="E159" t="str">
            <v>000$</v>
          </cell>
          <cell r="G159" t="str">
            <v>000$</v>
          </cell>
          <cell r="I159" t="str">
            <v>000$</v>
          </cell>
          <cell r="Q159" t="str">
            <v>000$</v>
          </cell>
          <cell r="S159" t="str">
            <v>000$</v>
          </cell>
          <cell r="U159" t="str">
            <v>000$</v>
          </cell>
          <cell r="W159" t="str">
            <v>000$</v>
          </cell>
          <cell r="X159" t="str">
            <v>000$</v>
          </cell>
          <cell r="Z159" t="str">
            <v>000$</v>
          </cell>
          <cell r="AD159" t="str">
            <v>000$</v>
          </cell>
          <cell r="AF159" t="str">
            <v>000$</v>
          </cell>
          <cell r="AH159" t="str">
            <v>000$</v>
          </cell>
          <cell r="AJ159" t="str">
            <v>000$</v>
          </cell>
          <cell r="AP159" t="str">
            <v>000$</v>
          </cell>
          <cell r="AR159" t="str">
            <v>000$</v>
          </cell>
          <cell r="AT159" t="str">
            <v>000$</v>
          </cell>
          <cell r="AV159" t="str">
            <v>000$</v>
          </cell>
          <cell r="AX159" t="str">
            <v>000$</v>
          </cell>
          <cell r="BC159" t="str">
            <v>000NIS</v>
          </cell>
          <cell r="BE159" t="str">
            <v>000NIS</v>
          </cell>
          <cell r="BG159" t="str">
            <v>000NIS</v>
          </cell>
          <cell r="BI159" t="str">
            <v>000NIS</v>
          </cell>
          <cell r="BX159">
            <v>0</v>
          </cell>
          <cell r="BZ159" t="str">
            <v>000NIS</v>
          </cell>
          <cell r="CB159" t="str">
            <v>000NIS</v>
          </cell>
          <cell r="CD159">
            <v>0</v>
          </cell>
          <cell r="CF159" t="str">
            <v>000NIS</v>
          </cell>
          <cell r="CH159" t="str">
            <v>000NIS</v>
          </cell>
          <cell r="CJ159" t="str">
            <v>000NIS</v>
          </cell>
          <cell r="CL159" t="str">
            <v>000NIS</v>
          </cell>
          <cell r="CN159" t="str">
            <v>000NIS</v>
          </cell>
          <cell r="CP159" t="str">
            <v>000NIS</v>
          </cell>
          <cell r="CR159" t="str">
            <v>000NIS</v>
          </cell>
          <cell r="CT159" t="str">
            <v>000$</v>
          </cell>
          <cell r="CV159" t="str">
            <v>000NIS</v>
          </cell>
          <cell r="CX159" t="str">
            <v>000NIS</v>
          </cell>
          <cell r="FN159">
            <v>0</v>
          </cell>
          <cell r="FS159">
            <v>-928.274</v>
          </cell>
          <cell r="FT159">
            <v>-928.274</v>
          </cell>
          <cell r="FU159">
            <v>928.274</v>
          </cell>
          <cell r="FV159">
            <v>0</v>
          </cell>
          <cell r="FW159" t="str">
            <v>CAPITAL FUND</v>
          </cell>
          <cell r="FX159">
            <v>0</v>
          </cell>
          <cell r="FY159">
            <v>0</v>
          </cell>
          <cell r="GA159">
            <v>0</v>
          </cell>
          <cell r="GB159">
            <v>0</v>
          </cell>
          <cell r="GC159">
            <v>0</v>
          </cell>
          <cell r="GD159">
            <v>0</v>
          </cell>
          <cell r="GE159">
            <v>0</v>
          </cell>
          <cell r="GF159" t="e">
            <v>#DIV/0!</v>
          </cell>
          <cell r="GG159" t="str">
            <v>מדד000</v>
          </cell>
          <cell r="GH159">
            <v>0</v>
          </cell>
        </row>
        <row r="160">
          <cell r="GB160">
            <v>0</v>
          </cell>
          <cell r="GC160">
            <v>0</v>
          </cell>
          <cell r="GD160">
            <v>0</v>
          </cell>
        </row>
        <row r="161">
          <cell r="GB161">
            <v>0</v>
          </cell>
          <cell r="GC161">
            <v>0</v>
          </cell>
          <cell r="GD161">
            <v>0</v>
          </cell>
        </row>
        <row r="162">
          <cell r="GB162">
            <v>0</v>
          </cell>
          <cell r="GC162">
            <v>0</v>
          </cell>
          <cell r="GD162">
            <v>0</v>
          </cell>
        </row>
        <row r="163">
          <cell r="GB163">
            <v>0</v>
          </cell>
          <cell r="GC163">
            <v>0</v>
          </cell>
          <cell r="GD163">
            <v>0</v>
          </cell>
        </row>
        <row r="164">
          <cell r="A164" t="str">
            <v>ACCUMULATED profit</v>
          </cell>
          <cell r="C164">
            <v>-24318.967000000001</v>
          </cell>
          <cell r="E164">
            <v>-18208.287</v>
          </cell>
          <cell r="G164">
            <v>3596.6195138175572</v>
          </cell>
          <cell r="I164">
            <v>-38930.63448618244</v>
          </cell>
          <cell r="M164">
            <v>-243.03250961538447</v>
          </cell>
          <cell r="O164">
            <v>-979.5</v>
          </cell>
          <cell r="Q164">
            <v>-74356.178815384614</v>
          </cell>
          <cell r="S164">
            <v>202.167</v>
          </cell>
          <cell r="U164">
            <v>-74154.011815384612</v>
          </cell>
          <cell r="W164">
            <v>433</v>
          </cell>
          <cell r="X164">
            <v>-432.5</v>
          </cell>
          <cell r="Z164">
            <v>-407.24830769230772</v>
          </cell>
          <cell r="AB164">
            <v>407</v>
          </cell>
          <cell r="AD164">
            <v>-74154.760123076936</v>
          </cell>
          <cell r="AF164">
            <v>-8362.9340000000011</v>
          </cell>
          <cell r="AH164">
            <v>-2329.5149999999999</v>
          </cell>
          <cell r="AJ164">
            <v>-10692.449000000001</v>
          </cell>
          <cell r="AL164">
            <v>-16160.913999999997</v>
          </cell>
          <cell r="AN164">
            <v>16160.611000000001</v>
          </cell>
          <cell r="AP164">
            <v>-10692.751999999997</v>
          </cell>
          <cell r="AR164">
            <v>-1091.8273484162894</v>
          </cell>
          <cell r="AT164">
            <v>-126092.50646729108</v>
          </cell>
          <cell r="AV164">
            <v>87161.863858031677</v>
          </cell>
          <cell r="AX164">
            <v>-38930.642609259361</v>
          </cell>
          <cell r="AZ164" t="str">
            <v>ACCUMULATED profit</v>
          </cell>
          <cell r="BC164">
            <v>2136.7808700000096</v>
          </cell>
          <cell r="BE164">
            <v>-67407.641000000003</v>
          </cell>
          <cell r="BG164">
            <v>15719.503536415281</v>
          </cell>
          <cell r="BI164">
            <v>-49551.356593584715</v>
          </cell>
          <cell r="BM164">
            <v>-1033.9669999999996</v>
          </cell>
          <cell r="BO164">
            <v>-5536.7749999999996</v>
          </cell>
          <cell r="BQ164">
            <v>-186130.535</v>
          </cell>
          <cell r="BS164">
            <v>0</v>
          </cell>
          <cell r="BU164">
            <v>-186130.535</v>
          </cell>
          <cell r="BW164">
            <v>-16458.5</v>
          </cell>
          <cell r="BX164">
            <v>16458.5</v>
          </cell>
          <cell r="BZ164">
            <v>-762.11900000000117</v>
          </cell>
          <cell r="CB164">
            <v>768</v>
          </cell>
          <cell r="CD164">
            <v>-186124.65400000001</v>
          </cell>
          <cell r="CF164">
            <v>-3803.982</v>
          </cell>
          <cell r="CH164">
            <v>-1948.2059999999983</v>
          </cell>
          <cell r="CJ164">
            <v>-5752.1879999999983</v>
          </cell>
          <cell r="CL164">
            <v>-10176</v>
          </cell>
          <cell r="CN164">
            <v>10176.205999999998</v>
          </cell>
          <cell r="CP164">
            <v>-5751.9819999999963</v>
          </cell>
          <cell r="CR164">
            <v>9328.08</v>
          </cell>
          <cell r="CT164">
            <v>-238670.83659358468</v>
          </cell>
          <cell r="CU164">
            <v>0.18199999997159466</v>
          </cell>
          <cell r="CV164">
            <v>189123.75900000002</v>
          </cell>
          <cell r="CX164">
            <v>-49547.077593584647</v>
          </cell>
          <cell r="FC164">
            <v>-94752.620999999999</v>
          </cell>
          <cell r="FD164">
            <v>-67407.860472</v>
          </cell>
          <cell r="FE164">
            <v>22435.880226255285</v>
          </cell>
          <cell r="FF164">
            <v>-139724.60124574471</v>
          </cell>
          <cell r="FG164">
            <v>-1009.8980000000006</v>
          </cell>
          <cell r="FH164">
            <v>-4787</v>
          </cell>
          <cell r="FI164">
            <v>-261042.58099999992</v>
          </cell>
          <cell r="FJ164">
            <v>170</v>
          </cell>
          <cell r="FK164">
            <v>-170</v>
          </cell>
          <cell r="FL164">
            <v>-1403.8139999999994</v>
          </cell>
          <cell r="FM164">
            <v>1404</v>
          </cell>
          <cell r="FN164">
            <v>-261042.39500000002</v>
          </cell>
          <cell r="FO164">
            <v>-45166.071219000005</v>
          </cell>
          <cell r="FP164">
            <v>-68192.262000000002</v>
          </cell>
          <cell r="FQ164">
            <v>68191.595218999995</v>
          </cell>
          <cell r="FR164">
            <v>-45166.738000000012</v>
          </cell>
          <cell r="FS164">
            <v>3145.0630000000001</v>
          </cell>
          <cell r="FT164">
            <v>-448585.56924574461</v>
          </cell>
          <cell r="FU164">
            <v>308861.65149999998</v>
          </cell>
          <cell r="FV164">
            <v>-139723.91774574461</v>
          </cell>
          <cell r="FW164" t="str">
            <v>ACCUMULATED profit</v>
          </cell>
          <cell r="FX164">
            <v>-261042.39500000002</v>
          </cell>
          <cell r="FY164">
            <v>-45166.738000000012</v>
          </cell>
          <cell r="FZ164">
            <v>-0.43684500000381377</v>
          </cell>
          <cell r="GA164">
            <v>-306209.56984499993</v>
          </cell>
          <cell r="GB164">
            <v>-310315.6873480326</v>
          </cell>
          <cell r="GC164">
            <v>-139723.91774574463</v>
          </cell>
          <cell r="GD164">
            <v>-141597.54574678498</v>
          </cell>
          <cell r="GE164">
            <v>120607.73899925532</v>
          </cell>
          <cell r="GF164">
            <v>3.589047300044113</v>
          </cell>
          <cell r="GG164">
            <v>-99017.617549098839</v>
          </cell>
          <cell r="GH164">
            <v>0</v>
          </cell>
        </row>
        <row r="165">
          <cell r="C165">
            <v>-24322.156999999999</v>
          </cell>
          <cell r="E165">
            <v>-18208.287</v>
          </cell>
          <cell r="G165">
            <v>3596.6195138175572</v>
          </cell>
          <cell r="I165">
            <v>-38933.824486182442</v>
          </cell>
          <cell r="M165">
            <v>-97.202461538461392</v>
          </cell>
          <cell r="O165">
            <v>-3479.5</v>
          </cell>
          <cell r="Q165">
            <v>-69135.093815384607</v>
          </cell>
          <cell r="S165">
            <v>202.167</v>
          </cell>
          <cell r="U165">
            <v>-68932.926815384606</v>
          </cell>
          <cell r="W165">
            <v>3535.5</v>
          </cell>
          <cell r="X165">
            <v>-3535</v>
          </cell>
          <cell r="Z165">
            <v>-407.57430769230774</v>
          </cell>
          <cell r="AB165">
            <v>407</v>
          </cell>
          <cell r="AD165">
            <v>-68933.675123076944</v>
          </cell>
          <cell r="AF165">
            <v>-8362.983000000002</v>
          </cell>
          <cell r="AH165">
            <v>-2329.5149999999999</v>
          </cell>
          <cell r="AJ165">
            <v>-10692.498000000001</v>
          </cell>
          <cell r="AL165">
            <v>-16160.913999999997</v>
          </cell>
          <cell r="AN165">
            <v>16160.611000000001</v>
          </cell>
          <cell r="AP165">
            <v>-10692.800999999998</v>
          </cell>
          <cell r="AR165">
            <v>-1092.8623484162895</v>
          </cell>
          <cell r="AT165">
            <v>-123229.86541921415</v>
          </cell>
          <cell r="AV165">
            <v>84296.032809954748</v>
          </cell>
          <cell r="AX165">
            <v>-38933.832609259363</v>
          </cell>
          <cell r="BC165">
            <v>2131.7808700000096</v>
          </cell>
          <cell r="BE165">
            <v>-67407.641000000003</v>
          </cell>
          <cell r="BG165">
            <v>15719.503536415281</v>
          </cell>
          <cell r="BI165">
            <v>-49556.356593584715</v>
          </cell>
          <cell r="BM165">
            <v>-410.67849999999964</v>
          </cell>
          <cell r="BO165">
            <v>-13718.275</v>
          </cell>
          <cell r="BQ165">
            <v>-198518.92199999999</v>
          </cell>
          <cell r="BS165">
            <v>0</v>
          </cell>
          <cell r="BU165">
            <v>-198518.92199999999</v>
          </cell>
          <cell r="BW165">
            <v>-10031</v>
          </cell>
          <cell r="BX165">
            <v>10031</v>
          </cell>
          <cell r="BZ165">
            <v>-763.11900000000117</v>
          </cell>
          <cell r="CB165">
            <v>768</v>
          </cell>
          <cell r="CD165">
            <v>-198514.041</v>
          </cell>
          <cell r="CF165">
            <v>-3804.0819999999999</v>
          </cell>
          <cell r="CH165">
            <v>-1948.2059999999983</v>
          </cell>
          <cell r="CJ165">
            <v>-5752.2879999999986</v>
          </cell>
          <cell r="CL165">
            <v>-10176.1</v>
          </cell>
          <cell r="CN165">
            <v>10176.205999999998</v>
          </cell>
          <cell r="CP165">
            <v>-5752.1819999999962</v>
          </cell>
          <cell r="CR165">
            <v>9326.08</v>
          </cell>
          <cell r="CT165">
            <v>-258625.63509358469</v>
          </cell>
          <cell r="CU165">
            <v>0.18199999997159466</v>
          </cell>
          <cell r="CV165">
            <v>209073.55750000002</v>
          </cell>
          <cell r="CX165">
            <v>-49552.077593584647</v>
          </cell>
          <cell r="FC165">
            <v>-94770.263999999996</v>
          </cell>
          <cell r="FD165">
            <v>-67407.860472</v>
          </cell>
          <cell r="FE165">
            <v>22435.880226255285</v>
          </cell>
          <cell r="FF165">
            <v>-139742.24424574472</v>
          </cell>
          <cell r="FG165">
            <v>-403.24500000000057</v>
          </cell>
          <cell r="FH165">
            <v>-14234.5</v>
          </cell>
          <cell r="FI165">
            <v>-271374.3839999999</v>
          </cell>
          <cell r="FJ165">
            <v>15790.5</v>
          </cell>
          <cell r="FK165">
            <v>-15790.5</v>
          </cell>
          <cell r="FL165">
            <v>-1404.8139999999994</v>
          </cell>
          <cell r="FM165">
            <v>1405</v>
          </cell>
          <cell r="FN165">
            <v>-271374.19800000003</v>
          </cell>
          <cell r="FO165">
            <v>-45166.300219000004</v>
          </cell>
          <cell r="FP165">
            <v>-68192.262000000002</v>
          </cell>
          <cell r="FQ165">
            <v>68191.595218999995</v>
          </cell>
          <cell r="FR165">
            <v>-45166.967000000011</v>
          </cell>
          <cell r="FS165">
            <v>2210.9990000000003</v>
          </cell>
          <cell r="FT165">
            <v>-468710.15524574462</v>
          </cell>
          <cell r="FU165">
            <v>328968.59450000001</v>
          </cell>
          <cell r="FV165">
            <v>-139741.56074574462</v>
          </cell>
          <cell r="FX165">
            <v>-271374.19800000003</v>
          </cell>
          <cell r="FY165">
            <v>-45166.967000000011</v>
          </cell>
          <cell r="FZ165">
            <v>-0.43684500000381377</v>
          </cell>
          <cell r="GA165">
            <v>-316541.60184499994</v>
          </cell>
          <cell r="GB165">
            <v>-320786.26674045593</v>
          </cell>
          <cell r="GC165">
            <v>-139741.56074574465</v>
          </cell>
          <cell r="GD165">
            <v>-141615.4253306094</v>
          </cell>
          <cell r="GE165">
            <v>130922.12799925532</v>
          </cell>
          <cell r="GF165">
            <v>3.5892063889058496</v>
          </cell>
          <cell r="GG165">
            <v>-99034.99703962791</v>
          </cell>
          <cell r="GH165">
            <v>0</v>
          </cell>
        </row>
        <row r="166">
          <cell r="A166" t="str">
            <v>MINORITY INTERESTS</v>
          </cell>
          <cell r="AT166">
            <v>0</v>
          </cell>
          <cell r="AZ166" t="str">
            <v>MINORITY INTERESTS</v>
          </cell>
          <cell r="BX166">
            <v>0</v>
          </cell>
          <cell r="CD166">
            <v>0</v>
          </cell>
          <cell r="CT166">
            <v>0</v>
          </cell>
          <cell r="CU166">
            <v>0</v>
          </cell>
          <cell r="FN166">
            <v>0</v>
          </cell>
          <cell r="FS166">
            <v>0</v>
          </cell>
          <cell r="FW166" t="str">
            <v>MINORITY INTERESTS</v>
          </cell>
          <cell r="FX166">
            <v>0</v>
          </cell>
          <cell r="FY166">
            <v>0</v>
          </cell>
          <cell r="GA166">
            <v>0</v>
          </cell>
          <cell r="GB166">
            <v>0</v>
          </cell>
          <cell r="GC166">
            <v>0</v>
          </cell>
          <cell r="GD166">
            <v>0</v>
          </cell>
          <cell r="GE166">
            <v>0</v>
          </cell>
          <cell r="GF166" t="e">
            <v>#DIV/0!</v>
          </cell>
          <cell r="GH166">
            <v>0</v>
          </cell>
          <cell r="GT166" t="str">
            <v xml:space="preserve">דוח דולר  </v>
          </cell>
          <cell r="HJ166" t="str">
            <v>{edit}{home}({end})*1000{D}</v>
          </cell>
        </row>
        <row r="167">
          <cell r="A167" t="str">
            <v>G.C.&amp; CO.</v>
          </cell>
          <cell r="B167">
            <v>0.3</v>
          </cell>
          <cell r="I167">
            <v>0</v>
          </cell>
          <cell r="U167">
            <v>0</v>
          </cell>
          <cell r="AD167">
            <v>0</v>
          </cell>
          <cell r="AJ167">
            <v>0</v>
          </cell>
          <cell r="AP167">
            <v>0</v>
          </cell>
          <cell r="AT167">
            <v>0</v>
          </cell>
          <cell r="AV167">
            <v>2614.2529999999997</v>
          </cell>
          <cell r="AX167">
            <v>2614.2529999999997</v>
          </cell>
          <cell r="AZ167" t="str">
            <v>G.C.&amp; CO.</v>
          </cell>
          <cell r="BA167">
            <v>0.3</v>
          </cell>
          <cell r="BI167">
            <v>0</v>
          </cell>
          <cell r="BU167">
            <v>0</v>
          </cell>
          <cell r="BX167">
            <v>0</v>
          </cell>
          <cell r="CD167">
            <v>0</v>
          </cell>
          <cell r="CJ167">
            <v>0</v>
          </cell>
          <cell r="CP167">
            <v>0</v>
          </cell>
          <cell r="CT167">
            <v>0</v>
          </cell>
          <cell r="CU167">
            <v>0</v>
          </cell>
          <cell r="CV167">
            <v>-299.11399999999776</v>
          </cell>
          <cell r="CX167">
            <v>-299.11399999999776</v>
          </cell>
          <cell r="FN167">
            <v>0</v>
          </cell>
          <cell r="FO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848.51299999999901</v>
          </cell>
          <cell r="FV167">
            <v>848.51299999999901</v>
          </cell>
          <cell r="FW167" t="str">
            <v>G.C.&amp; CO.</v>
          </cell>
          <cell r="FX167">
            <v>0</v>
          </cell>
          <cell r="FY167">
            <v>0</v>
          </cell>
          <cell r="GA167">
            <v>0</v>
          </cell>
          <cell r="GB167">
            <v>0</v>
          </cell>
          <cell r="GC167">
            <v>848.51299999999901</v>
          </cell>
          <cell r="GD167">
            <v>859.89113583884443</v>
          </cell>
          <cell r="GE167">
            <v>848.51299999999901</v>
          </cell>
          <cell r="GF167">
            <v>0.32457187579013935</v>
          </cell>
          <cell r="GG167">
            <v>7518.2845652531132</v>
          </cell>
          <cell r="GH167">
            <v>0</v>
          </cell>
        </row>
        <row r="168">
          <cell r="A168" t="str">
            <v>accum.profit</v>
          </cell>
          <cell r="I168">
            <v>0</v>
          </cell>
          <cell r="U168">
            <v>0</v>
          </cell>
          <cell r="AD168">
            <v>0</v>
          </cell>
          <cell r="AJ168">
            <v>0</v>
          </cell>
          <cell r="AP168">
            <v>0</v>
          </cell>
          <cell r="AT168">
            <v>0</v>
          </cell>
          <cell r="AV168">
            <v>-14500.133999999998</v>
          </cell>
          <cell r="AX168">
            <v>-14500.133999999998</v>
          </cell>
          <cell r="AZ168" t="str">
            <v>accum.profit</v>
          </cell>
          <cell r="BI168">
            <v>0</v>
          </cell>
          <cell r="BU168">
            <v>0</v>
          </cell>
          <cell r="BX168">
            <v>0</v>
          </cell>
          <cell r="CD168">
            <v>0</v>
          </cell>
          <cell r="CJ168">
            <v>0</v>
          </cell>
          <cell r="CP168">
            <v>0</v>
          </cell>
          <cell r="CT168">
            <v>0</v>
          </cell>
          <cell r="CU168">
            <v>0</v>
          </cell>
          <cell r="CV168">
            <v>-42798.372000000003</v>
          </cell>
          <cell r="CX168">
            <v>-42798.372000000003</v>
          </cell>
          <cell r="FN168">
            <v>0</v>
          </cell>
          <cell r="FO168">
            <v>0</v>
          </cell>
          <cell r="FR168">
            <v>0</v>
          </cell>
          <cell r="FS168">
            <v>0</v>
          </cell>
          <cell r="FT168">
            <v>0</v>
          </cell>
          <cell r="FU168">
            <v>-58934.150097975158</v>
          </cell>
          <cell r="FV168">
            <v>-58934.150097975158</v>
          </cell>
          <cell r="FW168" t="str">
            <v>accum.profit</v>
          </cell>
          <cell r="FX168">
            <v>0</v>
          </cell>
          <cell r="FY168">
            <v>0</v>
          </cell>
          <cell r="GA168">
            <v>0</v>
          </cell>
          <cell r="GB168">
            <v>0</v>
          </cell>
          <cell r="GC168">
            <v>-58934.150097975158</v>
          </cell>
          <cell r="GD168">
            <v>-59724.427636871631</v>
          </cell>
          <cell r="GE168">
            <v>-58934.150097975158</v>
          </cell>
          <cell r="GF168">
            <v>4.0643865841498545</v>
          </cell>
          <cell r="GG168">
            <v>-36481.900686982939</v>
          </cell>
          <cell r="GH168">
            <v>0</v>
          </cell>
        </row>
        <row r="169">
          <cell r="A169" t="str">
            <v>per.results'</v>
          </cell>
          <cell r="I169">
            <v>0</v>
          </cell>
          <cell r="U169">
            <v>0</v>
          </cell>
          <cell r="AD169">
            <v>0</v>
          </cell>
          <cell r="AJ169">
            <v>0</v>
          </cell>
          <cell r="AP169">
            <v>0</v>
          </cell>
          <cell r="AT169">
            <v>0</v>
          </cell>
          <cell r="AV169">
            <v>-7746</v>
          </cell>
          <cell r="AX169">
            <v>-7746</v>
          </cell>
          <cell r="AZ169" t="str">
            <v>per.results'</v>
          </cell>
          <cell r="BI169">
            <v>0</v>
          </cell>
          <cell r="BU169">
            <v>0</v>
          </cell>
          <cell r="BX169">
            <v>0</v>
          </cell>
          <cell r="CD169">
            <v>0</v>
          </cell>
          <cell r="CJ169">
            <v>0</v>
          </cell>
          <cell r="CP169">
            <v>0</v>
          </cell>
          <cell r="CT169">
            <v>0</v>
          </cell>
          <cell r="CU169">
            <v>0</v>
          </cell>
          <cell r="CV169">
            <v>-13039</v>
          </cell>
          <cell r="CX169">
            <v>-13039</v>
          </cell>
          <cell r="FN169">
            <v>0</v>
          </cell>
          <cell r="FO169">
            <v>0</v>
          </cell>
          <cell r="FR169">
            <v>0</v>
          </cell>
          <cell r="FS169">
            <v>0</v>
          </cell>
          <cell r="FT169">
            <v>0</v>
          </cell>
          <cell r="FU169">
            <v>-19376.33429999998</v>
          </cell>
          <cell r="FV169">
            <v>-19376.33429999998</v>
          </cell>
          <cell r="FW169" t="str">
            <v>per.results'</v>
          </cell>
          <cell r="FX169">
            <v>0</v>
          </cell>
          <cell r="FY169">
            <v>0</v>
          </cell>
          <cell r="GA169">
            <v>0</v>
          </cell>
          <cell r="GB169">
            <v>0</v>
          </cell>
          <cell r="GC169">
            <v>-19376.33429999998</v>
          </cell>
          <cell r="GD169">
            <v>-19636.161272272981</v>
          </cell>
          <cell r="GE169">
            <v>-19376.33429999998</v>
          </cell>
          <cell r="GF169">
            <v>2.5014632455460859</v>
          </cell>
          <cell r="GG169">
            <v>-22461.670949802468</v>
          </cell>
          <cell r="GH169">
            <v>0</v>
          </cell>
        </row>
        <row r="170">
          <cell r="A170" t="str">
            <v>s. IEDIOT accum.profit</v>
          </cell>
          <cell r="AT170">
            <v>0</v>
          </cell>
          <cell r="AV170">
            <v>-735</v>
          </cell>
          <cell r="AX170">
            <v>-735</v>
          </cell>
          <cell r="AZ170" t="str">
            <v>s. IEDIOT accum.profit</v>
          </cell>
          <cell r="BI170">
            <v>0</v>
          </cell>
          <cell r="BU170">
            <v>0</v>
          </cell>
          <cell r="BX170">
            <v>0</v>
          </cell>
          <cell r="CD170">
            <v>0</v>
          </cell>
          <cell r="CJ170">
            <v>0</v>
          </cell>
          <cell r="CP170">
            <v>0</v>
          </cell>
          <cell r="CT170">
            <v>0</v>
          </cell>
          <cell r="CU170">
            <v>0</v>
          </cell>
          <cell r="CV170">
            <v>-2458.9899999999998</v>
          </cell>
          <cell r="CX170">
            <v>-2458.9899999999998</v>
          </cell>
          <cell r="FN170">
            <v>0</v>
          </cell>
          <cell r="FO170">
            <v>0</v>
          </cell>
          <cell r="FR170">
            <v>0</v>
          </cell>
          <cell r="FS170">
            <v>0</v>
          </cell>
          <cell r="FT170">
            <v>0</v>
          </cell>
          <cell r="FU170">
            <v>-2791.5806662312216</v>
          </cell>
          <cell r="FV170">
            <v>-2791.5806662312216</v>
          </cell>
          <cell r="FW170" t="str">
            <v>s. IEDIOT accum.profit</v>
          </cell>
          <cell r="FX170">
            <v>0</v>
          </cell>
          <cell r="FY170">
            <v>0</v>
          </cell>
          <cell r="GA170">
            <v>0</v>
          </cell>
          <cell r="GB170">
            <v>0</v>
          </cell>
          <cell r="GC170">
            <v>-2791.5806662312216</v>
          </cell>
          <cell r="GD170">
            <v>-2829.0143696930108</v>
          </cell>
          <cell r="GE170">
            <v>-2791.5806662312216</v>
          </cell>
          <cell r="GF170">
            <v>3.7980689336479205</v>
          </cell>
          <cell r="GG170">
            <v>-1851.2641509433965</v>
          </cell>
          <cell r="GH170">
            <v>0</v>
          </cell>
        </row>
        <row r="171">
          <cell r="A171" t="str">
            <v>s. IEDIOT per.results'</v>
          </cell>
          <cell r="AT171">
            <v>0</v>
          </cell>
          <cell r="AV171">
            <v>-245</v>
          </cell>
          <cell r="AX171">
            <v>-245</v>
          </cell>
          <cell r="AZ171" t="str">
            <v>s. IEDIOT per.results'</v>
          </cell>
          <cell r="BI171">
            <v>0</v>
          </cell>
          <cell r="BU171">
            <v>0</v>
          </cell>
          <cell r="BX171">
            <v>0</v>
          </cell>
          <cell r="CD171">
            <v>0</v>
          </cell>
          <cell r="CJ171">
            <v>0</v>
          </cell>
          <cell r="CP171">
            <v>0</v>
          </cell>
          <cell r="CT171">
            <v>0</v>
          </cell>
          <cell r="CU171">
            <v>0</v>
          </cell>
          <cell r="CV171">
            <v>-1019.2</v>
          </cell>
          <cell r="CX171">
            <v>-1019.2</v>
          </cell>
          <cell r="FN171">
            <v>0</v>
          </cell>
          <cell r="FO171">
            <v>0</v>
          </cell>
          <cell r="FR171">
            <v>0</v>
          </cell>
          <cell r="FS171">
            <v>0</v>
          </cell>
          <cell r="FT171">
            <v>0</v>
          </cell>
          <cell r="FU171">
            <v>-1019.2</v>
          </cell>
          <cell r="FV171">
            <v>-1019.2</v>
          </cell>
          <cell r="FW171" t="str">
            <v>s. IEDIOT per.results'</v>
          </cell>
          <cell r="FX171">
            <v>0</v>
          </cell>
          <cell r="FY171">
            <v>0</v>
          </cell>
          <cell r="GA171">
            <v>0</v>
          </cell>
          <cell r="GB171">
            <v>0</v>
          </cell>
          <cell r="GC171">
            <v>-1019.2</v>
          </cell>
          <cell r="GD171">
            <v>-1032.8669633193024</v>
          </cell>
          <cell r="GE171">
            <v>-1019.2</v>
          </cell>
          <cell r="GF171">
            <v>4.16</v>
          </cell>
          <cell r="GG171">
            <v>-940.66492488569577</v>
          </cell>
          <cell r="GH171">
            <v>0</v>
          </cell>
        </row>
        <row r="172">
          <cell r="B172" t="str">
            <v xml:space="preserve">total </v>
          </cell>
          <cell r="C172">
            <v>0</v>
          </cell>
          <cell r="E172">
            <v>0</v>
          </cell>
          <cell r="G172">
            <v>0</v>
          </cell>
          <cell r="I172">
            <v>0</v>
          </cell>
          <cell r="O172">
            <v>0</v>
          </cell>
          <cell r="Q172">
            <v>0</v>
          </cell>
          <cell r="S172">
            <v>0</v>
          </cell>
          <cell r="U172">
            <v>0</v>
          </cell>
          <cell r="Z172">
            <v>0</v>
          </cell>
          <cell r="AB172">
            <v>0</v>
          </cell>
          <cell r="AD172">
            <v>0</v>
          </cell>
          <cell r="AF172">
            <v>0</v>
          </cell>
          <cell r="AH172">
            <v>0</v>
          </cell>
          <cell r="AJ172">
            <v>0</v>
          </cell>
          <cell r="AL172">
            <v>0</v>
          </cell>
          <cell r="AN172">
            <v>0</v>
          </cell>
          <cell r="AP172">
            <v>0</v>
          </cell>
          <cell r="AR172">
            <v>0</v>
          </cell>
          <cell r="AT172">
            <v>0</v>
          </cell>
          <cell r="AV172">
            <v>-20611.880999999998</v>
          </cell>
          <cell r="AX172">
            <v>-20611.880999999998</v>
          </cell>
          <cell r="BA172" t="str">
            <v xml:space="preserve">total </v>
          </cell>
          <cell r="BC172">
            <v>0</v>
          </cell>
          <cell r="BE172">
            <v>0</v>
          </cell>
          <cell r="BG172">
            <v>0</v>
          </cell>
          <cell r="BI172">
            <v>0</v>
          </cell>
          <cell r="BO172">
            <v>0</v>
          </cell>
          <cell r="BQ172">
            <v>0</v>
          </cell>
          <cell r="BS172">
            <v>0</v>
          </cell>
          <cell r="BU172">
            <v>0</v>
          </cell>
          <cell r="BW172">
            <v>0</v>
          </cell>
          <cell r="BX172">
            <v>0</v>
          </cell>
          <cell r="BZ172">
            <v>0</v>
          </cell>
          <cell r="CB172">
            <v>0</v>
          </cell>
          <cell r="CD172">
            <v>0</v>
          </cell>
          <cell r="CF172">
            <v>0</v>
          </cell>
          <cell r="CH172">
            <v>0</v>
          </cell>
          <cell r="CJ172">
            <v>0</v>
          </cell>
          <cell r="CL172">
            <v>0</v>
          </cell>
          <cell r="CN172">
            <v>0</v>
          </cell>
          <cell r="CP172">
            <v>0</v>
          </cell>
          <cell r="CR172">
            <v>0</v>
          </cell>
          <cell r="CT172">
            <v>0</v>
          </cell>
          <cell r="CU172">
            <v>0</v>
          </cell>
          <cell r="CV172">
            <v>-59614.675999999999</v>
          </cell>
          <cell r="CX172">
            <v>-59614.675999999999</v>
          </cell>
          <cell r="FD172">
            <v>0</v>
          </cell>
          <cell r="FE172">
            <v>0</v>
          </cell>
          <cell r="FI172">
            <v>0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  <cell r="FR172">
            <v>0</v>
          </cell>
          <cell r="FS172">
            <v>0</v>
          </cell>
          <cell r="FT172">
            <v>0</v>
          </cell>
          <cell r="FU172">
            <v>-81272.752064206361</v>
          </cell>
          <cell r="FV172">
            <v>-81272.752064206361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GC172">
            <v>-81272.752064206361</v>
          </cell>
          <cell r="GD172">
            <v>-82362.579106318095</v>
          </cell>
          <cell r="GE172">
            <v>-81272.752064206361</v>
          </cell>
          <cell r="GF172">
            <v>3.9430051077922665</v>
          </cell>
          <cell r="GG172">
            <v>-54217.216147361389</v>
          </cell>
          <cell r="GH172">
            <v>0</v>
          </cell>
        </row>
        <row r="173">
          <cell r="A173" t="str">
            <v>MERCAZ</v>
          </cell>
          <cell r="B173">
            <v>0.3</v>
          </cell>
          <cell r="AD173">
            <v>0</v>
          </cell>
          <cell r="AJ173">
            <v>0</v>
          </cell>
          <cell r="AP173">
            <v>0</v>
          </cell>
          <cell r="AT173">
            <v>0</v>
          </cell>
          <cell r="AV173">
            <v>0</v>
          </cell>
          <cell r="AX173">
            <v>0</v>
          </cell>
          <cell r="AZ173" t="str">
            <v>MERCAZ</v>
          </cell>
          <cell r="BA173">
            <v>0.3</v>
          </cell>
          <cell r="BX173">
            <v>0</v>
          </cell>
          <cell r="CD173">
            <v>0</v>
          </cell>
          <cell r="CJ173">
            <v>0</v>
          </cell>
          <cell r="CP173">
            <v>0</v>
          </cell>
          <cell r="CT173">
            <v>0</v>
          </cell>
          <cell r="CU173">
            <v>0</v>
          </cell>
          <cell r="CV173">
            <v>-0.6</v>
          </cell>
          <cell r="CX173">
            <v>-0.6</v>
          </cell>
          <cell r="FO173">
            <v>0</v>
          </cell>
          <cell r="FR173">
            <v>0</v>
          </cell>
          <cell r="FS173">
            <v>0</v>
          </cell>
          <cell r="FT173">
            <v>0</v>
          </cell>
          <cell r="FU173">
            <v>-280.21920000000006</v>
          </cell>
          <cell r="FV173">
            <v>-280.21920000000006</v>
          </cell>
          <cell r="FW173" t="str">
            <v>MERCAZ</v>
          </cell>
          <cell r="FX173">
            <v>0</v>
          </cell>
          <cell r="FY173">
            <v>0</v>
          </cell>
          <cell r="GA173">
            <v>0</v>
          </cell>
          <cell r="GB173">
            <v>0</v>
          </cell>
          <cell r="GC173">
            <v>-280.21920000000006</v>
          </cell>
          <cell r="GD173">
            <v>-283.97679961515337</v>
          </cell>
          <cell r="GE173">
            <v>-280.21920000000006</v>
          </cell>
          <cell r="GF173" t="e">
            <v>#DIV/0!</v>
          </cell>
          <cell r="GG173">
            <v>-280.21888503528623</v>
          </cell>
          <cell r="GH173">
            <v>0</v>
          </cell>
        </row>
        <row r="174">
          <cell r="A174" t="str">
            <v>accum.loss</v>
          </cell>
          <cell r="AD174">
            <v>0</v>
          </cell>
          <cell r="AJ174">
            <v>0</v>
          </cell>
          <cell r="AP174">
            <v>0</v>
          </cell>
          <cell r="AT174">
            <v>0</v>
          </cell>
          <cell r="AV174">
            <v>106.13865158371038</v>
          </cell>
          <cell r="AX174">
            <v>106.13865158371038</v>
          </cell>
          <cell r="AZ174" t="str">
            <v>accum.loss</v>
          </cell>
          <cell r="BX174">
            <v>0</v>
          </cell>
          <cell r="CD174">
            <v>0</v>
          </cell>
          <cell r="CJ174">
            <v>0</v>
          </cell>
          <cell r="CP174">
            <v>0</v>
          </cell>
          <cell r="CT174">
            <v>0</v>
          </cell>
          <cell r="CU174">
            <v>0</v>
          </cell>
          <cell r="CV174">
            <v>854.09899999999971</v>
          </cell>
          <cell r="CX174">
            <v>854.09899999999971</v>
          </cell>
          <cell r="FN174">
            <v>0</v>
          </cell>
          <cell r="FO174">
            <v>0</v>
          </cell>
          <cell r="FR174">
            <v>0</v>
          </cell>
          <cell r="FS174">
            <v>0</v>
          </cell>
          <cell r="FT174">
            <v>0</v>
          </cell>
          <cell r="FU174">
            <v>901.14064598301775</v>
          </cell>
          <cell r="FV174">
            <v>901.14064598301775</v>
          </cell>
          <cell r="FW174" t="str">
            <v>accum.loss</v>
          </cell>
          <cell r="FX174">
            <v>0</v>
          </cell>
          <cell r="FY174">
            <v>0</v>
          </cell>
          <cell r="GA174">
            <v>0</v>
          </cell>
          <cell r="GB174">
            <v>0</v>
          </cell>
          <cell r="GC174">
            <v>901.14064598301775</v>
          </cell>
          <cell r="GD174">
            <v>913.22449228814173</v>
          </cell>
          <cell r="GE174">
            <v>901.14064598301775</v>
          </cell>
          <cell r="GF174">
            <v>8.4902213523251522</v>
          </cell>
          <cell r="GG174">
            <v>225.33900013769136</v>
          </cell>
          <cell r="GH174">
            <v>0</v>
          </cell>
        </row>
        <row r="175">
          <cell r="A175" t="str">
            <v>per.results'</v>
          </cell>
          <cell r="AD175">
            <v>0</v>
          </cell>
          <cell r="AJ175">
            <v>0</v>
          </cell>
          <cell r="AP175">
            <v>0</v>
          </cell>
          <cell r="AT175">
            <v>0</v>
          </cell>
          <cell r="AV175">
            <v>-434</v>
          </cell>
          <cell r="AX175">
            <v>-434</v>
          </cell>
          <cell r="AZ175" t="str">
            <v>per.results'</v>
          </cell>
          <cell r="BX175">
            <v>0</v>
          </cell>
          <cell r="CD175">
            <v>0</v>
          </cell>
          <cell r="CJ175">
            <v>0</v>
          </cell>
          <cell r="CP175">
            <v>0</v>
          </cell>
          <cell r="CT175">
            <v>0</v>
          </cell>
          <cell r="CU175">
            <v>0</v>
          </cell>
          <cell r="CV175">
            <v>1944.7980000000002</v>
          </cell>
          <cell r="CX175">
            <v>1944.7980000000002</v>
          </cell>
          <cell r="FN175">
            <v>0</v>
          </cell>
          <cell r="FO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42.30119999999998</v>
          </cell>
          <cell r="FV175">
            <v>42.30119999999998</v>
          </cell>
          <cell r="FW175" t="str">
            <v>per.results'</v>
          </cell>
          <cell r="FX175">
            <v>0</v>
          </cell>
          <cell r="FY175">
            <v>0</v>
          </cell>
          <cell r="GA175">
            <v>0</v>
          </cell>
          <cell r="GB175">
            <v>0</v>
          </cell>
          <cell r="GC175">
            <v>42.30119999999998</v>
          </cell>
          <cell r="GD175">
            <v>42.868437979554997</v>
          </cell>
          <cell r="GE175">
            <v>42.30119999999998</v>
          </cell>
          <cell r="GF175">
            <v>-9.7468202764976919E-2</v>
          </cell>
          <cell r="GG175">
            <v>676.67915349444809</v>
          </cell>
          <cell r="GH175">
            <v>0</v>
          </cell>
        </row>
        <row r="176">
          <cell r="B176" t="str">
            <v xml:space="preserve">total </v>
          </cell>
          <cell r="C176">
            <v>0</v>
          </cell>
          <cell r="E176">
            <v>0</v>
          </cell>
          <cell r="G176">
            <v>0</v>
          </cell>
          <cell r="I176">
            <v>0</v>
          </cell>
          <cell r="Q176">
            <v>0</v>
          </cell>
          <cell r="S176">
            <v>0</v>
          </cell>
          <cell r="U176">
            <v>0</v>
          </cell>
          <cell r="Z176">
            <v>0</v>
          </cell>
          <cell r="AB176">
            <v>0</v>
          </cell>
          <cell r="AD176">
            <v>0</v>
          </cell>
          <cell r="AF176">
            <v>0</v>
          </cell>
          <cell r="AH176">
            <v>0</v>
          </cell>
          <cell r="AJ176">
            <v>0</v>
          </cell>
          <cell r="AL176">
            <v>0</v>
          </cell>
          <cell r="AN176">
            <v>0</v>
          </cell>
          <cell r="AP176">
            <v>0</v>
          </cell>
          <cell r="AR176">
            <v>0</v>
          </cell>
          <cell r="AT176">
            <v>0</v>
          </cell>
          <cell r="AV176">
            <v>-327.86134841628962</v>
          </cell>
          <cell r="AX176">
            <v>-327.86134841628962</v>
          </cell>
          <cell r="BA176" t="str">
            <v xml:space="preserve">total </v>
          </cell>
          <cell r="BC176">
            <v>0</v>
          </cell>
          <cell r="BE176">
            <v>0</v>
          </cell>
          <cell r="BG176">
            <v>0</v>
          </cell>
          <cell r="BI176">
            <v>0</v>
          </cell>
          <cell r="BQ176">
            <v>0</v>
          </cell>
          <cell r="BS176">
            <v>0</v>
          </cell>
          <cell r="BU176">
            <v>0</v>
          </cell>
          <cell r="BX176">
            <v>0</v>
          </cell>
          <cell r="BZ176">
            <v>0</v>
          </cell>
          <cell r="CB176">
            <v>0</v>
          </cell>
          <cell r="CD176">
            <v>0</v>
          </cell>
          <cell r="CF176">
            <v>0</v>
          </cell>
          <cell r="CH176">
            <v>0</v>
          </cell>
          <cell r="CJ176">
            <v>0</v>
          </cell>
          <cell r="CL176">
            <v>0</v>
          </cell>
          <cell r="CN176">
            <v>0</v>
          </cell>
          <cell r="CP176">
            <v>0</v>
          </cell>
          <cell r="CR176">
            <v>0</v>
          </cell>
          <cell r="CT176">
            <v>0</v>
          </cell>
          <cell r="CU176">
            <v>0</v>
          </cell>
          <cell r="CV176">
            <v>2798.297</v>
          </cell>
          <cell r="CX176">
            <v>2798.297</v>
          </cell>
          <cell r="FD176">
            <v>0</v>
          </cell>
          <cell r="FE176">
            <v>0</v>
          </cell>
          <cell r="FI176">
            <v>0</v>
          </cell>
          <cell r="FM176">
            <v>0</v>
          </cell>
          <cell r="FN176">
            <v>0</v>
          </cell>
          <cell r="FO176">
            <v>0</v>
          </cell>
          <cell r="FP176">
            <v>0</v>
          </cell>
          <cell r="FQ176">
            <v>0</v>
          </cell>
          <cell r="FR176">
            <v>0</v>
          </cell>
          <cell r="FS176">
            <v>0</v>
          </cell>
          <cell r="FT176">
            <v>0</v>
          </cell>
          <cell r="FU176">
            <v>663.22264598301774</v>
          </cell>
          <cell r="FV176">
            <v>663.22264598301774</v>
          </cell>
          <cell r="FX176">
            <v>0</v>
          </cell>
          <cell r="FY176">
            <v>0</v>
          </cell>
          <cell r="FZ176">
            <v>0</v>
          </cell>
          <cell r="GA176">
            <v>0</v>
          </cell>
          <cell r="GB176">
            <v>0</v>
          </cell>
          <cell r="GC176">
            <v>663.22264598301774</v>
          </cell>
          <cell r="GD176">
            <v>672.11613065254335</v>
          </cell>
          <cell r="GE176">
            <v>663.22264598301774</v>
          </cell>
          <cell r="GF176">
            <v>-2.0228753684649514</v>
          </cell>
          <cell r="GG176">
            <v>621.79926859685338</v>
          </cell>
          <cell r="GH176">
            <v>0</v>
          </cell>
        </row>
        <row r="177">
          <cell r="A177" t="str">
            <v>S.S.C.</v>
          </cell>
          <cell r="B177">
            <v>0.3</v>
          </cell>
          <cell r="AD177">
            <v>0</v>
          </cell>
          <cell r="AJ177">
            <v>0</v>
          </cell>
          <cell r="AP177">
            <v>0</v>
          </cell>
          <cell r="AT177">
            <v>0</v>
          </cell>
          <cell r="AV177">
            <v>1478</v>
          </cell>
          <cell r="AX177">
            <v>1478</v>
          </cell>
          <cell r="AZ177" t="str">
            <v>S.S.C.</v>
          </cell>
          <cell r="BA177">
            <v>0.3</v>
          </cell>
          <cell r="BX177">
            <v>0</v>
          </cell>
          <cell r="CD177">
            <v>0</v>
          </cell>
          <cell r="CJ177">
            <v>0</v>
          </cell>
          <cell r="CP177">
            <v>0</v>
          </cell>
          <cell r="CT177">
            <v>0</v>
          </cell>
          <cell r="CU177">
            <v>0</v>
          </cell>
          <cell r="CV177">
            <v>6171.54</v>
          </cell>
          <cell r="CX177">
            <v>6171.54</v>
          </cell>
          <cell r="FO177">
            <v>0</v>
          </cell>
          <cell r="FR177">
            <v>0</v>
          </cell>
          <cell r="FS177">
            <v>0</v>
          </cell>
          <cell r="FT177">
            <v>0</v>
          </cell>
          <cell r="FU177">
            <v>6171.5313000000015</v>
          </cell>
          <cell r="FV177">
            <v>6171.5313000000015</v>
          </cell>
          <cell r="FW177" t="str">
            <v>S.S.C.</v>
          </cell>
          <cell r="FX177">
            <v>0</v>
          </cell>
          <cell r="FY177">
            <v>0</v>
          </cell>
          <cell r="GA177">
            <v>0</v>
          </cell>
          <cell r="GB177">
            <v>0</v>
          </cell>
          <cell r="GC177">
            <v>6171.5313000000015</v>
          </cell>
          <cell r="GD177">
            <v>6254.2884545339766</v>
          </cell>
          <cell r="GE177">
            <v>6171.5313000000015</v>
          </cell>
          <cell r="GF177">
            <v>4.1755962787550756</v>
          </cell>
          <cell r="GG177">
            <v>2417.9216198563036</v>
          </cell>
          <cell r="GH177">
            <v>0</v>
          </cell>
        </row>
        <row r="178">
          <cell r="A178" t="str">
            <v>accum.loss</v>
          </cell>
          <cell r="AD178">
            <v>0</v>
          </cell>
          <cell r="AJ178">
            <v>0</v>
          </cell>
          <cell r="AN178">
            <v>0</v>
          </cell>
          <cell r="AP178">
            <v>0</v>
          </cell>
          <cell r="AT178">
            <v>0</v>
          </cell>
          <cell r="AV178">
            <v>-2514.8230000000003</v>
          </cell>
          <cell r="AX178">
            <v>-2514.8230000000003</v>
          </cell>
          <cell r="AZ178" t="str">
            <v>accum.loss</v>
          </cell>
          <cell r="BX178">
            <v>0</v>
          </cell>
          <cell r="CD178">
            <v>0</v>
          </cell>
          <cell r="CJ178">
            <v>0</v>
          </cell>
          <cell r="CP178">
            <v>0</v>
          </cell>
          <cell r="CT178">
            <v>0</v>
          </cell>
          <cell r="CU178">
            <v>0</v>
          </cell>
          <cell r="CV178">
            <v>-1211.5911000000003</v>
          </cell>
          <cell r="CX178">
            <v>-1211.5911000000003</v>
          </cell>
          <cell r="FN178">
            <v>0</v>
          </cell>
          <cell r="FO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-12442.186800000001</v>
          </cell>
          <cell r="FV178">
            <v>-12442.186800000001</v>
          </cell>
          <cell r="FW178" t="str">
            <v>accum.loss</v>
          </cell>
          <cell r="FX178">
            <v>0</v>
          </cell>
          <cell r="FY178">
            <v>0</v>
          </cell>
          <cell r="GA178">
            <v>0</v>
          </cell>
          <cell r="GB178">
            <v>0</v>
          </cell>
          <cell r="GC178">
            <v>-12442.186800000001</v>
          </cell>
          <cell r="GD178">
            <v>-12609.030315117257</v>
          </cell>
          <cell r="GE178">
            <v>-12442.186800000001</v>
          </cell>
          <cell r="GF178">
            <v>4.9475397672122448</v>
          </cell>
          <cell r="GG178">
            <v>-8884.0182037544473</v>
          </cell>
          <cell r="GH178">
            <v>0</v>
          </cell>
        </row>
        <row r="179">
          <cell r="A179" t="str">
            <v>per.results'</v>
          </cell>
          <cell r="AD179">
            <v>0</v>
          </cell>
          <cell r="AJ179">
            <v>0</v>
          </cell>
          <cell r="AP179">
            <v>0</v>
          </cell>
          <cell r="AT179">
            <v>0</v>
          </cell>
          <cell r="AV179">
            <v>-2171</v>
          </cell>
          <cell r="AX179">
            <v>-2171</v>
          </cell>
          <cell r="AZ179" t="str">
            <v>per.results'</v>
          </cell>
          <cell r="BX179">
            <v>0</v>
          </cell>
          <cell r="CD179">
            <v>0</v>
          </cell>
          <cell r="CJ179">
            <v>0</v>
          </cell>
          <cell r="CP179">
            <v>0</v>
          </cell>
          <cell r="CT179">
            <v>0</v>
          </cell>
          <cell r="CU179">
            <v>0</v>
          </cell>
          <cell r="CV179">
            <v>-6685.6035000000002</v>
          </cell>
          <cell r="CX179">
            <v>-6685.6035000000002</v>
          </cell>
          <cell r="FN179">
            <v>0</v>
          </cell>
          <cell r="FO179">
            <v>0</v>
          </cell>
          <cell r="FR179">
            <v>0</v>
          </cell>
          <cell r="FS179">
            <v>0</v>
          </cell>
          <cell r="FT179">
            <v>0</v>
          </cell>
          <cell r="FU179">
            <v>-7279.2345657000005</v>
          </cell>
          <cell r="FV179">
            <v>-7279.2345657000005</v>
          </cell>
          <cell r="FW179" t="str">
            <v>per.results'</v>
          </cell>
          <cell r="FX179">
            <v>0</v>
          </cell>
          <cell r="FY179">
            <v>0</v>
          </cell>
          <cell r="GA179">
            <v>0</v>
          </cell>
          <cell r="GB179">
            <v>0</v>
          </cell>
          <cell r="GC179">
            <v>-7279.2345657000005</v>
          </cell>
          <cell r="GD179">
            <v>-7376.8454681745106</v>
          </cell>
          <cell r="GE179">
            <v>-7279.2345657000005</v>
          </cell>
          <cell r="GF179">
            <v>3.3529408409488717</v>
          </cell>
          <cell r="GG179">
            <v>-5974.7429784454607</v>
          </cell>
          <cell r="GH179">
            <v>0</v>
          </cell>
        </row>
        <row r="180">
          <cell r="B180" t="str">
            <v xml:space="preserve">total </v>
          </cell>
          <cell r="C180">
            <v>0</v>
          </cell>
          <cell r="E180">
            <v>0</v>
          </cell>
          <cell r="G180">
            <v>0</v>
          </cell>
          <cell r="I180">
            <v>0</v>
          </cell>
          <cell r="Q180">
            <v>0</v>
          </cell>
          <cell r="S180">
            <v>0</v>
          </cell>
          <cell r="U180">
            <v>0</v>
          </cell>
          <cell r="Z180">
            <v>0</v>
          </cell>
          <cell r="AB180">
            <v>0</v>
          </cell>
          <cell r="AD180">
            <v>0</v>
          </cell>
          <cell r="AF180">
            <v>0</v>
          </cell>
          <cell r="AH180">
            <v>0</v>
          </cell>
          <cell r="AJ180">
            <v>0</v>
          </cell>
          <cell r="AL180">
            <v>0</v>
          </cell>
          <cell r="AN180">
            <v>0</v>
          </cell>
          <cell r="AP180">
            <v>0</v>
          </cell>
          <cell r="AR180">
            <v>0</v>
          </cell>
          <cell r="AT180">
            <v>0</v>
          </cell>
          <cell r="AV180">
            <v>-3207.8230000000003</v>
          </cell>
          <cell r="AX180">
            <v>-3207.8230000000003</v>
          </cell>
          <cell r="BA180" t="str">
            <v xml:space="preserve">total </v>
          </cell>
          <cell r="BC180">
            <v>0</v>
          </cell>
          <cell r="BE180">
            <v>0</v>
          </cell>
          <cell r="BG180">
            <v>0</v>
          </cell>
          <cell r="BI180">
            <v>0</v>
          </cell>
          <cell r="BQ180">
            <v>0</v>
          </cell>
          <cell r="BS180">
            <v>0</v>
          </cell>
          <cell r="BU180">
            <v>0</v>
          </cell>
          <cell r="BX180">
            <v>0</v>
          </cell>
          <cell r="BZ180">
            <v>0</v>
          </cell>
          <cell r="CB180">
            <v>0</v>
          </cell>
          <cell r="CD180">
            <v>0</v>
          </cell>
          <cell r="CF180">
            <v>0</v>
          </cell>
          <cell r="CH180">
            <v>0</v>
          </cell>
          <cell r="CJ180">
            <v>0</v>
          </cell>
          <cell r="CL180">
            <v>0</v>
          </cell>
          <cell r="CN180">
            <v>0</v>
          </cell>
          <cell r="CP180">
            <v>0</v>
          </cell>
          <cell r="CR180">
            <v>0</v>
          </cell>
          <cell r="CT180">
            <v>0</v>
          </cell>
          <cell r="CU180">
            <v>0</v>
          </cell>
          <cell r="CV180">
            <v>-1725.6545999999998</v>
          </cell>
          <cell r="CX180">
            <v>-1725.6545999999998</v>
          </cell>
          <cell r="FD180">
            <v>0</v>
          </cell>
          <cell r="FE180">
            <v>0</v>
          </cell>
          <cell r="FI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-13549.890065700001</v>
          </cell>
          <cell r="FV180">
            <v>-13549.890065700001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-13549.890065700001</v>
          </cell>
          <cell r="GD180">
            <v>-13731.587328757792</v>
          </cell>
          <cell r="GE180">
            <v>-13549.890065700001</v>
          </cell>
          <cell r="GF180">
            <v>4.2240142506927594</v>
          </cell>
          <cell r="GG180">
            <v>-12440.839562343603</v>
          </cell>
          <cell r="GH180">
            <v>0</v>
          </cell>
        </row>
        <row r="181">
          <cell r="A181" t="str">
            <v>EDOM</v>
          </cell>
          <cell r="B181">
            <v>0.3</v>
          </cell>
          <cell r="AB181">
            <v>-9.8000000000000004E-2</v>
          </cell>
          <cell r="AD181">
            <v>-9.8000000000000004E-2</v>
          </cell>
          <cell r="AT181">
            <v>-9.8000000000000004E-2</v>
          </cell>
          <cell r="AX181">
            <v>-9.8000000000000004E-2</v>
          </cell>
          <cell r="AZ181" t="str">
            <v>EDOM</v>
          </cell>
          <cell r="BA181">
            <v>0.3</v>
          </cell>
          <cell r="BX181">
            <v>0</v>
          </cell>
          <cell r="CB181">
            <v>-0.3</v>
          </cell>
          <cell r="CD181">
            <v>-0.3</v>
          </cell>
          <cell r="CT181">
            <v>-0.3</v>
          </cell>
          <cell r="CU181">
            <v>0</v>
          </cell>
          <cell r="CX181">
            <v>-0.3</v>
          </cell>
          <cell r="FM181">
            <v>0.7</v>
          </cell>
          <cell r="FN181">
            <v>0.7</v>
          </cell>
          <cell r="FS181">
            <v>0</v>
          </cell>
          <cell r="FT181">
            <v>0.7</v>
          </cell>
          <cell r="FV181">
            <v>0.7</v>
          </cell>
          <cell r="FW181" t="str">
            <v>EDOM</v>
          </cell>
          <cell r="FX181">
            <v>0.7</v>
          </cell>
          <cell r="FY181">
            <v>0</v>
          </cell>
          <cell r="GA181">
            <v>0.7</v>
          </cell>
          <cell r="GB181">
            <v>0.70938665063138895</v>
          </cell>
          <cell r="GC181">
            <v>0.7</v>
          </cell>
          <cell r="GD181">
            <v>0.70938665063138895</v>
          </cell>
          <cell r="GE181">
            <v>0</v>
          </cell>
          <cell r="GF181">
            <v>-7.1428571428571423</v>
          </cell>
          <cell r="GG181">
            <v>-0.34476564337034621</v>
          </cell>
          <cell r="GH181">
            <v>0</v>
          </cell>
        </row>
        <row r="182">
          <cell r="A182" t="str">
            <v>accum.profit</v>
          </cell>
          <cell r="AB182">
            <v>-51.3</v>
          </cell>
          <cell r="AD182">
            <v>-51.3</v>
          </cell>
          <cell r="AT182">
            <v>-51.3</v>
          </cell>
          <cell r="AX182">
            <v>-51.3</v>
          </cell>
          <cell r="AZ182" t="str">
            <v>accum.profit</v>
          </cell>
          <cell r="BX182">
            <v>0</v>
          </cell>
          <cell r="CB182">
            <v>-44.1</v>
          </cell>
          <cell r="CD182">
            <v>-44.1</v>
          </cell>
          <cell r="CT182">
            <v>-44.1</v>
          </cell>
          <cell r="CU182">
            <v>0</v>
          </cell>
          <cell r="CX182">
            <v>-44.1</v>
          </cell>
          <cell r="FM182">
            <v>-186.9</v>
          </cell>
          <cell r="FN182">
            <v>-186.9</v>
          </cell>
          <cell r="FR182">
            <v>0</v>
          </cell>
          <cell r="FS182">
            <v>0</v>
          </cell>
          <cell r="FT182">
            <v>-186.9</v>
          </cell>
          <cell r="FV182">
            <v>-186.9</v>
          </cell>
          <cell r="FW182" t="str">
            <v>accum.profit</v>
          </cell>
          <cell r="FX182">
            <v>-186.9</v>
          </cell>
          <cell r="FY182">
            <v>0</v>
          </cell>
          <cell r="GA182">
            <v>-186.9</v>
          </cell>
          <cell r="GB182">
            <v>-189.40623571858086</v>
          </cell>
          <cell r="GC182">
            <v>-186.9</v>
          </cell>
          <cell r="GD182">
            <v>-189.40623571858086</v>
          </cell>
          <cell r="GE182">
            <v>0</v>
          </cell>
          <cell r="GF182">
            <v>3.6432748538011701</v>
          </cell>
          <cell r="GG182">
            <v>-61.573870053730893</v>
          </cell>
          <cell r="GH182">
            <v>0</v>
          </cell>
        </row>
        <row r="183">
          <cell r="A183" t="str">
            <v>per.results'</v>
          </cell>
          <cell r="AB183">
            <v>-70.873999999999995</v>
          </cell>
          <cell r="AD183">
            <v>-70.873999999999995</v>
          </cell>
          <cell r="AT183">
            <v>-70.873999999999995</v>
          </cell>
          <cell r="AX183">
            <v>-70.873999999999995</v>
          </cell>
          <cell r="AZ183" t="str">
            <v>per.results'</v>
          </cell>
          <cell r="BX183">
            <v>0</v>
          </cell>
          <cell r="CB183">
            <v>-184.536</v>
          </cell>
          <cell r="CD183">
            <v>-184.536</v>
          </cell>
          <cell r="CT183">
            <v>-184.536</v>
          </cell>
          <cell r="CU183">
            <v>0</v>
          </cell>
          <cell r="CX183">
            <v>-184.536</v>
          </cell>
          <cell r="FM183">
            <v>-234.244</v>
          </cell>
          <cell r="FN183">
            <v>-234.244</v>
          </cell>
          <cell r="FR183">
            <v>0</v>
          </cell>
          <cell r="FS183">
            <v>0</v>
          </cell>
          <cell r="FT183">
            <v>-234.244</v>
          </cell>
          <cell r="FV183">
            <v>-234.244</v>
          </cell>
          <cell r="FW183" t="str">
            <v>per.results'</v>
          </cell>
          <cell r="FX183">
            <v>-234.244</v>
          </cell>
          <cell r="FY183">
            <v>0</v>
          </cell>
          <cell r="GA183">
            <v>-234.244</v>
          </cell>
          <cell r="GB183">
            <v>-237.38509512928442</v>
          </cell>
          <cell r="GC183">
            <v>-234.244</v>
          </cell>
          <cell r="GD183">
            <v>-237.38509512928442</v>
          </cell>
          <cell r="GE183">
            <v>0</v>
          </cell>
          <cell r="GF183">
            <v>3.3050766148375992</v>
          </cell>
          <cell r="GG183">
            <v>-134.74064500099917</v>
          </cell>
          <cell r="GH183">
            <v>0</v>
          </cell>
        </row>
        <row r="184">
          <cell r="C184">
            <v>0</v>
          </cell>
          <cell r="E184">
            <v>0</v>
          </cell>
          <cell r="G184">
            <v>0</v>
          </cell>
          <cell r="I184">
            <v>0</v>
          </cell>
          <cell r="Q184">
            <v>0</v>
          </cell>
          <cell r="S184">
            <v>0</v>
          </cell>
          <cell r="U184">
            <v>0</v>
          </cell>
          <cell r="Z184">
            <v>0</v>
          </cell>
          <cell r="AB184">
            <v>-122.27199999999999</v>
          </cell>
          <cell r="AD184">
            <v>-122.27199999999999</v>
          </cell>
          <cell r="AF184">
            <v>0</v>
          </cell>
          <cell r="AH184">
            <v>0</v>
          </cell>
          <cell r="AJ184">
            <v>0</v>
          </cell>
          <cell r="AL184">
            <v>0</v>
          </cell>
          <cell r="AN184">
            <v>0</v>
          </cell>
          <cell r="AP184">
            <v>0</v>
          </cell>
          <cell r="AR184">
            <v>0</v>
          </cell>
          <cell r="AT184">
            <v>-122.27199999999999</v>
          </cell>
          <cell r="AV184">
            <v>0</v>
          </cell>
          <cell r="AX184">
            <v>-122.27199999999999</v>
          </cell>
          <cell r="BA184" t="str">
            <v xml:space="preserve">total </v>
          </cell>
          <cell r="BC184">
            <v>0</v>
          </cell>
          <cell r="BE184">
            <v>0</v>
          </cell>
          <cell r="BG184">
            <v>0</v>
          </cell>
          <cell r="BI184">
            <v>0</v>
          </cell>
          <cell r="BQ184">
            <v>0</v>
          </cell>
          <cell r="BS184">
            <v>0</v>
          </cell>
          <cell r="BU184">
            <v>0</v>
          </cell>
          <cell r="BX184">
            <v>0</v>
          </cell>
          <cell r="BZ184">
            <v>0</v>
          </cell>
          <cell r="CB184">
            <v>-228.93600000000001</v>
          </cell>
          <cell r="CD184">
            <v>-228.93600000000001</v>
          </cell>
          <cell r="CF184">
            <v>0</v>
          </cell>
          <cell r="CH184">
            <v>0</v>
          </cell>
          <cell r="CJ184">
            <v>0</v>
          </cell>
          <cell r="CL184">
            <v>0</v>
          </cell>
          <cell r="CN184">
            <v>0</v>
          </cell>
          <cell r="CP184">
            <v>0</v>
          </cell>
          <cell r="CR184">
            <v>0</v>
          </cell>
          <cell r="CT184">
            <v>-228.93600000000001</v>
          </cell>
          <cell r="CU184">
            <v>0</v>
          </cell>
          <cell r="CV184">
            <v>0</v>
          </cell>
          <cell r="CX184">
            <v>-228.93600000000001</v>
          </cell>
          <cell r="FD184">
            <v>0</v>
          </cell>
          <cell r="FE184">
            <v>0</v>
          </cell>
          <cell r="FI184">
            <v>0</v>
          </cell>
          <cell r="FM184">
            <v>-420.44400000000002</v>
          </cell>
          <cell r="FN184">
            <v>-420.44400000000002</v>
          </cell>
          <cell r="FO184">
            <v>0</v>
          </cell>
          <cell r="FP184">
            <v>0</v>
          </cell>
          <cell r="FQ184">
            <v>0</v>
          </cell>
          <cell r="FR184">
            <v>0</v>
          </cell>
          <cell r="FS184">
            <v>0</v>
          </cell>
          <cell r="FT184">
            <v>-420.44400000000002</v>
          </cell>
          <cell r="FU184">
            <v>0</v>
          </cell>
          <cell r="FV184">
            <v>-420.44400000000002</v>
          </cell>
          <cell r="FX184">
            <v>-420.44400000000002</v>
          </cell>
          <cell r="FY184">
            <v>0</v>
          </cell>
          <cell r="FZ184">
            <v>0</v>
          </cell>
          <cell r="GA184">
            <v>-420.44400000000002</v>
          </cell>
          <cell r="GB184">
            <v>-426.0819441972339</v>
          </cell>
          <cell r="GC184">
            <v>-420.44400000000002</v>
          </cell>
          <cell r="GD184">
            <v>-426.0819441972339</v>
          </cell>
          <cell r="GE184">
            <v>0</v>
          </cell>
          <cell r="GF184">
            <v>3.4385959172991369</v>
          </cell>
          <cell r="GG184">
            <v>-196.65928069810036</v>
          </cell>
          <cell r="GH184">
            <v>0</v>
          </cell>
        </row>
        <row r="185">
          <cell r="AD185">
            <v>0</v>
          </cell>
          <cell r="AT185">
            <v>0</v>
          </cell>
          <cell r="BX185">
            <v>0</v>
          </cell>
          <cell r="CD185">
            <v>0</v>
          </cell>
          <cell r="CT185">
            <v>0</v>
          </cell>
          <cell r="CU185">
            <v>0</v>
          </cell>
          <cell r="CX185">
            <v>0</v>
          </cell>
          <cell r="FS185">
            <v>0</v>
          </cell>
          <cell r="FT185">
            <v>0</v>
          </cell>
          <cell r="FV185">
            <v>0</v>
          </cell>
          <cell r="FX185">
            <v>0</v>
          </cell>
          <cell r="FY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 t="e">
            <v>#DIV/0!</v>
          </cell>
          <cell r="GH185">
            <v>0</v>
          </cell>
        </row>
        <row r="186">
          <cell r="A186" t="str">
            <v>IDAN</v>
          </cell>
          <cell r="B186">
            <v>0.25</v>
          </cell>
          <cell r="W186">
            <v>-2</v>
          </cell>
          <cell r="AD186">
            <v>-2</v>
          </cell>
          <cell r="AT186">
            <v>-2</v>
          </cell>
          <cell r="AX186">
            <v>-2</v>
          </cell>
          <cell r="AZ186" t="str">
            <v>IDAN</v>
          </cell>
          <cell r="BW186">
            <v>-2.5</v>
          </cell>
          <cell r="BX186">
            <v>0</v>
          </cell>
          <cell r="CD186">
            <v>-2.5</v>
          </cell>
          <cell r="CT186">
            <v>-2.5</v>
          </cell>
          <cell r="CU186">
            <v>0</v>
          </cell>
          <cell r="CX186">
            <v>-2.5</v>
          </cell>
          <cell r="FS186">
            <v>0</v>
          </cell>
          <cell r="FT186">
            <v>0</v>
          </cell>
          <cell r="FV186">
            <v>0</v>
          </cell>
          <cell r="FW186" t="str">
            <v>IDAN</v>
          </cell>
          <cell r="FX186">
            <v>0</v>
          </cell>
          <cell r="FY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H186">
            <v>0</v>
          </cell>
        </row>
        <row r="187">
          <cell r="A187" t="str">
            <v>accum.profit</v>
          </cell>
          <cell r="M187">
            <v>0</v>
          </cell>
          <cell r="W187">
            <v>-1766</v>
          </cell>
          <cell r="AD187">
            <v>-1766</v>
          </cell>
          <cell r="AT187">
            <v>-1766</v>
          </cell>
          <cell r="AX187">
            <v>-1766</v>
          </cell>
          <cell r="AZ187" t="str">
            <v>accum.profit</v>
          </cell>
          <cell r="BW187">
            <v>5018</v>
          </cell>
          <cell r="BX187">
            <v>0</v>
          </cell>
          <cell r="CD187">
            <v>5018</v>
          </cell>
          <cell r="CT187">
            <v>5018</v>
          </cell>
          <cell r="CU187">
            <v>0</v>
          </cell>
          <cell r="CX187">
            <v>5018</v>
          </cell>
          <cell r="FG187">
            <v>0</v>
          </cell>
          <cell r="FJ187">
            <v>-9.25</v>
          </cell>
          <cell r="FN187">
            <v>-9.25</v>
          </cell>
          <cell r="FS187">
            <v>0</v>
          </cell>
          <cell r="FT187">
            <v>-9.25</v>
          </cell>
          <cell r="FV187">
            <v>-9.25</v>
          </cell>
          <cell r="FW187" t="str">
            <v>accum.profit</v>
          </cell>
          <cell r="FX187">
            <v>-9.25</v>
          </cell>
          <cell r="FY187">
            <v>0</v>
          </cell>
          <cell r="GA187">
            <v>-9.25</v>
          </cell>
          <cell r="GB187">
            <v>-9.3740378833433535</v>
          </cell>
          <cell r="GC187">
            <v>-9.25</v>
          </cell>
          <cell r="GD187">
            <v>-9.3740378833433535</v>
          </cell>
          <cell r="GE187">
            <v>0</v>
          </cell>
          <cell r="GF187">
            <v>5.2378255945639864E-3</v>
          </cell>
          <cell r="GH187">
            <v>0</v>
          </cell>
        </row>
        <row r="188">
          <cell r="A188" t="str">
            <v>per.results'</v>
          </cell>
          <cell r="AD188">
            <v>0</v>
          </cell>
          <cell r="AT188">
            <v>0</v>
          </cell>
          <cell r="AX188">
            <v>0</v>
          </cell>
          <cell r="AZ188" t="str">
            <v>per.results'</v>
          </cell>
          <cell r="BX188">
            <v>0</v>
          </cell>
          <cell r="CD188">
            <v>0</v>
          </cell>
          <cell r="CT188">
            <v>0</v>
          </cell>
          <cell r="CU188">
            <v>0</v>
          </cell>
          <cell r="CX188">
            <v>0</v>
          </cell>
          <cell r="FJ188">
            <v>-7886.25</v>
          </cell>
          <cell r="FN188">
            <v>-7886.25</v>
          </cell>
          <cell r="FR188">
            <v>0</v>
          </cell>
          <cell r="FS188">
            <v>0</v>
          </cell>
          <cell r="FT188">
            <v>-7886.25</v>
          </cell>
          <cell r="FV188">
            <v>-7886.25</v>
          </cell>
          <cell r="FW188" t="str">
            <v>per.results'</v>
          </cell>
          <cell r="FX188">
            <v>-7886.25</v>
          </cell>
          <cell r="FY188">
            <v>0</v>
          </cell>
          <cell r="GA188">
            <v>-7886.25</v>
          </cell>
          <cell r="GB188">
            <v>-7992.0006764882728</v>
          </cell>
          <cell r="GC188">
            <v>-7886.25</v>
          </cell>
          <cell r="GD188">
            <v>-7992.0006764882728</v>
          </cell>
          <cell r="GE188">
            <v>0</v>
          </cell>
          <cell r="GF188" t="e">
            <v>#DIV/0!</v>
          </cell>
          <cell r="GH188">
            <v>0</v>
          </cell>
        </row>
        <row r="189">
          <cell r="C189">
            <v>0</v>
          </cell>
          <cell r="E189">
            <v>0</v>
          </cell>
          <cell r="G189">
            <v>0</v>
          </cell>
          <cell r="I189">
            <v>0</v>
          </cell>
          <cell r="K189">
            <v>0</v>
          </cell>
          <cell r="O189">
            <v>0</v>
          </cell>
          <cell r="Q189">
            <v>0</v>
          </cell>
          <cell r="S189">
            <v>0</v>
          </cell>
          <cell r="U189">
            <v>0</v>
          </cell>
          <cell r="W189">
            <v>-1768</v>
          </cell>
          <cell r="Z189">
            <v>0</v>
          </cell>
          <cell r="AB189">
            <v>0</v>
          </cell>
          <cell r="AD189">
            <v>-1768</v>
          </cell>
          <cell r="AF189">
            <v>0</v>
          </cell>
          <cell r="AH189">
            <v>0</v>
          </cell>
          <cell r="AJ189">
            <v>0</v>
          </cell>
          <cell r="AL189">
            <v>0</v>
          </cell>
          <cell r="AN189">
            <v>0</v>
          </cell>
          <cell r="AP189">
            <v>0</v>
          </cell>
          <cell r="AR189">
            <v>0</v>
          </cell>
          <cell r="AT189">
            <v>-1768</v>
          </cell>
          <cell r="AV189">
            <v>0</v>
          </cell>
          <cell r="AX189">
            <v>-1768</v>
          </cell>
          <cell r="BC189">
            <v>0</v>
          </cell>
          <cell r="BE189">
            <v>0</v>
          </cell>
          <cell r="BG189">
            <v>0</v>
          </cell>
          <cell r="BI189">
            <v>0</v>
          </cell>
          <cell r="BK189">
            <v>0</v>
          </cell>
          <cell r="BM189">
            <v>0</v>
          </cell>
          <cell r="BO189">
            <v>0</v>
          </cell>
          <cell r="BQ189">
            <v>0</v>
          </cell>
          <cell r="BS189">
            <v>0</v>
          </cell>
          <cell r="BU189">
            <v>0</v>
          </cell>
          <cell r="BW189">
            <v>5015.5</v>
          </cell>
          <cell r="BX189">
            <v>0</v>
          </cell>
          <cell r="BZ189">
            <v>0</v>
          </cell>
          <cell r="CB189">
            <v>0</v>
          </cell>
          <cell r="CD189">
            <v>5015.5</v>
          </cell>
          <cell r="CF189">
            <v>0</v>
          </cell>
          <cell r="CH189">
            <v>0</v>
          </cell>
          <cell r="CJ189">
            <v>0</v>
          </cell>
          <cell r="CL189">
            <v>0</v>
          </cell>
          <cell r="CN189">
            <v>0</v>
          </cell>
          <cell r="CP189">
            <v>0</v>
          </cell>
          <cell r="CR189">
            <v>0</v>
          </cell>
          <cell r="CT189">
            <v>5015.5</v>
          </cell>
          <cell r="CU189">
            <v>0</v>
          </cell>
          <cell r="CV189">
            <v>0</v>
          </cell>
          <cell r="CX189">
            <v>5015.5</v>
          </cell>
          <cell r="FD189">
            <v>0</v>
          </cell>
          <cell r="FE189">
            <v>0</v>
          </cell>
          <cell r="FH189">
            <v>0</v>
          </cell>
          <cell r="FI189">
            <v>0</v>
          </cell>
          <cell r="FJ189">
            <v>-7895.5</v>
          </cell>
          <cell r="FM189">
            <v>0</v>
          </cell>
          <cell r="FN189">
            <v>-7895.5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-7895.5</v>
          </cell>
          <cell r="FU189">
            <v>0</v>
          </cell>
          <cell r="FV189">
            <v>-7895.5</v>
          </cell>
          <cell r="FX189">
            <v>-7895.5</v>
          </cell>
          <cell r="FY189">
            <v>0</v>
          </cell>
          <cell r="FZ189">
            <v>0</v>
          </cell>
          <cell r="GA189">
            <v>-7895.5</v>
          </cell>
          <cell r="GB189">
            <v>-8001.3747143716164</v>
          </cell>
          <cell r="GC189">
            <v>-7895.5</v>
          </cell>
          <cell r="GD189">
            <v>-8001.3747143716164</v>
          </cell>
          <cell r="GE189">
            <v>0</v>
          </cell>
          <cell r="GF189">
            <v>4.4657805429864252</v>
          </cell>
          <cell r="GH189">
            <v>0</v>
          </cell>
        </row>
        <row r="190">
          <cell r="AT190">
            <v>0</v>
          </cell>
          <cell r="BX190">
            <v>0</v>
          </cell>
          <cell r="CD190">
            <v>0</v>
          </cell>
          <cell r="CT190">
            <v>0</v>
          </cell>
          <cell r="CU190">
            <v>0</v>
          </cell>
          <cell r="FS190">
            <v>0</v>
          </cell>
          <cell r="FX190">
            <v>0</v>
          </cell>
          <cell r="FY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 t="e">
            <v>#DIV/0!</v>
          </cell>
          <cell r="GH190">
            <v>0</v>
          </cell>
        </row>
        <row r="191">
          <cell r="A191" t="str">
            <v>T.L.M.</v>
          </cell>
          <cell r="B191">
            <v>0.32550000000000001</v>
          </cell>
          <cell r="C191">
            <v>0</v>
          </cell>
          <cell r="AD191">
            <v>0</v>
          </cell>
          <cell r="AJ191">
            <v>0</v>
          </cell>
          <cell r="AN191">
            <v>2378</v>
          </cell>
          <cell r="AP191">
            <v>2378</v>
          </cell>
          <cell r="AT191">
            <v>2378</v>
          </cell>
          <cell r="AX191">
            <v>2378</v>
          </cell>
          <cell r="AZ191" t="str">
            <v>T.L.M.</v>
          </cell>
          <cell r="BA191">
            <v>0.3</v>
          </cell>
          <cell r="BX191">
            <v>0</v>
          </cell>
          <cell r="CD191">
            <v>0</v>
          </cell>
          <cell r="CH191">
            <v>0</v>
          </cell>
          <cell r="CJ191">
            <v>0</v>
          </cell>
          <cell r="CN191">
            <v>9928</v>
          </cell>
          <cell r="CP191">
            <v>9928</v>
          </cell>
          <cell r="CT191">
            <v>9928</v>
          </cell>
          <cell r="CU191">
            <v>0</v>
          </cell>
          <cell r="CX191">
            <v>9928</v>
          </cell>
          <cell r="FO191">
            <v>0</v>
          </cell>
          <cell r="FQ191">
            <v>9929</v>
          </cell>
          <cell r="FR191">
            <v>9929</v>
          </cell>
          <cell r="FS191">
            <v>0</v>
          </cell>
          <cell r="FT191">
            <v>9929</v>
          </cell>
          <cell r="FV191">
            <v>9929</v>
          </cell>
          <cell r="FW191" t="str">
            <v>T.L.M.</v>
          </cell>
          <cell r="FX191">
            <v>0</v>
          </cell>
          <cell r="FY191">
            <v>9929</v>
          </cell>
          <cell r="GA191">
            <v>9929</v>
          </cell>
          <cell r="GB191">
            <v>10062.142934455802</v>
          </cell>
          <cell r="GC191">
            <v>9929</v>
          </cell>
          <cell r="GD191">
            <v>10062.142934455802</v>
          </cell>
          <cell r="GE191">
            <v>0</v>
          </cell>
          <cell r="GF191">
            <v>4.175357443229605</v>
          </cell>
          <cell r="GG191">
            <v>3889.2041149575443</v>
          </cell>
          <cell r="GH191">
            <v>0</v>
          </cell>
          <cell r="GT191" t="str">
            <v xml:space="preserve">דוח דולר  </v>
          </cell>
        </row>
        <row r="192">
          <cell r="A192" t="str">
            <v>accum.profit</v>
          </cell>
          <cell r="AD192">
            <v>0</v>
          </cell>
          <cell r="AJ192">
            <v>0</v>
          </cell>
          <cell r="AN192">
            <v>-4136</v>
          </cell>
          <cell r="AP192">
            <v>-4136</v>
          </cell>
          <cell r="AT192">
            <v>-4136</v>
          </cell>
          <cell r="AX192">
            <v>-4136</v>
          </cell>
          <cell r="AZ192" t="str">
            <v>accum.profit</v>
          </cell>
          <cell r="BX192">
            <v>0</v>
          </cell>
          <cell r="CD192">
            <v>0</v>
          </cell>
          <cell r="CJ192">
            <v>0</v>
          </cell>
          <cell r="CN192">
            <v>-2373</v>
          </cell>
          <cell r="CP192">
            <v>-2373</v>
          </cell>
          <cell r="CT192">
            <v>-2373</v>
          </cell>
          <cell r="CU192">
            <v>0</v>
          </cell>
          <cell r="CX192">
            <v>-2373</v>
          </cell>
          <cell r="FN192">
            <v>0</v>
          </cell>
          <cell r="FO192">
            <v>0</v>
          </cell>
          <cell r="FQ192">
            <v>-20312</v>
          </cell>
          <cell r="FR192">
            <v>-20312</v>
          </cell>
          <cell r="FS192">
            <v>0</v>
          </cell>
          <cell r="FT192">
            <v>-20312</v>
          </cell>
          <cell r="FV192">
            <v>-20312</v>
          </cell>
          <cell r="FW192" t="str">
            <v>accum.profit</v>
          </cell>
          <cell r="FX192">
            <v>0</v>
          </cell>
          <cell r="FY192">
            <v>-20312</v>
          </cell>
          <cell r="GA192">
            <v>-20312</v>
          </cell>
          <cell r="GB192">
            <v>-20584.373782321105</v>
          </cell>
          <cell r="GC192">
            <v>-20312</v>
          </cell>
          <cell r="GD192">
            <v>-20584.373782321105</v>
          </cell>
          <cell r="GE192">
            <v>0</v>
          </cell>
          <cell r="GF192">
            <v>4.9110251450676978</v>
          </cell>
          <cell r="GG192">
            <v>-14495.417300457219</v>
          </cell>
          <cell r="GH192">
            <v>0</v>
          </cell>
        </row>
        <row r="193">
          <cell r="A193" t="str">
            <v>per.results'</v>
          </cell>
          <cell r="AD193">
            <v>0</v>
          </cell>
          <cell r="AJ193">
            <v>0</v>
          </cell>
          <cell r="AN193">
            <v>-3502</v>
          </cell>
          <cell r="AP193">
            <v>-3502</v>
          </cell>
          <cell r="AT193">
            <v>-3502</v>
          </cell>
          <cell r="AX193">
            <v>-3502</v>
          </cell>
          <cell r="AZ193" t="str">
            <v>per.results'</v>
          </cell>
          <cell r="BX193">
            <v>0</v>
          </cell>
          <cell r="CD193">
            <v>0</v>
          </cell>
          <cell r="CJ193">
            <v>0</v>
          </cell>
          <cell r="CN193">
            <v>-10867</v>
          </cell>
          <cell r="CP193">
            <v>-10867</v>
          </cell>
          <cell r="CT193">
            <v>-10867</v>
          </cell>
          <cell r="CU193">
            <v>0</v>
          </cell>
          <cell r="CX193">
            <v>-10867</v>
          </cell>
          <cell r="FN193">
            <v>0</v>
          </cell>
          <cell r="FO193">
            <v>0</v>
          </cell>
          <cell r="FQ193">
            <v>-11813</v>
          </cell>
          <cell r="FR193">
            <v>-11813</v>
          </cell>
          <cell r="FS193">
            <v>0</v>
          </cell>
          <cell r="FT193">
            <v>-11813</v>
          </cell>
          <cell r="FV193">
            <v>-11813</v>
          </cell>
          <cell r="FW193" t="str">
            <v>per.results'</v>
          </cell>
          <cell r="FX193">
            <v>0</v>
          </cell>
          <cell r="FY193">
            <v>-11813</v>
          </cell>
          <cell r="GA193">
            <v>-11813</v>
          </cell>
          <cell r="GB193">
            <v>-11971.40643415514</v>
          </cell>
          <cell r="GC193">
            <v>-11813</v>
          </cell>
          <cell r="GD193">
            <v>-11971.40643415514</v>
          </cell>
          <cell r="GE193">
            <v>0</v>
          </cell>
          <cell r="GF193">
            <v>3.3732153055396914</v>
          </cell>
          <cell r="GG193">
            <v>-9705.3320868713272</v>
          </cell>
          <cell r="GH193">
            <v>0</v>
          </cell>
        </row>
        <row r="194">
          <cell r="B194" t="str">
            <v xml:space="preserve">total </v>
          </cell>
          <cell r="C194">
            <v>0</v>
          </cell>
          <cell r="E194">
            <v>0</v>
          </cell>
          <cell r="G194">
            <v>0</v>
          </cell>
          <cell r="I194">
            <v>0</v>
          </cell>
          <cell r="Q194">
            <v>0</v>
          </cell>
          <cell r="S194">
            <v>0</v>
          </cell>
          <cell r="U194">
            <v>0</v>
          </cell>
          <cell r="Z194">
            <v>0</v>
          </cell>
          <cell r="AB194">
            <v>0</v>
          </cell>
          <cell r="AD194">
            <v>0</v>
          </cell>
          <cell r="AF194">
            <v>0</v>
          </cell>
          <cell r="AH194">
            <v>0</v>
          </cell>
          <cell r="AJ194">
            <v>0</v>
          </cell>
          <cell r="AL194">
            <v>0</v>
          </cell>
          <cell r="AN194">
            <v>-5260</v>
          </cell>
          <cell r="AP194">
            <v>-5260</v>
          </cell>
          <cell r="AR194">
            <v>0</v>
          </cell>
          <cell r="AT194">
            <v>-5260</v>
          </cell>
          <cell r="AV194">
            <v>0</v>
          </cell>
          <cell r="AX194">
            <v>-5260</v>
          </cell>
          <cell r="BA194" t="str">
            <v xml:space="preserve">total </v>
          </cell>
          <cell r="BC194">
            <v>0</v>
          </cell>
          <cell r="BE194">
            <v>0</v>
          </cell>
          <cell r="BG194">
            <v>0</v>
          </cell>
          <cell r="BI194">
            <v>0</v>
          </cell>
          <cell r="BQ194">
            <v>0</v>
          </cell>
          <cell r="BS194">
            <v>0</v>
          </cell>
          <cell r="BU194">
            <v>0</v>
          </cell>
          <cell r="BX194">
            <v>0</v>
          </cell>
          <cell r="BZ194">
            <v>0</v>
          </cell>
          <cell r="CB194">
            <v>0</v>
          </cell>
          <cell r="CD194">
            <v>0</v>
          </cell>
          <cell r="CF194">
            <v>0</v>
          </cell>
          <cell r="CH194">
            <v>0</v>
          </cell>
          <cell r="CJ194">
            <v>0</v>
          </cell>
          <cell r="CL194">
            <v>0</v>
          </cell>
          <cell r="CN194">
            <v>-3312</v>
          </cell>
          <cell r="CP194">
            <v>-3312</v>
          </cell>
          <cell r="CR194">
            <v>0</v>
          </cell>
          <cell r="CT194">
            <v>-3312</v>
          </cell>
          <cell r="CU194">
            <v>0</v>
          </cell>
          <cell r="CV194">
            <v>0</v>
          </cell>
          <cell r="CX194">
            <v>-3312</v>
          </cell>
          <cell r="FD194">
            <v>0</v>
          </cell>
          <cell r="FE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-22196</v>
          </cell>
          <cell r="FR194">
            <v>-22196</v>
          </cell>
          <cell r="FT194">
            <v>-22196</v>
          </cell>
          <cell r="FU194">
            <v>0</v>
          </cell>
          <cell r="FV194">
            <v>-22196</v>
          </cell>
          <cell r="FX194">
            <v>0</v>
          </cell>
          <cell r="FY194">
            <v>-22196</v>
          </cell>
          <cell r="FZ194">
            <v>0</v>
          </cell>
          <cell r="GA194">
            <v>-22196</v>
          </cell>
          <cell r="GB194">
            <v>-22493.637282020441</v>
          </cell>
          <cell r="GC194">
            <v>-22196</v>
          </cell>
          <cell r="GD194">
            <v>-22493.637282020441</v>
          </cell>
          <cell r="GE194">
            <v>0</v>
          </cell>
          <cell r="GF194">
            <v>4.2197718631178711</v>
          </cell>
          <cell r="GG194">
            <v>-20311.545272371004</v>
          </cell>
          <cell r="GH194">
            <v>0</v>
          </cell>
        </row>
        <row r="195">
          <cell r="BX195">
            <v>0</v>
          </cell>
          <cell r="CU195">
            <v>0</v>
          </cell>
          <cell r="FX195">
            <v>0</v>
          </cell>
          <cell r="FY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 t="e">
            <v>#DIV/0!</v>
          </cell>
        </row>
        <row r="196">
          <cell r="A196" t="str">
            <v>NETCOM</v>
          </cell>
          <cell r="M196">
            <v>0</v>
          </cell>
          <cell r="O196">
            <v>20</v>
          </cell>
          <cell r="AT196">
            <v>20</v>
          </cell>
          <cell r="AX196">
            <v>20</v>
          </cell>
          <cell r="AZ196" t="str">
            <v>NETCOM</v>
          </cell>
          <cell r="BO196">
            <v>85.5</v>
          </cell>
          <cell r="BX196">
            <v>0</v>
          </cell>
          <cell r="CT196">
            <v>85.5</v>
          </cell>
          <cell r="CU196">
            <v>0</v>
          </cell>
          <cell r="CX196">
            <v>85.5</v>
          </cell>
          <cell r="FH196">
            <v>84</v>
          </cell>
          <cell r="FT196">
            <v>84</v>
          </cell>
          <cell r="FV196">
            <v>84</v>
          </cell>
          <cell r="FW196" t="str">
            <v>NETCOM</v>
          </cell>
          <cell r="FX196">
            <v>0</v>
          </cell>
          <cell r="FY196">
            <v>0</v>
          </cell>
          <cell r="GA196">
            <v>0</v>
          </cell>
          <cell r="GB196">
            <v>0</v>
          </cell>
          <cell r="GC196">
            <v>84</v>
          </cell>
          <cell r="GD196">
            <v>85.126398075766687</v>
          </cell>
          <cell r="GE196">
            <v>84</v>
          </cell>
          <cell r="GF196">
            <v>4.2</v>
          </cell>
        </row>
        <row r="197">
          <cell r="M197">
            <v>0</v>
          </cell>
          <cell r="AT197">
            <v>0</v>
          </cell>
          <cell r="BX197">
            <v>0</v>
          </cell>
          <cell r="CT197">
            <v>0</v>
          </cell>
          <cell r="CU197">
            <v>0</v>
          </cell>
          <cell r="FI197">
            <v>0</v>
          </cell>
          <cell r="FS197">
            <v>0</v>
          </cell>
          <cell r="FX197">
            <v>0</v>
          </cell>
          <cell r="FY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 t="e">
            <v>#DIV/0!</v>
          </cell>
        </row>
        <row r="198">
          <cell r="A198" t="str">
            <v>TOTAL MINORITY INTERESTS</v>
          </cell>
          <cell r="C198">
            <v>0</v>
          </cell>
          <cell r="E198">
            <v>0</v>
          </cell>
          <cell r="G198">
            <v>0</v>
          </cell>
          <cell r="I198">
            <v>0</v>
          </cell>
          <cell r="K198">
            <v>0</v>
          </cell>
          <cell r="L198">
            <v>0</v>
          </cell>
          <cell r="O198">
            <v>20</v>
          </cell>
          <cell r="Q198">
            <v>0</v>
          </cell>
          <cell r="S198">
            <v>0</v>
          </cell>
          <cell r="U198">
            <v>0</v>
          </cell>
          <cell r="W198">
            <v>-1768</v>
          </cell>
          <cell r="Z198">
            <v>0</v>
          </cell>
          <cell r="AB198">
            <v>-122.27199999999999</v>
          </cell>
          <cell r="AD198">
            <v>-1890.2719999999999</v>
          </cell>
          <cell r="AF198">
            <v>0</v>
          </cell>
          <cell r="AH198">
            <v>0</v>
          </cell>
          <cell r="AJ198">
            <v>0</v>
          </cell>
          <cell r="AL198">
            <v>0</v>
          </cell>
          <cell r="AN198">
            <v>-5260</v>
          </cell>
          <cell r="AP198">
            <v>-5260</v>
          </cell>
          <cell r="AR198">
            <v>0</v>
          </cell>
          <cell r="AT198">
            <v>-7130.2719999999999</v>
          </cell>
          <cell r="AV198">
            <v>-24147.565348416287</v>
          </cell>
          <cell r="AX198">
            <v>-31277.837348416288</v>
          </cell>
          <cell r="AZ198" t="str">
            <v>TOTAL MINORITY INTERESTS</v>
          </cell>
          <cell r="BC198">
            <v>0</v>
          </cell>
          <cell r="BE198">
            <v>0</v>
          </cell>
          <cell r="BG198">
            <v>0</v>
          </cell>
          <cell r="BI198">
            <v>0</v>
          </cell>
          <cell r="BK198">
            <v>0</v>
          </cell>
          <cell r="BM198">
            <v>0</v>
          </cell>
          <cell r="BO198">
            <v>85.5</v>
          </cell>
          <cell r="BQ198">
            <v>0</v>
          </cell>
          <cell r="BS198">
            <v>0</v>
          </cell>
          <cell r="BU198">
            <v>0</v>
          </cell>
          <cell r="BW198">
            <v>5015.5</v>
          </cell>
          <cell r="BX198">
            <v>0</v>
          </cell>
          <cell r="BZ198">
            <v>0</v>
          </cell>
          <cell r="CB198">
            <v>-228.93600000000001</v>
          </cell>
          <cell r="CD198">
            <v>4786.5640000000003</v>
          </cell>
          <cell r="CF198">
            <v>0</v>
          </cell>
          <cell r="CH198">
            <v>0</v>
          </cell>
          <cell r="CJ198">
            <v>0</v>
          </cell>
          <cell r="CL198">
            <v>0</v>
          </cell>
          <cell r="CN198">
            <v>-3312</v>
          </cell>
          <cell r="CP198">
            <v>-3312</v>
          </cell>
          <cell r="CR198">
            <v>0</v>
          </cell>
          <cell r="CT198">
            <v>1560.0639999999999</v>
          </cell>
          <cell r="CU198">
            <v>0</v>
          </cell>
          <cell r="CV198">
            <v>-58542.033600000002</v>
          </cell>
          <cell r="CX198">
            <v>-56981.969600000004</v>
          </cell>
          <cell r="FD198">
            <v>0</v>
          </cell>
          <cell r="FE198">
            <v>0</v>
          </cell>
          <cell r="FH198">
            <v>84</v>
          </cell>
          <cell r="FI198">
            <v>0</v>
          </cell>
          <cell r="FJ198">
            <v>-7895.5</v>
          </cell>
          <cell r="FM198">
            <v>-420.44400000000002</v>
          </cell>
          <cell r="FN198">
            <v>-8315.9439999999995</v>
          </cell>
          <cell r="FO198">
            <v>0</v>
          </cell>
          <cell r="FP198">
            <v>0</v>
          </cell>
          <cell r="FQ198">
            <v>-22196</v>
          </cell>
          <cell r="FR198">
            <v>-22196</v>
          </cell>
          <cell r="FS198">
            <v>0</v>
          </cell>
          <cell r="FT198">
            <v>-30427.944</v>
          </cell>
          <cell r="FU198">
            <v>-94159.419483923339</v>
          </cell>
          <cell r="FV198">
            <v>-124587.36348392334</v>
          </cell>
          <cell r="FW198" t="str">
            <v>TOTAL MINORITY INTERESTS</v>
          </cell>
          <cell r="FX198">
            <v>-8315.9439999999995</v>
          </cell>
          <cell r="FY198">
            <v>-22196</v>
          </cell>
          <cell r="FZ198">
            <v>0</v>
          </cell>
          <cell r="GA198">
            <v>-30511.944</v>
          </cell>
          <cell r="GB198">
            <v>-30921.093940589293</v>
          </cell>
          <cell r="GC198">
            <v>-124587.36348392334</v>
          </cell>
          <cell r="GD198">
            <v>-126258.01784693687</v>
          </cell>
          <cell r="GE198">
            <v>-94075.419483923339</v>
          </cell>
          <cell r="GF198">
            <v>3.9832473740462002</v>
          </cell>
          <cell r="GG198">
            <v>-86544.460994177251</v>
          </cell>
          <cell r="GH198">
            <v>0</v>
          </cell>
        </row>
        <row r="199">
          <cell r="A199" t="str">
            <v>PROV.FOR SEVERANCE PAY</v>
          </cell>
          <cell r="I199">
            <v>0</v>
          </cell>
          <cell r="M199">
            <v>-7.295072115384615</v>
          </cell>
          <cell r="O199">
            <v>-100</v>
          </cell>
          <cell r="Q199">
            <v>-681.90476923076926</v>
          </cell>
          <cell r="U199">
            <v>-681.90476923076926</v>
          </cell>
          <cell r="W199">
            <v>-224</v>
          </cell>
          <cell r="X199">
            <v>-224</v>
          </cell>
          <cell r="AD199">
            <v>-1129.9047692307693</v>
          </cell>
          <cell r="AL199">
            <v>-13.708</v>
          </cell>
          <cell r="AP199">
            <v>-13.708</v>
          </cell>
          <cell r="AR199">
            <v>-7.1879999999999997</v>
          </cell>
          <cell r="AT199">
            <v>-1258.095841346154</v>
          </cell>
          <cell r="AX199">
            <v>-1258.095841346154</v>
          </cell>
          <cell r="AZ199" t="str">
            <v>PROV.FOR SEVERANCE PAY</v>
          </cell>
          <cell r="BI199">
            <v>0</v>
          </cell>
          <cell r="BM199">
            <v>-30.3475</v>
          </cell>
          <cell r="BO199">
            <v>-414.5</v>
          </cell>
          <cell r="BQ199">
            <v>-2836.7269999999999</v>
          </cell>
          <cell r="BU199">
            <v>-2836.7269999999999</v>
          </cell>
          <cell r="BW199">
            <v>-933</v>
          </cell>
          <cell r="BX199">
            <v>-933</v>
          </cell>
          <cell r="CD199">
            <v>-4702.7269999999999</v>
          </cell>
          <cell r="CL199">
            <v>-57</v>
          </cell>
          <cell r="CP199">
            <v>-57</v>
          </cell>
          <cell r="CR199">
            <v>-29.9</v>
          </cell>
          <cell r="CT199">
            <v>-5234.4744999999994</v>
          </cell>
          <cell r="CU199">
            <v>0</v>
          </cell>
          <cell r="CX199">
            <v>-5234.4744999999994</v>
          </cell>
          <cell r="FG199">
            <v>-30.3475</v>
          </cell>
          <cell r="FH199">
            <v>-414.5</v>
          </cell>
          <cell r="FI199">
            <v>-2836.7269999999999</v>
          </cell>
          <cell r="FJ199">
            <v>-933</v>
          </cell>
          <cell r="FK199">
            <v>-933</v>
          </cell>
          <cell r="FN199">
            <v>-4702.7269999999999</v>
          </cell>
          <cell r="FP199">
            <v>-57</v>
          </cell>
          <cell r="FR199">
            <v>-57</v>
          </cell>
          <cell r="FS199">
            <v>-29.9</v>
          </cell>
          <cell r="FT199">
            <v>-5234.4744999999994</v>
          </cell>
          <cell r="FV199">
            <v>-5234.4744999999994</v>
          </cell>
          <cell r="FW199" t="str">
            <v>PROV.FOR SEVERANCE PAY</v>
          </cell>
          <cell r="FX199">
            <v>-4702.7269999999999</v>
          </cell>
          <cell r="FY199">
            <v>-57</v>
          </cell>
          <cell r="GA199">
            <v>-4759.7269999999999</v>
          </cell>
          <cell r="GB199">
            <v>-4823.5525634996993</v>
          </cell>
          <cell r="GC199">
            <v>-5234.4744999999994</v>
          </cell>
          <cell r="GD199">
            <v>-5304.666190529163</v>
          </cell>
          <cell r="GE199">
            <v>-474.74749999999949</v>
          </cell>
          <cell r="GF199">
            <v>4.1606325432243283</v>
          </cell>
          <cell r="GG199">
            <v>-3978.9215148877374</v>
          </cell>
          <cell r="GH199">
            <v>0</v>
          </cell>
        </row>
        <row r="200">
          <cell r="Q200">
            <v>656.71600000000001</v>
          </cell>
          <cell r="U200">
            <v>656.71600000000001</v>
          </cell>
          <cell r="W200">
            <v>199.5</v>
          </cell>
          <cell r="X200">
            <v>199.5</v>
          </cell>
          <cell r="Z200">
            <v>0</v>
          </cell>
          <cell r="AD200">
            <v>1055.7159999999999</v>
          </cell>
          <cell r="AH200">
            <v>0</v>
          </cell>
          <cell r="AJ200">
            <v>0</v>
          </cell>
          <cell r="AN200">
            <v>0</v>
          </cell>
          <cell r="AP200">
            <v>0</v>
          </cell>
          <cell r="AT200">
            <v>1055.7159999999999</v>
          </cell>
          <cell r="AV200">
            <v>0</v>
          </cell>
          <cell r="AX200">
            <v>1055.7159999999999</v>
          </cell>
          <cell r="BC200">
            <v>0</v>
          </cell>
          <cell r="BE200">
            <v>0</v>
          </cell>
          <cell r="BG200">
            <v>0</v>
          </cell>
          <cell r="BI200">
            <v>0</v>
          </cell>
          <cell r="BQ200">
            <v>2731.94</v>
          </cell>
          <cell r="BU200">
            <v>2731.94</v>
          </cell>
          <cell r="BW200">
            <v>830.5</v>
          </cell>
          <cell r="BX200">
            <v>830.5</v>
          </cell>
          <cell r="BZ200">
            <v>0</v>
          </cell>
          <cell r="CD200">
            <v>4392.9399999999996</v>
          </cell>
          <cell r="CH200">
            <v>0</v>
          </cell>
          <cell r="CJ200">
            <v>0</v>
          </cell>
          <cell r="CL200">
            <v>0</v>
          </cell>
          <cell r="CN200">
            <v>0</v>
          </cell>
          <cell r="CP200">
            <v>0</v>
          </cell>
          <cell r="CR200" t="str">
            <v>_______</v>
          </cell>
          <cell r="CT200">
            <v>4392.9399999999996</v>
          </cell>
          <cell r="CU200">
            <v>0</v>
          </cell>
          <cell r="CX200">
            <v>4392.9399999999996</v>
          </cell>
          <cell r="FI200">
            <v>2731.94</v>
          </cell>
          <cell r="FJ200">
            <v>830.5</v>
          </cell>
          <cell r="FK200">
            <v>830.5</v>
          </cell>
          <cell r="FN200">
            <v>4392.9399999999996</v>
          </cell>
          <cell r="FO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4392.9399999999996</v>
          </cell>
          <cell r="FV200">
            <v>4392.9399999999996</v>
          </cell>
          <cell r="FX200">
            <v>4392.9399999999996</v>
          </cell>
          <cell r="FY200">
            <v>0</v>
          </cell>
          <cell r="GA200">
            <v>4392.9399999999996</v>
          </cell>
          <cell r="GB200">
            <v>4451.8471328923633</v>
          </cell>
          <cell r="GC200">
            <v>4392.9399999999996</v>
          </cell>
          <cell r="GD200">
            <v>4451.8471328923633</v>
          </cell>
          <cell r="GE200">
            <v>0</v>
          </cell>
          <cell r="GF200">
            <v>4.1611001443570057</v>
          </cell>
          <cell r="GG200">
            <v>2102.5216088906791</v>
          </cell>
          <cell r="GH200">
            <v>0</v>
          </cell>
        </row>
        <row r="201">
          <cell r="C201">
            <v>0</v>
          </cell>
          <cell r="E201">
            <v>0</v>
          </cell>
          <cell r="G201">
            <v>0</v>
          </cell>
          <cell r="I201">
            <v>0</v>
          </cell>
          <cell r="M201">
            <v>-7.295072115384615</v>
          </cell>
          <cell r="O201">
            <v>-100</v>
          </cell>
          <cell r="Q201">
            <v>-25.188769230769253</v>
          </cell>
          <cell r="S201">
            <v>0</v>
          </cell>
          <cell r="U201">
            <v>-25.188769230769253</v>
          </cell>
          <cell r="W201">
            <v>-24.5</v>
          </cell>
          <cell r="X201">
            <v>-24.5</v>
          </cell>
          <cell r="Z201">
            <v>0</v>
          </cell>
          <cell r="AB201">
            <v>0</v>
          </cell>
          <cell r="AD201">
            <v>-74.188769230769367</v>
          </cell>
          <cell r="AF201">
            <v>0</v>
          </cell>
          <cell r="AH201">
            <v>0</v>
          </cell>
          <cell r="AJ201">
            <v>0</v>
          </cell>
          <cell r="AL201">
            <v>-13.708</v>
          </cell>
          <cell r="AP201">
            <v>-13.708</v>
          </cell>
          <cell r="AR201">
            <v>-7.1879999999999997</v>
          </cell>
          <cell r="AT201">
            <v>-202.37984134615408</v>
          </cell>
          <cell r="AV201">
            <v>0</v>
          </cell>
          <cell r="AX201">
            <v>-202.37984134615408</v>
          </cell>
          <cell r="BC201">
            <v>0</v>
          </cell>
          <cell r="BE201">
            <v>0</v>
          </cell>
          <cell r="BG201">
            <v>0</v>
          </cell>
          <cell r="BI201">
            <v>0</v>
          </cell>
          <cell r="BM201">
            <v>-30.3475</v>
          </cell>
          <cell r="BO201">
            <v>-414.5</v>
          </cell>
          <cell r="BQ201">
            <v>-104.78699999999981</v>
          </cell>
          <cell r="BS201">
            <v>0</v>
          </cell>
          <cell r="BU201">
            <v>-104.78699999999981</v>
          </cell>
          <cell r="BW201">
            <v>-102.5</v>
          </cell>
          <cell r="BX201">
            <v>-102.5</v>
          </cell>
          <cell r="BZ201">
            <v>0</v>
          </cell>
          <cell r="CB201">
            <v>0</v>
          </cell>
          <cell r="CD201">
            <v>-309.78699999999981</v>
          </cell>
          <cell r="CF201">
            <v>0</v>
          </cell>
          <cell r="CH201">
            <v>0</v>
          </cell>
          <cell r="CJ201">
            <v>0</v>
          </cell>
          <cell r="CL201">
            <v>-57</v>
          </cell>
          <cell r="CP201">
            <v>-57</v>
          </cell>
          <cell r="CR201">
            <v>-29.9</v>
          </cell>
          <cell r="CT201">
            <v>-841.53449999999884</v>
          </cell>
          <cell r="CU201">
            <v>-9.0949470177292824E-13</v>
          </cell>
          <cell r="CV201">
            <v>0</v>
          </cell>
          <cell r="CX201">
            <v>-841.53449999999975</v>
          </cell>
          <cell r="FE201">
            <v>0</v>
          </cell>
          <cell r="FG201">
            <v>-30.3475</v>
          </cell>
          <cell r="FH201">
            <v>-414.5</v>
          </cell>
          <cell r="FI201">
            <v>-104.78699999999981</v>
          </cell>
          <cell r="FJ201">
            <v>-102.5</v>
          </cell>
          <cell r="FK201">
            <v>-102.5</v>
          </cell>
          <cell r="FM201">
            <v>0</v>
          </cell>
          <cell r="FN201">
            <v>-309.78699999999935</v>
          </cell>
          <cell r="FO201">
            <v>0</v>
          </cell>
          <cell r="FP201">
            <v>-57</v>
          </cell>
          <cell r="FR201">
            <v>-57</v>
          </cell>
          <cell r="FS201">
            <v>-29.9</v>
          </cell>
          <cell r="FT201">
            <v>-841.53449999999884</v>
          </cell>
          <cell r="FU201">
            <v>0</v>
          </cell>
          <cell r="FV201">
            <v>-841.53449999999884</v>
          </cell>
          <cell r="FX201">
            <v>-309.78699999999935</v>
          </cell>
          <cell r="FY201">
            <v>-57</v>
          </cell>
          <cell r="GA201">
            <v>-366.78699999999935</v>
          </cell>
          <cell r="GB201">
            <v>-371.70543060733547</v>
          </cell>
          <cell r="GC201">
            <v>-841.53449999999884</v>
          </cell>
          <cell r="GD201">
            <v>-852.8190576367997</v>
          </cell>
          <cell r="GE201">
            <v>-474.74749999999949</v>
          </cell>
          <cell r="GF201">
            <v>4.1581932983168182</v>
          </cell>
          <cell r="GG201">
            <v>-1876.3999059970588</v>
          </cell>
          <cell r="GH201">
            <v>0</v>
          </cell>
        </row>
        <row r="202">
          <cell r="A202" t="str">
            <v>DEFERRED TAXES</v>
          </cell>
          <cell r="C202">
            <v>1274.1980000000001</v>
          </cell>
          <cell r="E202">
            <v>0</v>
          </cell>
          <cell r="G202">
            <v>-1706</v>
          </cell>
          <cell r="I202">
            <v>-431.80199999999991</v>
          </cell>
          <cell r="O202">
            <v>116.5</v>
          </cell>
          <cell r="Q202">
            <v>0</v>
          </cell>
          <cell r="S202">
            <v>0</v>
          </cell>
          <cell r="U202">
            <v>0</v>
          </cell>
          <cell r="W202">
            <v>-181.5</v>
          </cell>
          <cell r="X202">
            <v>-181.5</v>
          </cell>
          <cell r="Z202">
            <v>-56.972000000000001</v>
          </cell>
          <cell r="AD202">
            <v>-419.97199999999998</v>
          </cell>
          <cell r="AH202">
            <v>0</v>
          </cell>
          <cell r="AJ202">
            <v>0</v>
          </cell>
          <cell r="AL202">
            <v>-711.50199999999995</v>
          </cell>
          <cell r="AP202">
            <v>-711.50199999999995</v>
          </cell>
          <cell r="AR202">
            <v>0</v>
          </cell>
          <cell r="AT202">
            <v>-1446.7759999999998</v>
          </cell>
          <cell r="AX202">
            <v>-1446.7759999999998</v>
          </cell>
          <cell r="AZ202" t="str">
            <v>DEFERRED TAXES</v>
          </cell>
          <cell r="BC202">
            <v>0</v>
          </cell>
          <cell r="BE202">
            <v>0</v>
          </cell>
          <cell r="BG202">
            <v>0</v>
          </cell>
          <cell r="BI202">
            <v>0</v>
          </cell>
          <cell r="BO202">
            <v>141.5</v>
          </cell>
          <cell r="BQ202">
            <v>0</v>
          </cell>
          <cell r="BS202">
            <v>0</v>
          </cell>
          <cell r="BU202" t="str">
            <v xml:space="preserve"> </v>
          </cell>
          <cell r="BW202">
            <v>-1071.5</v>
          </cell>
          <cell r="BX202">
            <v>-1071.5</v>
          </cell>
          <cell r="BZ202">
            <v>293.47699999999998</v>
          </cell>
          <cell r="CD202">
            <v>-1849.5230000000001</v>
          </cell>
          <cell r="CH202">
            <v>0</v>
          </cell>
          <cell r="CJ202">
            <v>0</v>
          </cell>
          <cell r="CL202">
            <v>-2871</v>
          </cell>
          <cell r="CP202">
            <v>-2871</v>
          </cell>
          <cell r="CR202">
            <v>0</v>
          </cell>
          <cell r="CT202">
            <v>-4579.0230000000001</v>
          </cell>
          <cell r="CU202">
            <v>0</v>
          </cell>
          <cell r="CV202">
            <v>0</v>
          </cell>
          <cell r="CX202">
            <v>-4579.0230000000001</v>
          </cell>
          <cell r="FC202">
            <v>-608.28200000000004</v>
          </cell>
          <cell r="FE202">
            <v>-1121.7408198399999</v>
          </cell>
          <cell r="FF202">
            <v>-1730.02281984</v>
          </cell>
          <cell r="FH202">
            <v>509</v>
          </cell>
          <cell r="FJ202">
            <v>-1283.5</v>
          </cell>
          <cell r="FK202">
            <v>-1283.5</v>
          </cell>
          <cell r="FL202">
            <v>-54</v>
          </cell>
          <cell r="FN202">
            <v>-2621</v>
          </cell>
          <cell r="FO202">
            <v>0</v>
          </cell>
          <cell r="FP202">
            <v>-4225</v>
          </cell>
          <cell r="FR202">
            <v>-4225</v>
          </cell>
          <cell r="FS202">
            <v>0</v>
          </cell>
          <cell r="FT202">
            <v>-8067.02281984</v>
          </cell>
          <cell r="FU202">
            <v>0</v>
          </cell>
          <cell r="FV202">
            <v>-8067.02281984</v>
          </cell>
          <cell r="FW202" t="str">
            <v>DEFERRED TAXES</v>
          </cell>
          <cell r="FX202">
            <v>-2621</v>
          </cell>
          <cell r="FY202">
            <v>-4225</v>
          </cell>
          <cell r="GA202">
            <v>-6846</v>
          </cell>
          <cell r="GB202">
            <v>-6937.8014431749853</v>
          </cell>
          <cell r="GC202">
            <v>-8067.02281984</v>
          </cell>
          <cell r="GD202">
            <v>-8175.197569618972</v>
          </cell>
          <cell r="GE202">
            <v>-1221.02281984</v>
          </cell>
          <cell r="GF202">
            <v>5.5758616536630417</v>
          </cell>
          <cell r="GG202">
            <v>-3680.1071195297195</v>
          </cell>
          <cell r="GH202">
            <v>0</v>
          </cell>
        </row>
        <row r="203">
          <cell r="A203" t="str">
            <v>BANK LONG TERM LOANS</v>
          </cell>
          <cell r="C203">
            <v>-9226.8590000000004</v>
          </cell>
          <cell r="I203">
            <v>-9226.8590000000004</v>
          </cell>
          <cell r="O203">
            <v>-33</v>
          </cell>
          <cell r="Q203">
            <v>-14005.446</v>
          </cell>
          <cell r="U203">
            <v>-14005.446</v>
          </cell>
          <cell r="W203">
            <v>-2099</v>
          </cell>
          <cell r="X203">
            <v>-2099</v>
          </cell>
          <cell r="AD203">
            <v>-18203.446</v>
          </cell>
          <cell r="AJ203">
            <v>0</v>
          </cell>
          <cell r="AL203">
            <v>-27178</v>
          </cell>
          <cell r="AP203">
            <v>-27178</v>
          </cell>
          <cell r="AT203">
            <v>-54641.305</v>
          </cell>
          <cell r="AX203">
            <v>-54641.305</v>
          </cell>
          <cell r="AZ203" t="str">
            <v>BANK LONG TERM LOANS</v>
          </cell>
          <cell r="BC203">
            <v>-38383.699999999997</v>
          </cell>
          <cell r="BI203">
            <v>-38383.699999999997</v>
          </cell>
          <cell r="BO203">
            <v>-136.5</v>
          </cell>
          <cell r="BQ203">
            <v>-58260.652000000002</v>
          </cell>
          <cell r="BU203">
            <v>-58260.652000000002</v>
          </cell>
          <cell r="BW203">
            <v>-8731.5</v>
          </cell>
          <cell r="BX203">
            <v>-8731.5</v>
          </cell>
          <cell r="CD203">
            <v>-75723.652000000002</v>
          </cell>
          <cell r="CJ203">
            <v>0</v>
          </cell>
          <cell r="CL203">
            <v>-113062</v>
          </cell>
          <cell r="CP203">
            <v>-113062</v>
          </cell>
          <cell r="CT203">
            <v>-227305.85200000001</v>
          </cell>
          <cell r="CU203">
            <v>0</v>
          </cell>
          <cell r="CX203">
            <v>-227305.85200000001</v>
          </cell>
          <cell r="FC203">
            <v>-38383.732000000004</v>
          </cell>
          <cell r="FF203">
            <v>-38383.732000000004</v>
          </cell>
          <cell r="FH203">
            <v>-136.5</v>
          </cell>
          <cell r="FI203">
            <v>-58260.652000000002</v>
          </cell>
          <cell r="FJ203">
            <v>-8731.5</v>
          </cell>
          <cell r="FK203">
            <v>-8731.5</v>
          </cell>
          <cell r="FN203">
            <v>-75723.652000000002</v>
          </cell>
          <cell r="FO203">
            <v>0</v>
          </cell>
          <cell r="FP203">
            <v>-113062</v>
          </cell>
          <cell r="FR203">
            <v>-113062</v>
          </cell>
          <cell r="FS203">
            <v>0</v>
          </cell>
          <cell r="FT203">
            <v>-227305.88400000002</v>
          </cell>
          <cell r="FV203">
            <v>-227305.88400000002</v>
          </cell>
          <cell r="FW203" t="str">
            <v>BANK LONG TERM LOANS</v>
          </cell>
          <cell r="FX203">
            <v>-75723.652000000002</v>
          </cell>
          <cell r="FY203">
            <v>-113062</v>
          </cell>
          <cell r="GA203">
            <v>-188785.652</v>
          </cell>
          <cell r="GB203">
            <v>-191317.17337077571</v>
          </cell>
          <cell r="GC203">
            <v>-227305.88400000002</v>
          </cell>
          <cell r="GD203">
            <v>-230353.94245652435</v>
          </cell>
          <cell r="GE203">
            <v>-38520.232000000018</v>
          </cell>
          <cell r="GF203">
            <v>4.1599644078778866</v>
          </cell>
          <cell r="GG203">
            <v>-179033.82779555846</v>
          </cell>
          <cell r="GH203">
            <v>0</v>
          </cell>
        </row>
        <row r="204">
          <cell r="A204" t="str">
            <v>Less current maturity</v>
          </cell>
          <cell r="C204">
            <v>704.9</v>
          </cell>
          <cell r="I204">
            <v>704.9</v>
          </cell>
          <cell r="O204">
            <v>22</v>
          </cell>
          <cell r="Q204">
            <v>1743.2809999999999</v>
          </cell>
          <cell r="U204">
            <v>1743.2809999999999</v>
          </cell>
          <cell r="W204">
            <v>1808.5</v>
          </cell>
          <cell r="X204">
            <v>1808.5</v>
          </cell>
          <cell r="AD204">
            <v>5360.2809999999999</v>
          </cell>
          <cell r="AJ204">
            <v>0</v>
          </cell>
          <cell r="AL204">
            <v>6067.473</v>
          </cell>
          <cell r="AP204">
            <v>6067.473</v>
          </cell>
          <cell r="AT204">
            <v>12154.653999999999</v>
          </cell>
          <cell r="AX204">
            <v>12154.653999999999</v>
          </cell>
          <cell r="AZ204" t="str">
            <v>Less current maturity</v>
          </cell>
          <cell r="BC204">
            <v>2575.0320000000002</v>
          </cell>
          <cell r="BG204">
            <v>0</v>
          </cell>
          <cell r="BI204">
            <v>2575.0320000000002</v>
          </cell>
          <cell r="BO204">
            <v>90.5</v>
          </cell>
          <cell r="BQ204">
            <v>7252.0470000000005</v>
          </cell>
          <cell r="BU204">
            <v>7252.0470000000005</v>
          </cell>
          <cell r="BW204">
            <v>7523</v>
          </cell>
          <cell r="BX204">
            <v>7523</v>
          </cell>
          <cell r="CD204">
            <v>22298.046999999999</v>
          </cell>
          <cell r="CJ204">
            <v>0</v>
          </cell>
          <cell r="CL204">
            <v>25241</v>
          </cell>
          <cell r="CP204">
            <v>25241</v>
          </cell>
          <cell r="CT204">
            <v>50204.578999999998</v>
          </cell>
          <cell r="CU204">
            <v>0</v>
          </cell>
          <cell r="CX204">
            <v>50204.578999999998</v>
          </cell>
          <cell r="FC204">
            <v>2932.384</v>
          </cell>
          <cell r="FF204">
            <v>2932.384</v>
          </cell>
          <cell r="FH204">
            <v>90.5</v>
          </cell>
          <cell r="FI204">
            <v>7252.0470000000005</v>
          </cell>
          <cell r="FJ204">
            <v>7523</v>
          </cell>
          <cell r="FK204">
            <v>7523</v>
          </cell>
          <cell r="FN204">
            <v>22298.046999999999</v>
          </cell>
          <cell r="FO204">
            <v>0</v>
          </cell>
          <cell r="FP204">
            <v>25241</v>
          </cell>
          <cell r="FR204">
            <v>25241</v>
          </cell>
          <cell r="FS204">
            <v>0</v>
          </cell>
          <cell r="FT204">
            <v>50561.930999999997</v>
          </cell>
          <cell r="FV204">
            <v>50561.930999999997</v>
          </cell>
          <cell r="FW204" t="str">
            <v>Less current maturity</v>
          </cell>
          <cell r="FX204">
            <v>22298.046999999999</v>
          </cell>
          <cell r="FY204">
            <v>25241</v>
          </cell>
          <cell r="GA204">
            <v>47539.046999999999</v>
          </cell>
          <cell r="GB204">
            <v>48176.52189362597</v>
          </cell>
          <cell r="GC204">
            <v>50561.930999999997</v>
          </cell>
          <cell r="GD204">
            <v>51239.941259350569</v>
          </cell>
          <cell r="GE204">
            <v>3022.8839999999982</v>
          </cell>
          <cell r="GF204">
            <v>4.1598823792104653</v>
          </cell>
          <cell r="GG204">
            <v>27337.758290006532</v>
          </cell>
          <cell r="GH204">
            <v>0</v>
          </cell>
        </row>
        <row r="205">
          <cell r="A205" t="str">
            <v>Total long term loans from banks</v>
          </cell>
          <cell r="C205">
            <v>-8521.9590000000007</v>
          </cell>
          <cell r="E205">
            <v>0</v>
          </cell>
          <cell r="G205">
            <v>0</v>
          </cell>
          <cell r="I205">
            <v>-8521.9590000000007</v>
          </cell>
          <cell r="O205">
            <v>-11</v>
          </cell>
          <cell r="Q205">
            <v>-12262.165000000001</v>
          </cell>
          <cell r="S205">
            <v>0</v>
          </cell>
          <cell r="U205">
            <v>-12262.165000000001</v>
          </cell>
          <cell r="W205">
            <v>-290.5</v>
          </cell>
          <cell r="X205">
            <v>-290.5</v>
          </cell>
          <cell r="Z205">
            <v>0</v>
          </cell>
          <cell r="AB205">
            <v>0</v>
          </cell>
          <cell r="AD205">
            <v>-12843.165000000001</v>
          </cell>
          <cell r="AF205">
            <v>0</v>
          </cell>
          <cell r="AH205">
            <v>0</v>
          </cell>
          <cell r="AJ205">
            <v>0</v>
          </cell>
          <cell r="AL205">
            <v>-21110.527000000002</v>
          </cell>
          <cell r="AN205">
            <v>0</v>
          </cell>
          <cell r="AP205">
            <v>-21110.527000000002</v>
          </cell>
          <cell r="AR205">
            <v>0</v>
          </cell>
          <cell r="AT205">
            <v>-42486.650999999998</v>
          </cell>
          <cell r="AV205">
            <v>0</v>
          </cell>
          <cell r="AX205">
            <v>-42486.650999999998</v>
          </cell>
          <cell r="AZ205" t="str">
            <v>Total long term loans from banks</v>
          </cell>
          <cell r="BC205">
            <v>-35808.667999999998</v>
          </cell>
          <cell r="BE205">
            <v>0</v>
          </cell>
          <cell r="BG205">
            <v>0</v>
          </cell>
          <cell r="BI205">
            <v>-35808.667999999998</v>
          </cell>
          <cell r="BO205">
            <v>-46</v>
          </cell>
          <cell r="BQ205">
            <v>-51008.605000000003</v>
          </cell>
          <cell r="BS205">
            <v>0</v>
          </cell>
          <cell r="BU205">
            <v>-51008.605000000003</v>
          </cell>
          <cell r="BW205">
            <v>-1208.5</v>
          </cell>
          <cell r="BX205">
            <v>-1208.5</v>
          </cell>
          <cell r="BZ205">
            <v>0</v>
          </cell>
          <cell r="CB205">
            <v>0</v>
          </cell>
          <cell r="CD205">
            <v>-53425.605000000003</v>
          </cell>
          <cell r="CF205">
            <v>0</v>
          </cell>
          <cell r="CH205">
            <v>0</v>
          </cell>
          <cell r="CJ205">
            <v>0</v>
          </cell>
          <cell r="CL205">
            <v>-87821</v>
          </cell>
          <cell r="CN205">
            <v>0</v>
          </cell>
          <cell r="CP205">
            <v>-87821</v>
          </cell>
          <cell r="CR205">
            <v>0</v>
          </cell>
          <cell r="CT205">
            <v>-177101.27300000002</v>
          </cell>
          <cell r="CU205">
            <v>0</v>
          </cell>
          <cell r="CV205">
            <v>0</v>
          </cell>
          <cell r="CX205">
            <v>-177101.27300000002</v>
          </cell>
          <cell r="FC205">
            <v>-35451.348000000005</v>
          </cell>
          <cell r="FD205">
            <v>0</v>
          </cell>
          <cell r="FE205">
            <v>0</v>
          </cell>
          <cell r="FF205">
            <v>-35451.348000000005</v>
          </cell>
          <cell r="FG205">
            <v>0</v>
          </cell>
          <cell r="FH205">
            <v>-46</v>
          </cell>
          <cell r="FI205">
            <v>-51008.605000000003</v>
          </cell>
          <cell r="FJ205">
            <v>-1208.5</v>
          </cell>
          <cell r="FK205">
            <v>-1208.5</v>
          </cell>
          <cell r="FL205">
            <v>0</v>
          </cell>
          <cell r="FM205">
            <v>0</v>
          </cell>
          <cell r="FN205">
            <v>-53425.605000000003</v>
          </cell>
          <cell r="FO205">
            <v>0</v>
          </cell>
          <cell r="FP205">
            <v>-87821</v>
          </cell>
          <cell r="FQ205">
            <v>0</v>
          </cell>
          <cell r="FR205">
            <v>-87821</v>
          </cell>
          <cell r="FS205">
            <v>0</v>
          </cell>
          <cell r="FT205">
            <v>-176743.95300000004</v>
          </cell>
          <cell r="FU205">
            <v>0</v>
          </cell>
          <cell r="FV205">
            <v>-176743.95300000004</v>
          </cell>
          <cell r="FW205" t="str">
            <v>Total long term loans from banks</v>
          </cell>
          <cell r="FX205">
            <v>-53425.605000000003</v>
          </cell>
          <cell r="FY205">
            <v>-87821</v>
          </cell>
          <cell r="FZ205">
            <v>0</v>
          </cell>
          <cell r="GA205">
            <v>-141246.60500000001</v>
          </cell>
          <cell r="GB205">
            <v>-143140.65147714975</v>
          </cell>
          <cell r="GC205">
            <v>-176743.95300000004</v>
          </cell>
          <cell r="GD205">
            <v>-179114.00119717378</v>
          </cell>
          <cell r="GE205">
            <v>-35497.34800000002</v>
          </cell>
          <cell r="GF205">
            <v>4.1599878747797758</v>
          </cell>
          <cell r="GG205">
            <v>-151696.06950555192</v>
          </cell>
          <cell r="GH205">
            <v>0</v>
          </cell>
        </row>
        <row r="206">
          <cell r="A206" t="str">
            <v>RELATED LONG TERM LOANS</v>
          </cell>
          <cell r="AT206">
            <v>0</v>
          </cell>
          <cell r="AZ206" t="str">
            <v>RELATED LONG TERM LOANS</v>
          </cell>
          <cell r="BX206">
            <v>0</v>
          </cell>
          <cell r="CD206">
            <v>0</v>
          </cell>
          <cell r="CT206">
            <v>0</v>
          </cell>
          <cell r="CU206">
            <v>0</v>
          </cell>
          <cell r="FS206">
            <v>0</v>
          </cell>
          <cell r="FW206" t="str">
            <v>RELATED LONG TERM LOANS</v>
          </cell>
          <cell r="FX206">
            <v>0</v>
          </cell>
          <cell r="FY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 t="e">
            <v>#DIV/0!</v>
          </cell>
          <cell r="GH206">
            <v>0</v>
          </cell>
        </row>
        <row r="207">
          <cell r="A207" t="str">
            <v>AUREC</v>
          </cell>
          <cell r="C207">
            <v>-217.54699999999957</v>
          </cell>
          <cell r="G207">
            <v>-315.56</v>
          </cell>
          <cell r="I207">
            <v>-533.10699999999952</v>
          </cell>
          <cell r="U207">
            <v>0</v>
          </cell>
          <cell r="AD207">
            <v>0</v>
          </cell>
          <cell r="AJ207">
            <v>0</v>
          </cell>
          <cell r="AP207">
            <v>0</v>
          </cell>
          <cell r="AT207">
            <v>-533.10699999999952</v>
          </cell>
          <cell r="AX207">
            <v>-533.10699999999952</v>
          </cell>
          <cell r="AZ207" t="str">
            <v>AUREC</v>
          </cell>
          <cell r="BC207">
            <v>843.38299999999981</v>
          </cell>
          <cell r="BE207">
            <v>0</v>
          </cell>
          <cell r="BG207">
            <v>-3061.3550000000005</v>
          </cell>
          <cell r="BI207">
            <v>-2217.9720000000007</v>
          </cell>
          <cell r="BU207">
            <v>0</v>
          </cell>
          <cell r="BX207">
            <v>0</v>
          </cell>
          <cell r="CD207">
            <v>0</v>
          </cell>
          <cell r="CJ207">
            <v>0</v>
          </cell>
          <cell r="CP207">
            <v>0</v>
          </cell>
          <cell r="CT207">
            <v>-2217.9720000000007</v>
          </cell>
          <cell r="CU207">
            <v>0</v>
          </cell>
          <cell r="CV207">
            <v>0</v>
          </cell>
          <cell r="CX207">
            <v>-2217.9720000000007</v>
          </cell>
          <cell r="FC207">
            <v>-2217.9720000000016</v>
          </cell>
          <cell r="FF207">
            <v>-2217.9720000000016</v>
          </cell>
          <cell r="FN207">
            <v>0</v>
          </cell>
          <cell r="FO207">
            <v>0</v>
          </cell>
          <cell r="FR207">
            <v>0</v>
          </cell>
          <cell r="FS207">
            <v>0</v>
          </cell>
          <cell r="FT207">
            <v>-2217.9720000000016</v>
          </cell>
          <cell r="FU207">
            <v>0</v>
          </cell>
          <cell r="FV207">
            <v>-2217.9720000000016</v>
          </cell>
          <cell r="FW207" t="str">
            <v>AUREC</v>
          </cell>
          <cell r="FX207">
            <v>0</v>
          </cell>
          <cell r="FY207">
            <v>0</v>
          </cell>
          <cell r="GA207">
            <v>0</v>
          </cell>
          <cell r="GB207">
            <v>0</v>
          </cell>
          <cell r="GC207">
            <v>-2217.9720000000016</v>
          </cell>
          <cell r="GD207">
            <v>-2247.7138975345774</v>
          </cell>
          <cell r="GE207">
            <v>-2217.9720000000016</v>
          </cell>
          <cell r="GF207">
            <v>4.1604630965265956</v>
          </cell>
          <cell r="GG207">
            <v>-14798.536253429133</v>
          </cell>
          <cell r="GH207">
            <v>0</v>
          </cell>
        </row>
        <row r="208">
          <cell r="A208" t="str">
            <v>ELNET-CAP.NOTE</v>
          </cell>
          <cell r="C208">
            <v>-40384.614999999998</v>
          </cell>
          <cell r="I208">
            <v>-40384.614999999998</v>
          </cell>
          <cell r="U208">
            <v>0</v>
          </cell>
          <cell r="AD208">
            <v>0</v>
          </cell>
          <cell r="AJ208">
            <v>0</v>
          </cell>
          <cell r="AP208">
            <v>0</v>
          </cell>
          <cell r="AT208">
            <v>-40384.614999999998</v>
          </cell>
          <cell r="AV208">
            <v>0</v>
          </cell>
          <cell r="AX208">
            <v>-40384.614999999998</v>
          </cell>
          <cell r="AZ208" t="str">
            <v>ELNET-CAP.NOTE</v>
          </cell>
          <cell r="BC208">
            <v>-168000</v>
          </cell>
          <cell r="BE208">
            <v>0</v>
          </cell>
          <cell r="BI208">
            <v>-168000</v>
          </cell>
          <cell r="BU208">
            <v>0</v>
          </cell>
          <cell r="BX208">
            <v>0</v>
          </cell>
          <cell r="CD208">
            <v>0</v>
          </cell>
          <cell r="CJ208">
            <v>0</v>
          </cell>
          <cell r="CP208">
            <v>0</v>
          </cell>
          <cell r="CT208">
            <v>-168000</v>
          </cell>
          <cell r="CU208">
            <v>0</v>
          </cell>
          <cell r="CV208">
            <v>0</v>
          </cell>
          <cell r="CX208">
            <v>-168000</v>
          </cell>
          <cell r="FC208">
            <v>-168000</v>
          </cell>
          <cell r="FF208">
            <v>-168000</v>
          </cell>
          <cell r="FN208">
            <v>0</v>
          </cell>
          <cell r="FO208">
            <v>0</v>
          </cell>
          <cell r="FR208">
            <v>0</v>
          </cell>
          <cell r="FS208">
            <v>0</v>
          </cell>
          <cell r="FT208">
            <v>-168000</v>
          </cell>
          <cell r="FU208">
            <v>0</v>
          </cell>
          <cell r="FV208">
            <v>-168000</v>
          </cell>
          <cell r="FW208" t="str">
            <v>ELNET-CAP.NOTE</v>
          </cell>
          <cell r="FX208">
            <v>0</v>
          </cell>
          <cell r="FY208">
            <v>0</v>
          </cell>
          <cell r="GA208">
            <v>0</v>
          </cell>
          <cell r="GB208">
            <v>0</v>
          </cell>
          <cell r="GC208">
            <v>-168000</v>
          </cell>
          <cell r="GD208">
            <v>-170252.79615153337</v>
          </cell>
          <cell r="GE208">
            <v>-168000</v>
          </cell>
          <cell r="GF208">
            <v>4.1600000396190486</v>
          </cell>
          <cell r="GG208">
            <v>0</v>
          </cell>
          <cell r="GH208">
            <v>0</v>
          </cell>
        </row>
        <row r="209">
          <cell r="A209" t="str">
            <v>ELNET-LOANS</v>
          </cell>
          <cell r="C209">
            <v>-13293.025</v>
          </cell>
          <cell r="G209">
            <v>-1400.6289999999999</v>
          </cell>
          <cell r="I209">
            <v>-14693.653999999999</v>
          </cell>
          <cell r="U209">
            <v>0</v>
          </cell>
          <cell r="AD209">
            <v>0</v>
          </cell>
          <cell r="AJ209">
            <v>0</v>
          </cell>
          <cell r="AP209">
            <v>0</v>
          </cell>
          <cell r="AT209">
            <v>-14693.653999999999</v>
          </cell>
          <cell r="AV209">
            <v>0</v>
          </cell>
          <cell r="AX209">
            <v>-14693.653999999999</v>
          </cell>
          <cell r="AZ209" t="str">
            <v>ELNET-LOANS</v>
          </cell>
          <cell r="BC209">
            <v>-43783.964999999997</v>
          </cell>
          <cell r="BG209">
            <v>-17341.833999999999</v>
          </cell>
          <cell r="BI209">
            <v>-61125.798999999999</v>
          </cell>
          <cell r="BU209">
            <v>0</v>
          </cell>
          <cell r="BX209">
            <v>0</v>
          </cell>
          <cell r="CD209">
            <v>0</v>
          </cell>
          <cell r="CJ209">
            <v>0</v>
          </cell>
          <cell r="CP209">
            <v>0</v>
          </cell>
          <cell r="CT209">
            <v>-61125.798999999999</v>
          </cell>
          <cell r="CU209">
            <v>0</v>
          </cell>
          <cell r="CV209">
            <v>0</v>
          </cell>
          <cell r="CX209">
            <v>-61125.798999999999</v>
          </cell>
          <cell r="FC209">
            <v>-58400.798999999999</v>
          </cell>
          <cell r="FE209">
            <v>-2725</v>
          </cell>
          <cell r="FF209">
            <v>-61125.798999999999</v>
          </cell>
          <cell r="FN209">
            <v>0</v>
          </cell>
          <cell r="FO209">
            <v>0</v>
          </cell>
          <cell r="FR209">
            <v>0</v>
          </cell>
          <cell r="FS209">
            <v>0</v>
          </cell>
          <cell r="FT209">
            <v>-61125.798999999999</v>
          </cell>
          <cell r="FU209">
            <v>0</v>
          </cell>
          <cell r="FV209">
            <v>-61125.798999999999</v>
          </cell>
          <cell r="FW209" t="str">
            <v>ELNET-LOANS</v>
          </cell>
          <cell r="FX209">
            <v>0</v>
          </cell>
          <cell r="FY209">
            <v>0</v>
          </cell>
          <cell r="GA209">
            <v>0</v>
          </cell>
          <cell r="GB209">
            <v>0</v>
          </cell>
          <cell r="GC209">
            <v>-61125.798999999999</v>
          </cell>
          <cell r="GD209">
            <v>-61945.465456825012</v>
          </cell>
          <cell r="GE209">
            <v>-61125.798999999999</v>
          </cell>
          <cell r="GF209">
            <v>4.160013499705383</v>
          </cell>
          <cell r="GG209">
            <v>-118697.75140822993</v>
          </cell>
          <cell r="GH209">
            <v>0</v>
          </cell>
        </row>
        <row r="210">
          <cell r="A210" t="str">
            <v>ALIS</v>
          </cell>
          <cell r="I210">
            <v>0</v>
          </cell>
          <cell r="U210">
            <v>0</v>
          </cell>
          <cell r="AD210">
            <v>0</v>
          </cell>
          <cell r="AF210">
            <v>-260.149</v>
          </cell>
          <cell r="AJ210">
            <v>-260.149</v>
          </cell>
          <cell r="AP210">
            <v>-260.149</v>
          </cell>
          <cell r="AR210">
            <v>-15017.421</v>
          </cell>
          <cell r="AT210">
            <v>-15277.57</v>
          </cell>
          <cell r="AV210">
            <v>15277.57</v>
          </cell>
          <cell r="AX210">
            <v>0</v>
          </cell>
          <cell r="AZ210" t="str">
            <v>ALIS</v>
          </cell>
          <cell r="BE210">
            <v>0</v>
          </cell>
          <cell r="BI210">
            <v>0</v>
          </cell>
          <cell r="BU210">
            <v>0</v>
          </cell>
          <cell r="BX210">
            <v>0</v>
          </cell>
          <cell r="CD210">
            <v>0</v>
          </cell>
          <cell r="CF210">
            <v>-1082.2190000000001</v>
          </cell>
          <cell r="CJ210">
            <v>-1082.2190000000001</v>
          </cell>
          <cell r="CP210">
            <v>-1082.2190000000001</v>
          </cell>
          <cell r="CR210">
            <v>-62472.469000000005</v>
          </cell>
          <cell r="CT210">
            <v>-63554.688000000002</v>
          </cell>
          <cell r="CU210">
            <v>0</v>
          </cell>
          <cell r="CV210">
            <v>63554.688000000002</v>
          </cell>
          <cell r="CX210">
            <v>0</v>
          </cell>
          <cell r="FN210">
            <v>0</v>
          </cell>
          <cell r="FO210">
            <v>-1082.2190000000001</v>
          </cell>
          <cell r="FR210">
            <v>-1082.2190000000001</v>
          </cell>
          <cell r="FS210">
            <v>-62472.469000000005</v>
          </cell>
          <cell r="FT210">
            <v>-63554.688000000002</v>
          </cell>
          <cell r="FU210">
            <v>63554.688000000002</v>
          </cell>
          <cell r="FV210">
            <v>0</v>
          </cell>
          <cell r="FW210" t="str">
            <v>ALIS</v>
          </cell>
          <cell r="FX210">
            <v>0</v>
          </cell>
          <cell r="FY210">
            <v>-1082.2190000000001</v>
          </cell>
          <cell r="GA210">
            <v>-1082.2190000000001</v>
          </cell>
          <cell r="GB210">
            <v>-1096.7310166566444</v>
          </cell>
          <cell r="GC210">
            <v>0</v>
          </cell>
          <cell r="GD210">
            <v>0</v>
          </cell>
          <cell r="GE210">
            <v>1082.2190000000001</v>
          </cell>
          <cell r="GF210" t="e">
            <v>#DIV/0!</v>
          </cell>
          <cell r="GG210">
            <v>0</v>
          </cell>
          <cell r="GH210">
            <v>0</v>
          </cell>
        </row>
        <row r="211">
          <cell r="A211" t="str">
            <v>IEDIOT</v>
          </cell>
          <cell r="G211">
            <v>0</v>
          </cell>
          <cell r="I211">
            <v>0</v>
          </cell>
          <cell r="U211">
            <v>0</v>
          </cell>
          <cell r="AD211">
            <v>0</v>
          </cell>
          <cell r="AF211">
            <v>-118.869</v>
          </cell>
          <cell r="AJ211">
            <v>-118.869</v>
          </cell>
          <cell r="AP211">
            <v>-118.869</v>
          </cell>
          <cell r="AR211">
            <v>-6457.37</v>
          </cell>
          <cell r="AT211">
            <v>-6576.2389999999996</v>
          </cell>
          <cell r="AX211">
            <v>-6576.2389999999996</v>
          </cell>
          <cell r="AZ211" t="str">
            <v>IEDIOT</v>
          </cell>
          <cell r="BG211">
            <v>0</v>
          </cell>
          <cell r="BI211">
            <v>0</v>
          </cell>
          <cell r="BU211">
            <v>0</v>
          </cell>
          <cell r="BX211">
            <v>0</v>
          </cell>
          <cell r="CD211">
            <v>0</v>
          </cell>
          <cell r="CF211">
            <v>-494.495</v>
          </cell>
          <cell r="CJ211">
            <v>-494.495</v>
          </cell>
          <cell r="CP211">
            <v>-494.495</v>
          </cell>
          <cell r="CR211">
            <v>-26862.66</v>
          </cell>
          <cell r="CT211">
            <v>-27357.154999999999</v>
          </cell>
          <cell r="CU211">
            <v>0</v>
          </cell>
          <cell r="CV211">
            <v>0</v>
          </cell>
          <cell r="CX211">
            <v>-27357.154999999999</v>
          </cell>
          <cell r="FE211">
            <v>0</v>
          </cell>
          <cell r="FN211">
            <v>0</v>
          </cell>
          <cell r="FO211">
            <v>-494.495</v>
          </cell>
          <cell r="FR211">
            <v>-494.495</v>
          </cell>
          <cell r="FS211">
            <v>-26862.66</v>
          </cell>
          <cell r="FT211">
            <v>-27357.154999999999</v>
          </cell>
          <cell r="FU211">
            <v>0</v>
          </cell>
          <cell r="FV211">
            <v>-27357.154999999999</v>
          </cell>
          <cell r="FW211" t="str">
            <v>IEDIOT</v>
          </cell>
          <cell r="FX211">
            <v>0</v>
          </cell>
          <cell r="FY211">
            <v>-494.495</v>
          </cell>
          <cell r="GA211">
            <v>-494.495</v>
          </cell>
          <cell r="GB211">
            <v>-501.12593114852672</v>
          </cell>
          <cell r="GC211">
            <v>-27357.154999999999</v>
          </cell>
          <cell r="GD211">
            <v>-27724.000794648226</v>
          </cell>
          <cell r="GE211">
            <v>-26862.66</v>
          </cell>
          <cell r="GF211">
            <v>4.1600001155675761</v>
          </cell>
          <cell r="GG211">
            <v>-24617.503057822021</v>
          </cell>
          <cell r="GH211">
            <v>0</v>
          </cell>
        </row>
        <row r="212">
          <cell r="A212" t="str">
            <v>MONITIN</v>
          </cell>
          <cell r="G212">
            <v>0</v>
          </cell>
          <cell r="I212">
            <v>0</v>
          </cell>
          <cell r="U212">
            <v>0</v>
          </cell>
          <cell r="AD212">
            <v>0</v>
          </cell>
          <cell r="AJ212">
            <v>0</v>
          </cell>
          <cell r="AN212">
            <v>0</v>
          </cell>
          <cell r="AP212">
            <v>0</v>
          </cell>
          <cell r="AT212">
            <v>0</v>
          </cell>
          <cell r="AV212">
            <v>0</v>
          </cell>
          <cell r="AX212">
            <v>0</v>
          </cell>
          <cell r="AZ212" t="str">
            <v>MONITIN</v>
          </cell>
          <cell r="BE212">
            <v>0</v>
          </cell>
          <cell r="BG212">
            <v>0</v>
          </cell>
          <cell r="BI212">
            <v>0</v>
          </cell>
          <cell r="BU212">
            <v>0</v>
          </cell>
          <cell r="BX212">
            <v>0</v>
          </cell>
          <cell r="CD212">
            <v>0</v>
          </cell>
          <cell r="CJ212">
            <v>0</v>
          </cell>
          <cell r="CN212">
            <v>0</v>
          </cell>
          <cell r="CP212">
            <v>0</v>
          </cell>
          <cell r="CT212">
            <v>0</v>
          </cell>
          <cell r="CU212">
            <v>0</v>
          </cell>
          <cell r="CV212">
            <v>0</v>
          </cell>
          <cell r="CX212">
            <v>0</v>
          </cell>
          <cell r="FE212">
            <v>0</v>
          </cell>
          <cell r="FN212">
            <v>0</v>
          </cell>
          <cell r="FO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 t="str">
            <v>MONITIN</v>
          </cell>
          <cell r="FX212">
            <v>0</v>
          </cell>
          <cell r="FY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 t="e">
            <v>#DIV/0!</v>
          </cell>
          <cell r="GG212">
            <v>-2309.747325930764</v>
          </cell>
          <cell r="GH212">
            <v>0</v>
          </cell>
        </row>
        <row r="213">
          <cell r="A213" t="str">
            <v>G.C.&amp; CO.</v>
          </cell>
          <cell r="M213">
            <v>0</v>
          </cell>
          <cell r="Z213">
            <v>-1046.6179999999999</v>
          </cell>
          <cell r="AB213">
            <v>1046.6179999999999</v>
          </cell>
          <cell r="AD213">
            <v>0</v>
          </cell>
          <cell r="AJ213">
            <v>0</v>
          </cell>
          <cell r="AP213">
            <v>0</v>
          </cell>
          <cell r="AT213">
            <v>0</v>
          </cell>
          <cell r="AX213">
            <v>0</v>
          </cell>
          <cell r="AZ213" t="str">
            <v>G.C.&amp; CO.</v>
          </cell>
          <cell r="BX213">
            <v>0</v>
          </cell>
          <cell r="BZ213">
            <v>-4353.9319999999998</v>
          </cell>
          <cell r="CB213">
            <v>4353.9319999999998</v>
          </cell>
          <cell r="CD213">
            <v>0</v>
          </cell>
          <cell r="CJ213">
            <v>0</v>
          </cell>
          <cell r="CP213">
            <v>0</v>
          </cell>
          <cell r="CT213">
            <v>0</v>
          </cell>
          <cell r="CU213">
            <v>0</v>
          </cell>
          <cell r="CX213">
            <v>0</v>
          </cell>
          <cell r="FG213">
            <v>0</v>
          </cell>
          <cell r="FL213">
            <v>-4353.9319999999998</v>
          </cell>
          <cell r="FM213">
            <v>4353.9319999999998</v>
          </cell>
          <cell r="FN213">
            <v>0</v>
          </cell>
          <cell r="FO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 t="str">
            <v>G.C.&amp; CO.</v>
          </cell>
          <cell r="FX213">
            <v>0</v>
          </cell>
          <cell r="FY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 t="e">
            <v>#DIV/0!</v>
          </cell>
          <cell r="GG213">
            <v>0</v>
          </cell>
          <cell r="GH213">
            <v>0</v>
          </cell>
        </row>
        <row r="214">
          <cell r="A214" t="str">
            <v>SIGNAL</v>
          </cell>
          <cell r="W214">
            <v>-125.5</v>
          </cell>
          <cell r="X214">
            <v>-125.5</v>
          </cell>
          <cell r="Z214">
            <v>-448.55099999999999</v>
          </cell>
          <cell r="AD214">
            <v>-699.55099999999993</v>
          </cell>
          <cell r="AJ214">
            <v>0</v>
          </cell>
          <cell r="AP214">
            <v>0</v>
          </cell>
          <cell r="AT214">
            <v>-699.55099999999993</v>
          </cell>
          <cell r="AX214">
            <v>-699.55099999999993</v>
          </cell>
          <cell r="AZ214" t="str">
            <v>SIGNAL</v>
          </cell>
          <cell r="BW214">
            <v>-523</v>
          </cell>
          <cell r="BX214">
            <v>-523</v>
          </cell>
          <cell r="BZ214">
            <v>-1865.971</v>
          </cell>
          <cell r="CD214">
            <v>-2911.971</v>
          </cell>
          <cell r="CJ214">
            <v>0</v>
          </cell>
          <cell r="CP214">
            <v>0</v>
          </cell>
          <cell r="CT214">
            <v>-2911.971</v>
          </cell>
          <cell r="CU214">
            <v>0</v>
          </cell>
          <cell r="CX214">
            <v>-2911.971</v>
          </cell>
          <cell r="FJ214">
            <v>-523</v>
          </cell>
          <cell r="FK214">
            <v>-523</v>
          </cell>
          <cell r="FL214">
            <v>-1865.971</v>
          </cell>
          <cell r="FN214">
            <v>-2911.971</v>
          </cell>
          <cell r="FO214">
            <v>0</v>
          </cell>
          <cell r="FR214">
            <v>0</v>
          </cell>
          <cell r="FS214">
            <v>0</v>
          </cell>
          <cell r="FT214">
            <v>-2911.971</v>
          </cell>
          <cell r="FV214">
            <v>-2911.971</v>
          </cell>
          <cell r="FW214" t="str">
            <v>SIGNAL</v>
          </cell>
          <cell r="FX214">
            <v>-2911.971</v>
          </cell>
          <cell r="FY214">
            <v>0</v>
          </cell>
          <cell r="GA214">
            <v>-2911.971</v>
          </cell>
          <cell r="GB214">
            <v>-2951.0190777510525</v>
          </cell>
          <cell r="GC214">
            <v>-2911.971</v>
          </cell>
          <cell r="GD214">
            <v>-2951.0190777510525</v>
          </cell>
          <cell r="GE214">
            <v>0</v>
          </cell>
          <cell r="GF214">
            <v>4.1626286003450792</v>
          </cell>
          <cell r="GG214">
            <v>-1865.9359381131444</v>
          </cell>
          <cell r="GH214">
            <v>0</v>
          </cell>
        </row>
        <row r="215">
          <cell r="C215">
            <v>-53895.186999999998</v>
          </cell>
          <cell r="E215">
            <v>0</v>
          </cell>
          <cell r="G215">
            <v>-1716.1889999999999</v>
          </cell>
          <cell r="I215">
            <v>-55611.375999999989</v>
          </cell>
          <cell r="O215">
            <v>0</v>
          </cell>
          <cell r="Q215">
            <v>0</v>
          </cell>
          <cell r="S215">
            <v>0</v>
          </cell>
          <cell r="U215">
            <v>0</v>
          </cell>
          <cell r="W215">
            <v>-125.5</v>
          </cell>
          <cell r="X215">
            <v>-125.5</v>
          </cell>
          <cell r="Z215">
            <v>-1495.1689999999999</v>
          </cell>
          <cell r="AB215">
            <v>1046.6179999999999</v>
          </cell>
          <cell r="AD215">
            <v>-699.55099999999993</v>
          </cell>
          <cell r="AF215">
            <v>-379.01800000000003</v>
          </cell>
          <cell r="AH215">
            <v>0</v>
          </cell>
          <cell r="AJ215">
            <v>-379.01800000000003</v>
          </cell>
          <cell r="AL215">
            <v>0</v>
          </cell>
          <cell r="AN215">
            <v>0</v>
          </cell>
          <cell r="AP215">
            <v>-379.01800000000003</v>
          </cell>
          <cell r="AR215">
            <v>-21474.791000000001</v>
          </cell>
          <cell r="AT215">
            <v>-78164.736000000004</v>
          </cell>
          <cell r="AV215">
            <v>15277.57</v>
          </cell>
          <cell r="AX215">
            <v>-62887.16599999999</v>
          </cell>
          <cell r="BC215">
            <v>-210940.58199999999</v>
          </cell>
          <cell r="BE215">
            <v>0</v>
          </cell>
          <cell r="BG215">
            <v>-20403.188999999998</v>
          </cell>
          <cell r="BI215">
            <v>-231343.77100000001</v>
          </cell>
          <cell r="BM215">
            <v>0</v>
          </cell>
          <cell r="BO215">
            <v>0</v>
          </cell>
          <cell r="BQ215">
            <v>0</v>
          </cell>
          <cell r="BS215">
            <v>0</v>
          </cell>
          <cell r="BU215">
            <v>0</v>
          </cell>
          <cell r="BW215">
            <v>-523</v>
          </cell>
          <cell r="BX215">
            <v>-523</v>
          </cell>
          <cell r="BZ215">
            <v>-6219.9030000000002</v>
          </cell>
          <cell r="CB215">
            <v>4353.9319999999998</v>
          </cell>
          <cell r="CD215">
            <v>-2911.9710000000005</v>
          </cell>
          <cell r="CF215">
            <v>-1576.7139999999999</v>
          </cell>
          <cell r="CH215">
            <v>0</v>
          </cell>
          <cell r="CJ215">
            <v>-1576.7139999999999</v>
          </cell>
          <cell r="CL215">
            <v>0</v>
          </cell>
          <cell r="CN215">
            <v>0</v>
          </cell>
          <cell r="CO215">
            <v>0</v>
          </cell>
          <cell r="CP215">
            <v>-1576.7139999999999</v>
          </cell>
          <cell r="CQ215">
            <v>0</v>
          </cell>
          <cell r="CR215">
            <v>-89335.129000000001</v>
          </cell>
          <cell r="CS215">
            <v>0</v>
          </cell>
          <cell r="CT215">
            <v>-325167.58500000008</v>
          </cell>
          <cell r="CU215">
            <v>0</v>
          </cell>
          <cell r="CV215">
            <v>63554.688000000002</v>
          </cell>
          <cell r="CW215">
            <v>0</v>
          </cell>
          <cell r="CX215">
            <v>-261612.897</v>
          </cell>
          <cell r="FC215">
            <v>-228618.77100000001</v>
          </cell>
          <cell r="FD215">
            <v>0</v>
          </cell>
          <cell r="FE215">
            <v>-2725</v>
          </cell>
          <cell r="FF215">
            <v>-231343.77100000001</v>
          </cell>
          <cell r="FG215">
            <v>0</v>
          </cell>
          <cell r="FH215">
            <v>0</v>
          </cell>
          <cell r="FI215">
            <v>0</v>
          </cell>
          <cell r="FJ215">
            <v>-523</v>
          </cell>
          <cell r="FK215">
            <v>-523</v>
          </cell>
          <cell r="FL215">
            <v>-6219.9030000000002</v>
          </cell>
          <cell r="FM215">
            <v>4353.9319999999998</v>
          </cell>
          <cell r="FN215">
            <v>-2911.971</v>
          </cell>
          <cell r="FO215">
            <v>-1576.7139999999999</v>
          </cell>
          <cell r="FP215">
            <v>0</v>
          </cell>
          <cell r="FQ215">
            <v>0</v>
          </cell>
          <cell r="FR215">
            <v>-1576.7139999999999</v>
          </cell>
          <cell r="FS215">
            <v>-89335.129000000001</v>
          </cell>
          <cell r="FT215">
            <v>-325167.58500000008</v>
          </cell>
          <cell r="FU215">
            <v>63554.688000000002</v>
          </cell>
          <cell r="FV215">
            <v>-261612.897</v>
          </cell>
          <cell r="FX215">
            <v>-2911.971</v>
          </cell>
          <cell r="FY215">
            <v>-1576.7139999999999</v>
          </cell>
          <cell r="FZ215">
            <v>0</v>
          </cell>
          <cell r="GA215">
            <v>-4488.6849999999995</v>
          </cell>
          <cell r="GB215">
            <v>-4548.8760255562238</v>
          </cell>
          <cell r="GC215">
            <v>-261612.897</v>
          </cell>
          <cell r="GD215">
            <v>-265120.99537829222</v>
          </cell>
          <cell r="GE215">
            <v>-257124.212</v>
          </cell>
          <cell r="GF215">
            <v>4.1600363578158381</v>
          </cell>
          <cell r="GG215">
            <v>-162289.47398352501</v>
          </cell>
          <cell r="GH215">
            <v>0</v>
          </cell>
        </row>
        <row r="216">
          <cell r="A216" t="str">
            <v>ADVANCES</v>
          </cell>
          <cell r="B216" t="str">
            <v>deposits</v>
          </cell>
          <cell r="C216">
            <v>0</v>
          </cell>
          <cell r="E216">
            <v>0</v>
          </cell>
          <cell r="G216">
            <v>0</v>
          </cell>
          <cell r="I216">
            <v>0</v>
          </cell>
          <cell r="M216">
            <v>0</v>
          </cell>
          <cell r="Q216">
            <v>-2945.299</v>
          </cell>
          <cell r="U216">
            <v>-2945.299</v>
          </cell>
          <cell r="W216">
            <v>-312</v>
          </cell>
          <cell r="X216">
            <v>-312</v>
          </cell>
          <cell r="Z216">
            <v>-36.557000000000002</v>
          </cell>
          <cell r="AD216">
            <v>-3605.8559999999998</v>
          </cell>
          <cell r="AH216">
            <v>0</v>
          </cell>
          <cell r="AJ216">
            <v>0</v>
          </cell>
          <cell r="AL216">
            <v>-2485</v>
          </cell>
          <cell r="AP216">
            <v>-2485</v>
          </cell>
          <cell r="AR216">
            <v>0</v>
          </cell>
          <cell r="AT216">
            <v>-6090.8559999999998</v>
          </cell>
          <cell r="AV216">
            <v>0</v>
          </cell>
          <cell r="AX216">
            <v>-6090.8559999999998</v>
          </cell>
          <cell r="AZ216" t="str">
            <v>ADVANCES</v>
          </cell>
          <cell r="BA216" t="str">
            <v>deposits</v>
          </cell>
          <cell r="BC216">
            <v>0</v>
          </cell>
          <cell r="BE216">
            <v>0</v>
          </cell>
          <cell r="BG216">
            <v>0</v>
          </cell>
          <cell r="BI216">
            <v>0</v>
          </cell>
          <cell r="BQ216">
            <v>-12252.442999999999</v>
          </cell>
          <cell r="BU216">
            <v>-12252.442999999999</v>
          </cell>
          <cell r="BW216">
            <v>-1259.5</v>
          </cell>
          <cell r="BX216">
            <v>-1259.5</v>
          </cell>
          <cell r="BZ216">
            <v>-152.07599999999999</v>
          </cell>
          <cell r="CD216">
            <v>-14923.518999999998</v>
          </cell>
          <cell r="CH216">
            <v>0</v>
          </cell>
          <cell r="CJ216">
            <v>0</v>
          </cell>
          <cell r="CL216">
            <v>-10339</v>
          </cell>
          <cell r="CP216">
            <v>-10339</v>
          </cell>
          <cell r="CR216">
            <v>0</v>
          </cell>
          <cell r="CT216">
            <v>-25262.519</v>
          </cell>
          <cell r="CU216">
            <v>0</v>
          </cell>
          <cell r="CV216">
            <v>0</v>
          </cell>
          <cell r="CX216">
            <v>-25262.519</v>
          </cell>
          <cell r="FE216">
            <v>0</v>
          </cell>
          <cell r="FG216">
            <v>0</v>
          </cell>
          <cell r="FI216">
            <v>-12252.442999999999</v>
          </cell>
          <cell r="FJ216">
            <v>-1314</v>
          </cell>
          <cell r="FK216">
            <v>-1314</v>
          </cell>
          <cell r="FL216">
            <v>-152.077</v>
          </cell>
          <cell r="FN216">
            <v>-15032.52</v>
          </cell>
          <cell r="FO216">
            <v>0</v>
          </cell>
          <cell r="FP216">
            <v>-10339</v>
          </cell>
          <cell r="FR216">
            <v>-10339</v>
          </cell>
          <cell r="FS216">
            <v>0</v>
          </cell>
          <cell r="FT216">
            <v>-25371.52</v>
          </cell>
          <cell r="FU216">
            <v>0</v>
          </cell>
          <cell r="FV216">
            <v>-25371.52</v>
          </cell>
          <cell r="FW216" t="str">
            <v>ADVANCES</v>
          </cell>
          <cell r="FX216">
            <v>-15032.52</v>
          </cell>
          <cell r="FY216">
            <v>-10339</v>
          </cell>
          <cell r="GA216">
            <v>-25371.52</v>
          </cell>
          <cell r="GB216">
            <v>-25711.739420324709</v>
          </cell>
          <cell r="GC216">
            <v>-25371.52</v>
          </cell>
          <cell r="GD216">
            <v>-25711.739420324709</v>
          </cell>
          <cell r="GE216">
            <v>0</v>
          </cell>
          <cell r="GF216">
            <v>4.1655097411595348</v>
          </cell>
          <cell r="GG216">
            <v>-24686.713865334536</v>
          </cell>
          <cell r="GH216">
            <v>0</v>
          </cell>
        </row>
        <row r="217">
          <cell r="C217">
            <v>0</v>
          </cell>
          <cell r="E217">
            <v>0</v>
          </cell>
          <cell r="G217">
            <v>0</v>
          </cell>
          <cell r="I217">
            <v>0</v>
          </cell>
          <cell r="U217">
            <v>0</v>
          </cell>
          <cell r="AD217">
            <v>0</v>
          </cell>
          <cell r="AH217">
            <v>0</v>
          </cell>
          <cell r="AJ217">
            <v>0</v>
          </cell>
          <cell r="AP217">
            <v>0</v>
          </cell>
          <cell r="AR217">
            <v>0</v>
          </cell>
          <cell r="AT217">
            <v>0</v>
          </cell>
          <cell r="AV217">
            <v>0</v>
          </cell>
          <cell r="AX217">
            <v>0</v>
          </cell>
          <cell r="BC217">
            <v>0</v>
          </cell>
          <cell r="BE217">
            <v>0</v>
          </cell>
          <cell r="BG217">
            <v>0</v>
          </cell>
          <cell r="BI217">
            <v>0</v>
          </cell>
          <cell r="BU217">
            <v>0</v>
          </cell>
          <cell r="BX217">
            <v>0</v>
          </cell>
          <cell r="CD217">
            <v>0</v>
          </cell>
          <cell r="CH217">
            <v>0</v>
          </cell>
          <cell r="CJ217">
            <v>0</v>
          </cell>
          <cell r="CL217">
            <v>0</v>
          </cell>
          <cell r="CP217">
            <v>0</v>
          </cell>
          <cell r="CR217">
            <v>0</v>
          </cell>
          <cell r="CT217">
            <v>0</v>
          </cell>
          <cell r="CU217">
            <v>0</v>
          </cell>
          <cell r="CV217">
            <v>0</v>
          </cell>
          <cell r="CX217">
            <v>0</v>
          </cell>
          <cell r="FE217">
            <v>0</v>
          </cell>
          <cell r="FN217">
            <v>0</v>
          </cell>
          <cell r="FO217">
            <v>0</v>
          </cell>
          <cell r="FR217">
            <v>0</v>
          </cell>
          <cell r="FS217">
            <v>0</v>
          </cell>
          <cell r="FT217">
            <v>0</v>
          </cell>
          <cell r="FU217">
            <v>0</v>
          </cell>
          <cell r="FV217">
            <v>0</v>
          </cell>
          <cell r="FX217">
            <v>0</v>
          </cell>
          <cell r="FY217">
            <v>0</v>
          </cell>
          <cell r="GA217">
            <v>0</v>
          </cell>
          <cell r="GB217">
            <v>0</v>
          </cell>
          <cell r="GC217">
            <v>0</v>
          </cell>
          <cell r="GD217">
            <v>0</v>
          </cell>
          <cell r="GE217">
            <v>0</v>
          </cell>
          <cell r="GF217" t="e">
            <v>#DIV/0!</v>
          </cell>
          <cell r="GG217">
            <v>0</v>
          </cell>
          <cell r="GH217">
            <v>0</v>
          </cell>
        </row>
        <row r="218">
          <cell r="C218">
            <v>0</v>
          </cell>
          <cell r="E218">
            <v>0</v>
          </cell>
          <cell r="G218">
            <v>0</v>
          </cell>
          <cell r="I218">
            <v>0</v>
          </cell>
          <cell r="O218">
            <v>0</v>
          </cell>
          <cell r="Q218">
            <v>-2945.299</v>
          </cell>
          <cell r="S218">
            <v>0</v>
          </cell>
          <cell r="U218">
            <v>-2945.299</v>
          </cell>
          <cell r="W218">
            <v>-312</v>
          </cell>
          <cell r="X218">
            <v>-312</v>
          </cell>
          <cell r="Z218">
            <v>-36.557000000000002</v>
          </cell>
          <cell r="AB218">
            <v>0</v>
          </cell>
          <cell r="AD218">
            <v>-3605.8559999999998</v>
          </cell>
          <cell r="AF218">
            <v>0</v>
          </cell>
          <cell r="AH218">
            <v>0</v>
          </cell>
          <cell r="AJ218">
            <v>0</v>
          </cell>
          <cell r="AL218">
            <v>-2485</v>
          </cell>
          <cell r="AN218">
            <v>0</v>
          </cell>
          <cell r="AP218">
            <v>-2485</v>
          </cell>
          <cell r="AR218">
            <v>0</v>
          </cell>
          <cell r="AT218">
            <v>-6090.8559999999998</v>
          </cell>
          <cell r="AV218">
            <v>0</v>
          </cell>
          <cell r="AX218">
            <v>-6090.8559999999998</v>
          </cell>
          <cell r="BC218">
            <v>0</v>
          </cell>
          <cell r="BE218">
            <v>0</v>
          </cell>
          <cell r="BG218">
            <v>0</v>
          </cell>
          <cell r="BI218">
            <v>0</v>
          </cell>
          <cell r="BO218">
            <v>0</v>
          </cell>
          <cell r="BQ218">
            <v>-12252.442999999999</v>
          </cell>
          <cell r="BS218">
            <v>0</v>
          </cell>
          <cell r="BU218">
            <v>-12252.442999999999</v>
          </cell>
          <cell r="BW218">
            <v>-1259.5</v>
          </cell>
          <cell r="BX218">
            <v>-1259.5</v>
          </cell>
          <cell r="BZ218">
            <v>-152.07599999999999</v>
          </cell>
          <cell r="CB218">
            <v>0</v>
          </cell>
          <cell r="CD218">
            <v>-14923.518999999998</v>
          </cell>
          <cell r="CF218">
            <v>0</v>
          </cell>
          <cell r="CH218">
            <v>0</v>
          </cell>
          <cell r="CJ218">
            <v>0</v>
          </cell>
          <cell r="CL218">
            <v>-10339</v>
          </cell>
          <cell r="CN218">
            <v>0</v>
          </cell>
          <cell r="CP218">
            <v>-10339</v>
          </cell>
          <cell r="CR218">
            <v>0</v>
          </cell>
          <cell r="CT218">
            <v>-25262.519</v>
          </cell>
          <cell r="CU218">
            <v>0</v>
          </cell>
          <cell r="CV218">
            <v>0</v>
          </cell>
          <cell r="CX218">
            <v>-25262.519</v>
          </cell>
          <cell r="FC218">
            <v>0</v>
          </cell>
          <cell r="FE218">
            <v>0</v>
          </cell>
          <cell r="FH218">
            <v>0</v>
          </cell>
          <cell r="FI218">
            <v>-12252.442999999999</v>
          </cell>
          <cell r="FJ218">
            <v>-1314</v>
          </cell>
          <cell r="FK218">
            <v>-1314</v>
          </cell>
          <cell r="FL218">
            <v>-152.077</v>
          </cell>
          <cell r="FM218">
            <v>0</v>
          </cell>
          <cell r="FN218">
            <v>-15032.52</v>
          </cell>
          <cell r="FO218">
            <v>0</v>
          </cell>
          <cell r="FP218">
            <v>-10339</v>
          </cell>
          <cell r="FQ218">
            <v>0</v>
          </cell>
          <cell r="FR218">
            <v>-10339</v>
          </cell>
          <cell r="FS218">
            <v>0</v>
          </cell>
          <cell r="FT218">
            <v>-25371.52</v>
          </cell>
          <cell r="FU218">
            <v>0</v>
          </cell>
          <cell r="FV218">
            <v>-25371.52</v>
          </cell>
          <cell r="FX218">
            <v>-15032.52</v>
          </cell>
          <cell r="FY218">
            <v>-10339</v>
          </cell>
          <cell r="FZ218">
            <v>0</v>
          </cell>
          <cell r="GA218">
            <v>-25371.52</v>
          </cell>
          <cell r="GB218">
            <v>-25711.739420324709</v>
          </cell>
          <cell r="GC218">
            <v>-25371.52</v>
          </cell>
          <cell r="GD218">
            <v>-25711.739420324709</v>
          </cell>
          <cell r="GE218">
            <v>0</v>
          </cell>
          <cell r="GF218">
            <v>4.1655097411595348</v>
          </cell>
          <cell r="GG218">
            <v>-24686.713865334536</v>
          </cell>
          <cell r="GH218">
            <v>0</v>
          </cell>
        </row>
        <row r="219">
          <cell r="A219" t="str">
            <v>CURR.LIABILITIES</v>
          </cell>
          <cell r="AZ219" t="str">
            <v>CURR.LIABILITIES</v>
          </cell>
          <cell r="BX219">
            <v>0</v>
          </cell>
          <cell r="CD219">
            <v>0</v>
          </cell>
          <cell r="CU219">
            <v>0</v>
          </cell>
          <cell r="FS219">
            <v>0</v>
          </cell>
          <cell r="FW219" t="str">
            <v>CURR.LIABILITIES</v>
          </cell>
          <cell r="FX219">
            <v>0</v>
          </cell>
          <cell r="FY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 t="e">
            <v>#DIV/0!</v>
          </cell>
          <cell r="GH219">
            <v>0</v>
          </cell>
        </row>
        <row r="220">
          <cell r="A220" t="str">
            <v>Banks</v>
          </cell>
          <cell r="AZ220" t="str">
            <v>Banks</v>
          </cell>
          <cell r="BX220">
            <v>0</v>
          </cell>
          <cell r="CD220">
            <v>0</v>
          </cell>
          <cell r="CU220">
            <v>0</v>
          </cell>
          <cell r="FS220">
            <v>0</v>
          </cell>
          <cell r="FW220" t="str">
            <v>Banks</v>
          </cell>
          <cell r="FX220">
            <v>0</v>
          </cell>
          <cell r="FY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 t="e">
            <v>#DIV/0!</v>
          </cell>
          <cell r="GH220">
            <v>0</v>
          </cell>
        </row>
        <row r="221">
          <cell r="A221" t="str">
            <v>Current Maturities</v>
          </cell>
          <cell r="C221">
            <v>-704.9</v>
          </cell>
          <cell r="G221">
            <v>0</v>
          </cell>
          <cell r="I221">
            <v>-704.9</v>
          </cell>
          <cell r="O221">
            <v>-22</v>
          </cell>
          <cell r="Q221">
            <v>-1743.2809999999999</v>
          </cell>
          <cell r="U221">
            <v>-1743.2809999999999</v>
          </cell>
          <cell r="W221">
            <v>-1808.5</v>
          </cell>
          <cell r="X221">
            <v>-1808.5</v>
          </cell>
          <cell r="AD221">
            <v>-5360.2809999999999</v>
          </cell>
          <cell r="AJ221">
            <v>0</v>
          </cell>
          <cell r="AL221">
            <v>-6067.473</v>
          </cell>
          <cell r="AP221">
            <v>-6067.473</v>
          </cell>
          <cell r="AT221">
            <v>-12154.653999999999</v>
          </cell>
          <cell r="AX221">
            <v>-12154.653999999999</v>
          </cell>
          <cell r="AZ221" t="str">
            <v>Current Maturities</v>
          </cell>
          <cell r="BC221">
            <v>-2575.0320000000002</v>
          </cell>
          <cell r="BI221">
            <v>-2575.0320000000002</v>
          </cell>
          <cell r="BO221">
            <v>-90.5</v>
          </cell>
          <cell r="BQ221">
            <v>-7252.0470000000005</v>
          </cell>
          <cell r="BU221">
            <v>-7252.0470000000005</v>
          </cell>
          <cell r="BW221">
            <v>-7523</v>
          </cell>
          <cell r="BX221">
            <v>-7523</v>
          </cell>
          <cell r="CD221">
            <v>-22298.046999999999</v>
          </cell>
          <cell r="CJ221">
            <v>0</v>
          </cell>
          <cell r="CL221">
            <v>-25241</v>
          </cell>
          <cell r="CP221">
            <v>-25241</v>
          </cell>
          <cell r="CT221">
            <v>-50204.578999999998</v>
          </cell>
          <cell r="CU221">
            <v>0</v>
          </cell>
          <cell r="CX221">
            <v>-50204.578999999998</v>
          </cell>
          <cell r="FC221">
            <v>-2932.384</v>
          </cell>
          <cell r="FE221">
            <v>0</v>
          </cell>
          <cell r="FF221">
            <v>-2932.384</v>
          </cell>
          <cell r="FG221">
            <v>0</v>
          </cell>
          <cell r="FH221">
            <v>-90.5</v>
          </cell>
          <cell r="FI221">
            <v>-7252.0470000000005</v>
          </cell>
          <cell r="FJ221">
            <v>-7523</v>
          </cell>
          <cell r="FK221">
            <v>-7523</v>
          </cell>
          <cell r="FN221">
            <v>-22298.046999999999</v>
          </cell>
          <cell r="FO221">
            <v>0</v>
          </cell>
          <cell r="FP221">
            <v>-25241</v>
          </cell>
          <cell r="FR221">
            <v>-25241</v>
          </cell>
          <cell r="FS221">
            <v>0</v>
          </cell>
          <cell r="FT221">
            <v>-50561.930999999997</v>
          </cell>
          <cell r="FV221">
            <v>-50561.930999999997</v>
          </cell>
          <cell r="FW221" t="str">
            <v>Current Maturities</v>
          </cell>
          <cell r="FX221">
            <v>-22298.046999999999</v>
          </cell>
          <cell r="FY221">
            <v>-25241</v>
          </cell>
          <cell r="GA221">
            <v>-47539.046999999999</v>
          </cell>
          <cell r="GB221">
            <v>-48176.52189362597</v>
          </cell>
          <cell r="GC221">
            <v>-50561.930999999997</v>
          </cell>
          <cell r="GD221">
            <v>-51239.941259350569</v>
          </cell>
          <cell r="GE221">
            <v>-3022.8839999999982</v>
          </cell>
          <cell r="GF221">
            <v>4.1598823792104653</v>
          </cell>
          <cell r="GG221">
            <v>-27337.758290006532</v>
          </cell>
          <cell r="GH221">
            <v>0</v>
          </cell>
        </row>
        <row r="222">
          <cell r="A222" t="str">
            <v>Bank overdrafts</v>
          </cell>
          <cell r="G222">
            <v>0</v>
          </cell>
          <cell r="I222">
            <v>0</v>
          </cell>
          <cell r="O222">
            <v>-1220.5</v>
          </cell>
          <cell r="Q222">
            <v>-61492.355000000003</v>
          </cell>
          <cell r="U222">
            <v>-61492.355000000003</v>
          </cell>
          <cell r="W222">
            <v>-12612.5</v>
          </cell>
          <cell r="X222">
            <v>-12612.5</v>
          </cell>
          <cell r="AD222">
            <v>-86717.35500000001</v>
          </cell>
          <cell r="AH222">
            <v>0</v>
          </cell>
          <cell r="AJ222">
            <v>0</v>
          </cell>
          <cell r="AL222">
            <v>-22.951000000000001</v>
          </cell>
          <cell r="AP222">
            <v>-22.951000000000001</v>
          </cell>
          <cell r="AT222">
            <v>-87960.806000000011</v>
          </cell>
          <cell r="AX222">
            <v>-87960.806000000011</v>
          </cell>
          <cell r="AZ222" t="str">
            <v>Bank overdrafts</v>
          </cell>
          <cell r="BG222">
            <v>0</v>
          </cell>
          <cell r="BI222">
            <v>0</v>
          </cell>
          <cell r="BO222">
            <v>-5079</v>
          </cell>
          <cell r="BQ222">
            <v>-255810.19899999999</v>
          </cell>
          <cell r="BU222">
            <v>-255810.19899999999</v>
          </cell>
          <cell r="BW222">
            <v>-52468</v>
          </cell>
          <cell r="BX222">
            <v>-52468</v>
          </cell>
          <cell r="CD222">
            <v>-360746.19900000002</v>
          </cell>
          <cell r="CH222">
            <v>0</v>
          </cell>
          <cell r="CJ222">
            <v>0</v>
          </cell>
          <cell r="CL222">
            <v>-95</v>
          </cell>
          <cell r="CP222">
            <v>-95</v>
          </cell>
          <cell r="CR222">
            <v>0</v>
          </cell>
          <cell r="CT222">
            <v>-365920.19900000002</v>
          </cell>
          <cell r="CU222">
            <v>0</v>
          </cell>
          <cell r="CV222">
            <v>0</v>
          </cell>
          <cell r="CX222">
            <v>-365920.19900000002</v>
          </cell>
          <cell r="FE222">
            <v>0</v>
          </cell>
          <cell r="FH222">
            <v>-5079</v>
          </cell>
          <cell r="FI222">
            <v>-255810.19899999999</v>
          </cell>
          <cell r="FJ222">
            <v>-52468</v>
          </cell>
          <cell r="FK222">
            <v>-52468</v>
          </cell>
          <cell r="FN222">
            <v>-360746.19900000002</v>
          </cell>
          <cell r="FO222">
            <v>0</v>
          </cell>
          <cell r="FP222">
            <v>-95</v>
          </cell>
          <cell r="FR222">
            <v>-95</v>
          </cell>
          <cell r="FS222">
            <v>0</v>
          </cell>
          <cell r="FT222">
            <v>-365920.19900000002</v>
          </cell>
          <cell r="FU222">
            <v>0</v>
          </cell>
          <cell r="FV222">
            <v>-365920.19900000002</v>
          </cell>
          <cell r="FW222" t="str">
            <v>Bank overdrafts</v>
          </cell>
          <cell r="FX222">
            <v>-360746.19900000002</v>
          </cell>
          <cell r="FY222">
            <v>-95</v>
          </cell>
          <cell r="GA222">
            <v>-360841.19900000002</v>
          </cell>
          <cell r="GB222">
            <v>-365679.89938346361</v>
          </cell>
          <cell r="GC222">
            <v>-365920.19900000002</v>
          </cell>
          <cell r="GD222">
            <v>-370827.00623854483</v>
          </cell>
          <cell r="GE222">
            <v>-5079</v>
          </cell>
          <cell r="GF222">
            <v>4.1600369032543876</v>
          </cell>
          <cell r="GG222">
            <v>-2182.5935421293279</v>
          </cell>
          <cell r="GH222">
            <v>0</v>
          </cell>
        </row>
        <row r="223">
          <cell r="A223" t="str">
            <v>Total Banks</v>
          </cell>
          <cell r="C223">
            <v>-704.9</v>
          </cell>
          <cell r="E223">
            <v>0</v>
          </cell>
          <cell r="G223">
            <v>0</v>
          </cell>
          <cell r="I223">
            <v>-704.9</v>
          </cell>
          <cell r="O223">
            <v>-1243</v>
          </cell>
          <cell r="Q223">
            <v>-63235.636000000006</v>
          </cell>
          <cell r="S223">
            <v>0</v>
          </cell>
          <cell r="U223">
            <v>-63235.636000000006</v>
          </cell>
          <cell r="W223">
            <v>-14421</v>
          </cell>
          <cell r="X223">
            <v>-14421</v>
          </cell>
          <cell r="Z223">
            <v>0</v>
          </cell>
          <cell r="AB223">
            <v>0</v>
          </cell>
          <cell r="AD223">
            <v>-92077.636000000013</v>
          </cell>
          <cell r="AF223">
            <v>0</v>
          </cell>
          <cell r="AH223">
            <v>0</v>
          </cell>
          <cell r="AJ223">
            <v>0</v>
          </cell>
          <cell r="AL223">
            <v>-6090.424</v>
          </cell>
          <cell r="AN223">
            <v>0</v>
          </cell>
          <cell r="AP223">
            <v>-6090.424</v>
          </cell>
          <cell r="AR223">
            <v>0</v>
          </cell>
          <cell r="AT223">
            <v>-100115.46</v>
          </cell>
          <cell r="AV223">
            <v>0</v>
          </cell>
          <cell r="AX223">
            <v>-100115.46</v>
          </cell>
          <cell r="AZ223" t="str">
            <v>Total Banks</v>
          </cell>
          <cell r="BC223">
            <v>-2575.0320000000002</v>
          </cell>
          <cell r="BE223">
            <v>0</v>
          </cell>
          <cell r="BG223">
            <v>0</v>
          </cell>
          <cell r="BI223">
            <v>-2575.0320000000002</v>
          </cell>
          <cell r="BO223">
            <v>-5169.5</v>
          </cell>
          <cell r="BQ223">
            <v>-263062.24599999998</v>
          </cell>
          <cell r="BS223">
            <v>0</v>
          </cell>
          <cell r="BU223">
            <v>-263062.24599999998</v>
          </cell>
          <cell r="BW223">
            <v>-59991</v>
          </cell>
          <cell r="BX223">
            <v>-59991</v>
          </cell>
          <cell r="BZ223">
            <v>0</v>
          </cell>
          <cell r="CB223">
            <v>0</v>
          </cell>
          <cell r="CD223">
            <v>-383044.24599999998</v>
          </cell>
          <cell r="CF223">
            <v>0</v>
          </cell>
          <cell r="CH223">
            <v>0</v>
          </cell>
          <cell r="CJ223">
            <v>0</v>
          </cell>
          <cell r="CL223">
            <v>-25336</v>
          </cell>
          <cell r="CN223">
            <v>0</v>
          </cell>
          <cell r="CP223">
            <v>-25336</v>
          </cell>
          <cell r="CR223">
            <v>0</v>
          </cell>
          <cell r="CT223">
            <v>-416124.77800000005</v>
          </cell>
          <cell r="CU223">
            <v>0</v>
          </cell>
          <cell r="CV223">
            <v>0</v>
          </cell>
          <cell r="CX223">
            <v>-416124.77800000005</v>
          </cell>
          <cell r="FC223">
            <v>-2932.384</v>
          </cell>
          <cell r="FD223">
            <v>0</v>
          </cell>
          <cell r="FE223">
            <v>0</v>
          </cell>
          <cell r="FF223">
            <v>-2932.384</v>
          </cell>
          <cell r="FG223">
            <v>0</v>
          </cell>
          <cell r="FH223">
            <v>-5169.5</v>
          </cell>
          <cell r="FI223">
            <v>-263062.24599999998</v>
          </cell>
          <cell r="FJ223">
            <v>-59991</v>
          </cell>
          <cell r="FK223">
            <v>-59991</v>
          </cell>
          <cell r="FL223">
            <v>0</v>
          </cell>
          <cell r="FM223">
            <v>0</v>
          </cell>
          <cell r="FN223">
            <v>-383044.24600000004</v>
          </cell>
          <cell r="FO223">
            <v>0</v>
          </cell>
          <cell r="FP223">
            <v>-25336</v>
          </cell>
          <cell r="FQ223">
            <v>0</v>
          </cell>
          <cell r="FR223">
            <v>-25336</v>
          </cell>
          <cell r="FS223">
            <v>0</v>
          </cell>
          <cell r="FT223">
            <v>-416482.13</v>
          </cell>
          <cell r="FU223">
            <v>0</v>
          </cell>
          <cell r="FV223">
            <v>-416482.13</v>
          </cell>
          <cell r="FW223" t="str">
            <v>Total Banks</v>
          </cell>
          <cell r="FX223">
            <v>-383044.24600000004</v>
          </cell>
          <cell r="FY223">
            <v>-25336</v>
          </cell>
          <cell r="FZ223">
            <v>0</v>
          </cell>
          <cell r="GA223">
            <v>-408380.24600000004</v>
          </cell>
          <cell r="GB223">
            <v>-413856.42127708957</v>
          </cell>
          <cell r="GC223">
            <v>-416482.13</v>
          </cell>
          <cell r="GD223">
            <v>-422066.94749789539</v>
          </cell>
          <cell r="GE223">
            <v>-8101.8839999999982</v>
          </cell>
          <cell r="GF223">
            <v>4.1600181430520315</v>
          </cell>
          <cell r="GG223">
            <v>-29520.351832135861</v>
          </cell>
          <cell r="GH223">
            <v>0</v>
          </cell>
        </row>
        <row r="224">
          <cell r="A224" t="str">
            <v>Creditors</v>
          </cell>
          <cell r="AT224">
            <v>0</v>
          </cell>
          <cell r="AZ224" t="str">
            <v>Creditors</v>
          </cell>
          <cell r="BX224">
            <v>0</v>
          </cell>
          <cell r="CD224">
            <v>0</v>
          </cell>
          <cell r="CT224">
            <v>0</v>
          </cell>
          <cell r="CU224">
            <v>0</v>
          </cell>
          <cell r="FW224" t="str">
            <v>Creditors</v>
          </cell>
          <cell r="FX224">
            <v>0</v>
          </cell>
          <cell r="FY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 t="e">
            <v>#DIV/0!</v>
          </cell>
          <cell r="GH224">
            <v>0</v>
          </cell>
        </row>
        <row r="225">
          <cell r="A225" t="str">
            <v>suppliers-n.i.s.</v>
          </cell>
          <cell r="I225">
            <v>0</v>
          </cell>
          <cell r="M225" t="str">
            <v xml:space="preserve"> </v>
          </cell>
          <cell r="O225">
            <v>-1856.5</v>
          </cell>
          <cell r="Q225">
            <v>-6638.6909999999998</v>
          </cell>
          <cell r="U225">
            <v>-6638.6909999999998</v>
          </cell>
          <cell r="W225">
            <v>-639.5</v>
          </cell>
          <cell r="X225">
            <v>-639.5</v>
          </cell>
          <cell r="Z225">
            <v>-18.946000000000002</v>
          </cell>
          <cell r="AD225">
            <v>-7936.6369999999997</v>
          </cell>
          <cell r="AJ225">
            <v>0</v>
          </cell>
          <cell r="AL225">
            <v>-1182.865</v>
          </cell>
          <cell r="AP225">
            <v>-1182.865</v>
          </cell>
          <cell r="AR225">
            <v>-37.225999999999999</v>
          </cell>
          <cell r="AT225">
            <v>-11013.227999999999</v>
          </cell>
          <cell r="AV225">
            <v>0</v>
          </cell>
          <cell r="AX225">
            <v>-11013.227999999999</v>
          </cell>
          <cell r="AZ225" t="str">
            <v>suppliers-n.i.s.</v>
          </cell>
          <cell r="BI225">
            <v>0</v>
          </cell>
          <cell r="BO225">
            <v>-7713</v>
          </cell>
          <cell r="BQ225">
            <v>-27616.954000000002</v>
          </cell>
          <cell r="BU225">
            <v>-27616.954000000002</v>
          </cell>
          <cell r="BW225">
            <v>-2660.5</v>
          </cell>
          <cell r="BX225">
            <v>-2660.5</v>
          </cell>
          <cell r="BZ225">
            <v>-78.816999999999993</v>
          </cell>
          <cell r="CD225">
            <v>-33016.771000000001</v>
          </cell>
          <cell r="CJ225">
            <v>0</v>
          </cell>
          <cell r="CL225">
            <v>-4797</v>
          </cell>
          <cell r="CP225">
            <v>-4797</v>
          </cell>
          <cell r="CR225">
            <v>-154.90899999999999</v>
          </cell>
          <cell r="CT225">
            <v>-45681.68</v>
          </cell>
          <cell r="CU225">
            <v>0</v>
          </cell>
          <cell r="CX225">
            <v>-45681.68</v>
          </cell>
          <cell r="FH225">
            <v>-7713</v>
          </cell>
          <cell r="FI225">
            <v>-27616.954000000002</v>
          </cell>
          <cell r="FJ225">
            <v>-2660.5</v>
          </cell>
          <cell r="FK225">
            <v>-2660.5</v>
          </cell>
          <cell r="FL225">
            <v>-78.816999999999993</v>
          </cell>
          <cell r="FN225">
            <v>-33016.771000000001</v>
          </cell>
          <cell r="FO225">
            <v>0</v>
          </cell>
          <cell r="FP225">
            <v>-4908</v>
          </cell>
          <cell r="FR225">
            <v>-4908</v>
          </cell>
          <cell r="FS225">
            <v>-154.86000000000001</v>
          </cell>
          <cell r="FT225">
            <v>-45792.631000000001</v>
          </cell>
          <cell r="FV225">
            <v>-45792.631000000001</v>
          </cell>
          <cell r="FW225" t="str">
            <v>suppliers-n.i.s.</v>
          </cell>
          <cell r="FX225">
            <v>-33016.771000000001</v>
          </cell>
          <cell r="FY225">
            <v>-4908</v>
          </cell>
          <cell r="GA225">
            <v>-37924.771000000001</v>
          </cell>
          <cell r="GB225">
            <v>-38433.323250932051</v>
          </cell>
          <cell r="GC225">
            <v>-45792.631000000001</v>
          </cell>
          <cell r="GD225">
            <v>-46406.687326698731</v>
          </cell>
          <cell r="GE225">
            <v>-7867.86</v>
          </cell>
          <cell r="GF225">
            <v>4.1579663110579395</v>
          </cell>
          <cell r="GG225">
            <v>-32227.76773960104</v>
          </cell>
          <cell r="GH225">
            <v>0</v>
          </cell>
        </row>
        <row r="226">
          <cell r="A226" t="str">
            <v>suppliers-f.c.</v>
          </cell>
          <cell r="M226" t="str">
            <v xml:space="preserve"> </v>
          </cell>
          <cell r="Q226">
            <v>-474.85500000000002</v>
          </cell>
          <cell r="U226">
            <v>-474.85500000000002</v>
          </cell>
          <cell r="AD226">
            <v>-474.85500000000002</v>
          </cell>
          <cell r="AJ226">
            <v>0</v>
          </cell>
          <cell r="AP226">
            <v>0</v>
          </cell>
          <cell r="AT226">
            <v>-474.85500000000002</v>
          </cell>
          <cell r="AX226">
            <v>-474.85500000000002</v>
          </cell>
          <cell r="AZ226" t="str">
            <v>suppliers-f.c.</v>
          </cell>
          <cell r="BI226">
            <v>0</v>
          </cell>
          <cell r="BQ226">
            <v>-1975.568</v>
          </cell>
          <cell r="BU226">
            <v>-1975.568</v>
          </cell>
          <cell r="BX226">
            <v>0</v>
          </cell>
          <cell r="CD226">
            <v>-1975.568</v>
          </cell>
          <cell r="CJ226">
            <v>0</v>
          </cell>
          <cell r="CP226">
            <v>0</v>
          </cell>
          <cell r="CT226">
            <v>-1975.568</v>
          </cell>
          <cell r="CU226">
            <v>0</v>
          </cell>
          <cell r="CX226">
            <v>-1975.568</v>
          </cell>
          <cell r="FI226">
            <v>-1975.568</v>
          </cell>
          <cell r="FN226">
            <v>-1975.568</v>
          </cell>
          <cell r="FO226">
            <v>0</v>
          </cell>
          <cell r="FR226">
            <v>0</v>
          </cell>
          <cell r="FS226">
            <v>0</v>
          </cell>
          <cell r="FT226">
            <v>-1975.568</v>
          </cell>
          <cell r="FV226">
            <v>-1975.568</v>
          </cell>
          <cell r="FW226" t="str">
            <v>suppliers-f.c.</v>
          </cell>
          <cell r="FX226">
            <v>-1975.568</v>
          </cell>
          <cell r="FY226">
            <v>0</v>
          </cell>
          <cell r="GA226">
            <v>-1975.568</v>
          </cell>
          <cell r="GB226">
            <v>-2002.0593808779313</v>
          </cell>
          <cell r="GC226">
            <v>-1975.568</v>
          </cell>
          <cell r="GD226">
            <v>-2002.0593808779313</v>
          </cell>
          <cell r="GE226">
            <v>0</v>
          </cell>
          <cell r="GF226">
            <v>4.1603605311094967</v>
          </cell>
          <cell r="GG226">
            <v>-285.23712596883757</v>
          </cell>
          <cell r="GH226">
            <v>0</v>
          </cell>
        </row>
        <row r="227">
          <cell r="A227" t="str">
            <v>checks payable</v>
          </cell>
          <cell r="E227">
            <v>0</v>
          </cell>
          <cell r="I227">
            <v>0</v>
          </cell>
          <cell r="M227" t="str">
            <v xml:space="preserve"> </v>
          </cell>
          <cell r="O227">
            <v>-99.5</v>
          </cell>
          <cell r="Q227">
            <v>-270.67399999999998</v>
          </cell>
          <cell r="U227">
            <v>-270.67399999999998</v>
          </cell>
          <cell r="W227">
            <v>-415</v>
          </cell>
          <cell r="X227">
            <v>-415</v>
          </cell>
          <cell r="AD227">
            <v>-1100.674</v>
          </cell>
          <cell r="AJ227">
            <v>0</v>
          </cell>
          <cell r="AP227">
            <v>0</v>
          </cell>
          <cell r="AR227">
            <v>-161.352</v>
          </cell>
          <cell r="AT227">
            <v>-1361.5260000000001</v>
          </cell>
          <cell r="AV227">
            <v>0</v>
          </cell>
          <cell r="AX227">
            <v>-1361.5260000000001</v>
          </cell>
          <cell r="AZ227" t="str">
            <v>checks payable</v>
          </cell>
          <cell r="BI227">
            <v>0</v>
          </cell>
          <cell r="BO227">
            <v>-412.5</v>
          </cell>
          <cell r="BQ227">
            <v>-1126.0050000000001</v>
          </cell>
          <cell r="BU227">
            <v>-1126.0050000000001</v>
          </cell>
          <cell r="BW227">
            <v>-1726.5</v>
          </cell>
          <cell r="BX227">
            <v>-1726.5</v>
          </cell>
          <cell r="CD227">
            <v>-4579.0050000000001</v>
          </cell>
          <cell r="CJ227">
            <v>0</v>
          </cell>
          <cell r="CL227">
            <v>-111</v>
          </cell>
          <cell r="CP227">
            <v>-111</v>
          </cell>
          <cell r="CR227">
            <v>-671.226</v>
          </cell>
          <cell r="CT227">
            <v>-5773.7309999999998</v>
          </cell>
          <cell r="CU227">
            <v>0</v>
          </cell>
          <cell r="CX227">
            <v>-5773.7309999999998</v>
          </cell>
          <cell r="FH227">
            <v>-412.5</v>
          </cell>
          <cell r="FI227">
            <v>-1126.0050000000001</v>
          </cell>
          <cell r="FJ227">
            <v>-1726.5</v>
          </cell>
          <cell r="FK227">
            <v>-1726.5</v>
          </cell>
          <cell r="FN227">
            <v>-4579.0050000000001</v>
          </cell>
          <cell r="FO227">
            <v>0</v>
          </cell>
          <cell r="FS227">
            <v>-671.226</v>
          </cell>
          <cell r="FT227">
            <v>-5662.7309999999998</v>
          </cell>
          <cell r="FV227">
            <v>-5662.7309999999998</v>
          </cell>
          <cell r="FW227" t="str">
            <v>checks payable</v>
          </cell>
          <cell r="FX227">
            <v>-4579.0050000000001</v>
          </cell>
          <cell r="FY227">
            <v>0</v>
          </cell>
          <cell r="GA227">
            <v>-4579.0050000000001</v>
          </cell>
          <cell r="GB227">
            <v>-4640.4071716776907</v>
          </cell>
          <cell r="GC227">
            <v>-5662.7309999999998</v>
          </cell>
          <cell r="GD227">
            <v>-5738.6653964521938</v>
          </cell>
          <cell r="GE227">
            <v>-1083.7259999999997</v>
          </cell>
          <cell r="GF227">
            <v>4.1591060324958899</v>
          </cell>
          <cell r="GG227">
            <v>-877.88480481621548</v>
          </cell>
          <cell r="GH227">
            <v>0</v>
          </cell>
        </row>
        <row r="228">
          <cell r="A228" t="str">
            <v>DAPIM/OTHER RELATED</v>
          </cell>
          <cell r="I228">
            <v>0</v>
          </cell>
          <cell r="M228" t="str">
            <v xml:space="preserve"> </v>
          </cell>
          <cell r="O228">
            <v>-62.402999999999999</v>
          </cell>
          <cell r="Q228">
            <v>-1277.8699999999999</v>
          </cell>
          <cell r="U228">
            <v>-1277.8699999999999</v>
          </cell>
          <cell r="W228">
            <v>-1659.5</v>
          </cell>
          <cell r="X228">
            <v>-1847.5</v>
          </cell>
          <cell r="Z228">
            <v>-75.697999999999993</v>
          </cell>
          <cell r="AD228">
            <v>-4860.5680000000002</v>
          </cell>
          <cell r="AJ228">
            <v>0</v>
          </cell>
          <cell r="AL228">
            <v>-2816.7959999999998</v>
          </cell>
          <cell r="AN228">
            <v>26.103999999999999</v>
          </cell>
          <cell r="AP228">
            <v>-2790.692</v>
          </cell>
          <cell r="AT228">
            <v>-7713.6630000000005</v>
          </cell>
          <cell r="AV228">
            <v>6767.4670000000006</v>
          </cell>
          <cell r="AX228">
            <v>-946.19599999999991</v>
          </cell>
          <cell r="AZ228" t="str">
            <v>DAPIM/OTHER RELATED</v>
          </cell>
          <cell r="BC228">
            <v>1109.6199999999999</v>
          </cell>
          <cell r="BI228">
            <v>1109.6199999999999</v>
          </cell>
          <cell r="BQ228">
            <v>-8970.9490000000005</v>
          </cell>
          <cell r="BU228">
            <v>-8970.9490000000005</v>
          </cell>
          <cell r="BW228">
            <v>-6902.5</v>
          </cell>
          <cell r="BX228">
            <v>-7686.5</v>
          </cell>
          <cell r="BZ228">
            <v>-314.90499999999997</v>
          </cell>
          <cell r="CD228">
            <v>-23874.853999999999</v>
          </cell>
          <cell r="CJ228">
            <v>0</v>
          </cell>
          <cell r="CL228">
            <v>-11718</v>
          </cell>
          <cell r="CN228">
            <v>108.59399999999999</v>
          </cell>
          <cell r="CP228">
            <v>-11609.406000000001</v>
          </cell>
          <cell r="CT228">
            <v>-34374.639999999999</v>
          </cell>
          <cell r="CU228">
            <v>0</v>
          </cell>
          <cell r="CV228">
            <v>27160.095000000001</v>
          </cell>
          <cell r="CX228">
            <v>-7214.5449999999983</v>
          </cell>
          <cell r="FC228">
            <v>1109.6199999999999</v>
          </cell>
          <cell r="FE228">
            <v>-1109.6199999999999</v>
          </cell>
          <cell r="FF228">
            <v>0</v>
          </cell>
          <cell r="FH228">
            <v>-271</v>
          </cell>
          <cell r="FI228">
            <v>-5340.5609999999997</v>
          </cell>
          <cell r="FJ228">
            <v>-6901.5</v>
          </cell>
          <cell r="FK228">
            <v>-7686.5</v>
          </cell>
          <cell r="FL228">
            <v>-314.90499999999997</v>
          </cell>
          <cell r="FN228">
            <v>-20243.466</v>
          </cell>
          <cell r="FO228">
            <v>0</v>
          </cell>
          <cell r="FP228">
            <v>-11718</v>
          </cell>
          <cell r="FR228">
            <v>-11718</v>
          </cell>
          <cell r="FS228">
            <v>0</v>
          </cell>
          <cell r="FT228">
            <v>-32232.466</v>
          </cell>
          <cell r="FU228">
            <v>28256.663400000001</v>
          </cell>
          <cell r="FV228">
            <v>-3975.8025999999991</v>
          </cell>
          <cell r="FW228" t="str">
            <v>DAPIM/OTHER RELATED</v>
          </cell>
          <cell r="FX228">
            <v>-20243.466</v>
          </cell>
          <cell r="FY228">
            <v>-11718</v>
          </cell>
          <cell r="GA228">
            <v>-31961.466</v>
          </cell>
          <cell r="GB228">
            <v>-32390.05330715574</v>
          </cell>
          <cell r="GC228">
            <v>-3975.8025999999991</v>
          </cell>
          <cell r="GD228">
            <v>-4029.1161285508106</v>
          </cell>
          <cell r="GE228">
            <v>27985.663400000001</v>
          </cell>
          <cell r="GF228">
            <v>4.2018805828813477</v>
          </cell>
          <cell r="GG228">
            <v>693.84403758002293</v>
          </cell>
          <cell r="GH228">
            <v>0</v>
          </cell>
        </row>
        <row r="229">
          <cell r="A229" t="str">
            <v>BALANCE IN RESPECT OF SUBSIDIARY</v>
          </cell>
          <cell r="I229">
            <v>0</v>
          </cell>
          <cell r="Q229">
            <v>-872.68899999999996</v>
          </cell>
          <cell r="U229">
            <v>-872.68899999999996</v>
          </cell>
          <cell r="AD229">
            <v>-872.68899999999996</v>
          </cell>
          <cell r="AJ229">
            <v>0</v>
          </cell>
          <cell r="AP229">
            <v>0</v>
          </cell>
          <cell r="AT229">
            <v>-872.68899999999996</v>
          </cell>
          <cell r="AX229">
            <v>-872.68899999999996</v>
          </cell>
          <cell r="AZ229" t="str">
            <v>BALANCE IN RESPECT OF SUBSIDIARY</v>
          </cell>
          <cell r="FI229">
            <v>-3630.3879999999999</v>
          </cell>
          <cell r="FN229">
            <v>-3630.3879999999999</v>
          </cell>
          <cell r="FT229">
            <v>-3630.3879999999999</v>
          </cell>
          <cell r="FV229">
            <v>-3630.3879999999999</v>
          </cell>
          <cell r="FX229">
            <v>-3630.3879999999999</v>
          </cell>
          <cell r="FY229">
            <v>0</v>
          </cell>
          <cell r="GA229">
            <v>-3630.3879999999999</v>
          </cell>
          <cell r="GB229">
            <v>-3679.0696911605528</v>
          </cell>
          <cell r="GC229">
            <v>-3630.3879999999999</v>
          </cell>
          <cell r="GD229">
            <v>-3679.0696911605528</v>
          </cell>
          <cell r="GE229">
            <v>0</v>
          </cell>
          <cell r="GF229">
            <v>4.1600020167551097</v>
          </cell>
        </row>
        <row r="230">
          <cell r="A230" t="str">
            <v>ORUM</v>
          </cell>
          <cell r="I230">
            <v>0</v>
          </cell>
          <cell r="M230" t="str">
            <v xml:space="preserve"> </v>
          </cell>
          <cell r="U230">
            <v>0</v>
          </cell>
          <cell r="AD230">
            <v>0</v>
          </cell>
          <cell r="AJ230">
            <v>0</v>
          </cell>
          <cell r="AP230">
            <v>0</v>
          </cell>
          <cell r="AT230">
            <v>0</v>
          </cell>
          <cell r="AX230">
            <v>0</v>
          </cell>
          <cell r="AZ230" t="str">
            <v>ORUM</v>
          </cell>
          <cell r="BI230">
            <v>0</v>
          </cell>
          <cell r="BU230">
            <v>0</v>
          </cell>
          <cell r="BX230">
            <v>0</v>
          </cell>
          <cell r="CD230">
            <v>0</v>
          </cell>
          <cell r="CJ230">
            <v>0</v>
          </cell>
          <cell r="CP230">
            <v>0</v>
          </cell>
          <cell r="CT230">
            <v>0</v>
          </cell>
          <cell r="CU230">
            <v>0</v>
          </cell>
          <cell r="CX230">
            <v>0</v>
          </cell>
          <cell r="FN230">
            <v>0</v>
          </cell>
          <cell r="FO230">
            <v>0</v>
          </cell>
          <cell r="FR230">
            <v>0</v>
          </cell>
          <cell r="FS230">
            <v>0</v>
          </cell>
          <cell r="FT230">
            <v>0</v>
          </cell>
          <cell r="FV230">
            <v>0</v>
          </cell>
          <cell r="FW230" t="str">
            <v>ORUM</v>
          </cell>
          <cell r="FX230">
            <v>0</v>
          </cell>
          <cell r="FY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 t="e">
            <v>#DIV/0!</v>
          </cell>
          <cell r="GG230">
            <v>0.32322073039878285</v>
          </cell>
          <cell r="GH230">
            <v>0</v>
          </cell>
        </row>
        <row r="231">
          <cell r="A231" t="str">
            <v>Unearned income</v>
          </cell>
          <cell r="I231">
            <v>0</v>
          </cell>
          <cell r="M231">
            <v>-9.530528846153846</v>
          </cell>
          <cell r="O231">
            <v>-206.5</v>
          </cell>
          <cell r="U231">
            <v>0</v>
          </cell>
          <cell r="AD231">
            <v>0</v>
          </cell>
          <cell r="AJ231">
            <v>0</v>
          </cell>
          <cell r="AP231">
            <v>0</v>
          </cell>
          <cell r="AT231">
            <v>-216.03052884615386</v>
          </cell>
          <cell r="AX231">
            <v>-216.03052884615386</v>
          </cell>
          <cell r="AZ231" t="str">
            <v>Unearned income</v>
          </cell>
          <cell r="BI231">
            <v>0</v>
          </cell>
          <cell r="BM231">
            <v>-29.942</v>
          </cell>
          <cell r="BO231">
            <v>-783</v>
          </cell>
          <cell r="BU231">
            <v>0</v>
          </cell>
          <cell r="BX231">
            <v>0</v>
          </cell>
          <cell r="CD231">
            <v>0</v>
          </cell>
          <cell r="CJ231">
            <v>0</v>
          </cell>
          <cell r="CP231">
            <v>0</v>
          </cell>
          <cell r="CT231">
            <v>-812.94200000000001</v>
          </cell>
          <cell r="CU231">
            <v>0</v>
          </cell>
          <cell r="CX231">
            <v>-812.94200000000001</v>
          </cell>
          <cell r="FG231">
            <v>-39.646999999999998</v>
          </cell>
          <cell r="FH231">
            <v>-828.5</v>
          </cell>
          <cell r="FN231">
            <v>0</v>
          </cell>
          <cell r="FO231">
            <v>0</v>
          </cell>
          <cell r="FR231">
            <v>0</v>
          </cell>
          <cell r="FS231">
            <v>0</v>
          </cell>
          <cell r="FT231">
            <v>-868.14700000000005</v>
          </cell>
          <cell r="FV231">
            <v>-868.14700000000005</v>
          </cell>
          <cell r="FW231" t="str">
            <v>Unearned income</v>
          </cell>
          <cell r="FX231">
            <v>0</v>
          </cell>
          <cell r="FY231">
            <v>0</v>
          </cell>
          <cell r="GA231">
            <v>0</v>
          </cell>
          <cell r="GB231">
            <v>0</v>
          </cell>
          <cell r="GC231">
            <v>-868.14700000000005</v>
          </cell>
          <cell r="GD231">
            <v>-879.78841797955499</v>
          </cell>
          <cell r="GE231">
            <v>-868.14700000000005</v>
          </cell>
          <cell r="GF231">
            <v>4.0186310918039316</v>
          </cell>
          <cell r="GG231">
            <v>-1462.049640757675</v>
          </cell>
          <cell r="GH231">
            <v>0</v>
          </cell>
        </row>
        <row r="232">
          <cell r="A232" t="str">
            <v xml:space="preserve">Royalties-other </v>
          </cell>
          <cell r="I232">
            <v>0</v>
          </cell>
          <cell r="M232" t="str">
            <v xml:space="preserve"> </v>
          </cell>
          <cell r="U232">
            <v>0</v>
          </cell>
          <cell r="AD232">
            <v>0</v>
          </cell>
          <cell r="AJ232">
            <v>0</v>
          </cell>
          <cell r="AP232">
            <v>0</v>
          </cell>
          <cell r="AT232">
            <v>0</v>
          </cell>
          <cell r="AV232">
            <v>-2480</v>
          </cell>
          <cell r="AX232">
            <v>-2480</v>
          </cell>
          <cell r="AZ232" t="str">
            <v xml:space="preserve">Royalties-other </v>
          </cell>
          <cell r="BI232">
            <v>0</v>
          </cell>
          <cell r="BU232">
            <v>0</v>
          </cell>
          <cell r="BX232">
            <v>0</v>
          </cell>
          <cell r="CD232">
            <v>0</v>
          </cell>
          <cell r="CJ232">
            <v>0</v>
          </cell>
          <cell r="CP232">
            <v>0</v>
          </cell>
          <cell r="CT232">
            <v>0</v>
          </cell>
          <cell r="CU232">
            <v>0</v>
          </cell>
          <cell r="CX232">
            <v>0</v>
          </cell>
          <cell r="FN232">
            <v>0</v>
          </cell>
          <cell r="FO232">
            <v>0</v>
          </cell>
          <cell r="FS232">
            <v>0</v>
          </cell>
          <cell r="FT232">
            <v>0</v>
          </cell>
          <cell r="FV232">
            <v>0</v>
          </cell>
          <cell r="FW232" t="str">
            <v xml:space="preserve">Royalties-other </v>
          </cell>
          <cell r="FX232">
            <v>0</v>
          </cell>
          <cell r="FY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-4684.0972905137205</v>
          </cell>
          <cell r="GH232">
            <v>0</v>
          </cell>
        </row>
        <row r="233">
          <cell r="A233" t="str">
            <v>STLM</v>
          </cell>
          <cell r="C233">
            <v>-79.906999999999996</v>
          </cell>
          <cell r="I233">
            <v>-79.906999999999996</v>
          </cell>
          <cell r="M233" t="str">
            <v xml:space="preserve"> </v>
          </cell>
          <cell r="Q233">
            <v>-8.5229999999999997</v>
          </cell>
          <cell r="U233">
            <v>-8.5229999999999997</v>
          </cell>
          <cell r="AD233">
            <v>-8.5229999999999997</v>
          </cell>
          <cell r="AJ233">
            <v>0</v>
          </cell>
          <cell r="AP233">
            <v>0</v>
          </cell>
          <cell r="AT233">
            <v>-88.43</v>
          </cell>
          <cell r="AX233">
            <v>-88.43</v>
          </cell>
          <cell r="AZ233" t="str">
            <v>STLM</v>
          </cell>
          <cell r="BC233">
            <v>-332.41300000000001</v>
          </cell>
          <cell r="BE233">
            <v>0</v>
          </cell>
          <cell r="BG233">
            <v>0</v>
          </cell>
          <cell r="BI233">
            <v>-332.41300000000001</v>
          </cell>
          <cell r="BQ233">
            <v>-35.454000000000001</v>
          </cell>
          <cell r="BU233">
            <v>-35.454000000000001</v>
          </cell>
          <cell r="BX233">
            <v>0</v>
          </cell>
          <cell r="CD233">
            <v>-35.454000000000001</v>
          </cell>
          <cell r="CJ233">
            <v>0</v>
          </cell>
          <cell r="CP233">
            <v>0</v>
          </cell>
          <cell r="CT233">
            <v>-367.86700000000002</v>
          </cell>
          <cell r="CU233">
            <v>0</v>
          </cell>
          <cell r="CX233">
            <v>-367.86700000000002</v>
          </cell>
          <cell r="FC233">
            <v>-332.41300000000001</v>
          </cell>
          <cell r="FF233">
            <v>-332.41300000000001</v>
          </cell>
          <cell r="FI233">
            <v>-35.454000000000001</v>
          </cell>
          <cell r="FN233">
            <v>-35.454000000000001</v>
          </cell>
          <cell r="FO233">
            <v>0</v>
          </cell>
          <cell r="FR233">
            <v>0</v>
          </cell>
          <cell r="FS233">
            <v>0</v>
          </cell>
          <cell r="FT233">
            <v>-367.86700000000002</v>
          </cell>
          <cell r="FV233">
            <v>-367.86700000000002</v>
          </cell>
          <cell r="FW233" t="str">
            <v>STLM</v>
          </cell>
          <cell r="FX233">
            <v>-35.454000000000001</v>
          </cell>
          <cell r="FY233">
            <v>0</v>
          </cell>
          <cell r="GA233">
            <v>-35.454000000000001</v>
          </cell>
          <cell r="GB233">
            <v>-35.929420444978952</v>
          </cell>
          <cell r="GC233">
            <v>-367.86700000000002</v>
          </cell>
          <cell r="GD233">
            <v>-372.79991286831029</v>
          </cell>
          <cell r="GE233">
            <v>-332.41300000000001</v>
          </cell>
          <cell r="GF233">
            <v>4.1599796449168842</v>
          </cell>
          <cell r="GG233">
            <v>-13.198355443153776</v>
          </cell>
          <cell r="GH233">
            <v>0</v>
          </cell>
        </row>
        <row r="234">
          <cell r="A234" t="str">
            <v>ICP</v>
          </cell>
          <cell r="I234">
            <v>0</v>
          </cell>
          <cell r="M234" t="str">
            <v xml:space="preserve"> </v>
          </cell>
          <cell r="U234">
            <v>0</v>
          </cell>
          <cell r="AD234">
            <v>0</v>
          </cell>
          <cell r="AJ234">
            <v>0</v>
          </cell>
          <cell r="AP234">
            <v>0</v>
          </cell>
          <cell r="AT234">
            <v>0</v>
          </cell>
          <cell r="AX234">
            <v>0</v>
          </cell>
          <cell r="AZ234" t="str">
            <v>i.c.p.</v>
          </cell>
          <cell r="BE234">
            <v>0</v>
          </cell>
          <cell r="BG234">
            <v>0</v>
          </cell>
          <cell r="BI234">
            <v>0</v>
          </cell>
          <cell r="BU234">
            <v>0</v>
          </cell>
          <cell r="BX234">
            <v>0</v>
          </cell>
          <cell r="CD234">
            <v>0</v>
          </cell>
          <cell r="CJ234">
            <v>0</v>
          </cell>
          <cell r="CP234">
            <v>0</v>
          </cell>
          <cell r="CT234">
            <v>0</v>
          </cell>
          <cell r="CU234">
            <v>0</v>
          </cell>
          <cell r="CV234">
            <v>0</v>
          </cell>
          <cell r="CX234">
            <v>0</v>
          </cell>
          <cell r="FN234">
            <v>0</v>
          </cell>
          <cell r="FO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 t="str">
            <v>ICP</v>
          </cell>
          <cell r="FX234">
            <v>0</v>
          </cell>
          <cell r="FY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 t="e">
            <v>#DIV/0!</v>
          </cell>
          <cell r="GG234">
            <v>0</v>
          </cell>
          <cell r="GH234">
            <v>0</v>
          </cell>
        </row>
        <row r="235">
          <cell r="A235" t="str">
            <v>Iediot-current maturity</v>
          </cell>
          <cell r="I235">
            <v>0</v>
          </cell>
          <cell r="M235" t="str">
            <v xml:space="preserve"> </v>
          </cell>
          <cell r="U235">
            <v>0</v>
          </cell>
          <cell r="AD235">
            <v>0</v>
          </cell>
          <cell r="AJ235">
            <v>0</v>
          </cell>
          <cell r="AP235">
            <v>0</v>
          </cell>
          <cell r="AT235">
            <v>0</v>
          </cell>
          <cell r="AX235">
            <v>0</v>
          </cell>
          <cell r="AZ235" t="str">
            <v xml:space="preserve">    iediot</v>
          </cell>
          <cell r="BI235">
            <v>0</v>
          </cell>
          <cell r="BU235">
            <v>0</v>
          </cell>
          <cell r="BX235">
            <v>0</v>
          </cell>
          <cell r="CD235">
            <v>0</v>
          </cell>
          <cell r="CJ235">
            <v>0</v>
          </cell>
          <cell r="CP235">
            <v>0</v>
          </cell>
          <cell r="CT235">
            <v>0</v>
          </cell>
          <cell r="CU235">
            <v>0</v>
          </cell>
          <cell r="CV235">
            <v>0</v>
          </cell>
          <cell r="CX235">
            <v>0</v>
          </cell>
          <cell r="FN235">
            <v>0</v>
          </cell>
          <cell r="FO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 t="str">
            <v>Iediot-current maturity</v>
          </cell>
          <cell r="FX235">
            <v>0</v>
          </cell>
          <cell r="FY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 t="e">
            <v>#DIV/0!</v>
          </cell>
          <cell r="GG235">
            <v>0</v>
          </cell>
          <cell r="GH235">
            <v>0</v>
          </cell>
        </row>
        <row r="236">
          <cell r="A236" t="str">
            <v>AUREC</v>
          </cell>
          <cell r="I236">
            <v>0</v>
          </cell>
          <cell r="M236" t="str">
            <v xml:space="preserve"> </v>
          </cell>
          <cell r="Q236">
            <v>-12.007999999999999</v>
          </cell>
          <cell r="U236">
            <v>-12.007999999999999</v>
          </cell>
          <cell r="AD236">
            <v>-12.007999999999999</v>
          </cell>
          <cell r="AJ236">
            <v>0</v>
          </cell>
          <cell r="AP236">
            <v>0</v>
          </cell>
          <cell r="AT236">
            <v>-12.007999999999999</v>
          </cell>
          <cell r="AX236">
            <v>-12.007999999999999</v>
          </cell>
          <cell r="AZ236" t="str">
            <v>aurec</v>
          </cell>
          <cell r="BE236">
            <v>0</v>
          </cell>
          <cell r="BG236">
            <v>0</v>
          </cell>
          <cell r="BI236">
            <v>0</v>
          </cell>
          <cell r="BQ236">
            <v>-49.956000000000003</v>
          </cell>
          <cell r="BU236">
            <v>-49.956000000000003</v>
          </cell>
          <cell r="BX236">
            <v>0</v>
          </cell>
          <cell r="CD236">
            <v>-49.956000000000003</v>
          </cell>
          <cell r="CJ236">
            <v>0</v>
          </cell>
          <cell r="CP236">
            <v>0</v>
          </cell>
          <cell r="CT236">
            <v>-49.956000000000003</v>
          </cell>
          <cell r="CU236">
            <v>0</v>
          </cell>
          <cell r="CV236">
            <v>0</v>
          </cell>
          <cell r="CX236">
            <v>-49.956000000000003</v>
          </cell>
          <cell r="FI236">
            <v>-49.956000000000003</v>
          </cell>
          <cell r="FN236">
            <v>-49.956000000000003</v>
          </cell>
          <cell r="FO236">
            <v>0</v>
          </cell>
          <cell r="FR236">
            <v>0</v>
          </cell>
          <cell r="FS236">
            <v>0</v>
          </cell>
          <cell r="FT236">
            <v>-49.956000000000003</v>
          </cell>
          <cell r="FU236">
            <v>0</v>
          </cell>
          <cell r="FV236">
            <v>-49.956000000000003</v>
          </cell>
          <cell r="FW236" t="str">
            <v>AUREC</v>
          </cell>
          <cell r="FX236">
            <v>-49.956000000000003</v>
          </cell>
          <cell r="FY236">
            <v>0</v>
          </cell>
          <cell r="GA236">
            <v>-49.956000000000003</v>
          </cell>
          <cell r="GB236">
            <v>-50.625885027059525</v>
          </cell>
          <cell r="GC236">
            <v>-49.956000000000003</v>
          </cell>
          <cell r="GD236">
            <v>-50.625885027059525</v>
          </cell>
          <cell r="GE236">
            <v>0</v>
          </cell>
          <cell r="GF236">
            <v>4.1602265156562295</v>
          </cell>
          <cell r="GG236">
            <v>-25.128374639294808</v>
          </cell>
          <cell r="GH236">
            <v>0</v>
          </cell>
        </row>
        <row r="237">
          <cell r="A237" t="str">
            <v>VACATION PROV.</v>
          </cell>
          <cell r="I237">
            <v>0</v>
          </cell>
          <cell r="M237">
            <v>-21.186538461538461</v>
          </cell>
          <cell r="Q237">
            <v>-675.90523076923068</v>
          </cell>
          <cell r="U237">
            <v>-675.90523076923068</v>
          </cell>
          <cell r="W237">
            <v>-48.5</v>
          </cell>
          <cell r="X237">
            <v>-48.5</v>
          </cell>
          <cell r="AD237">
            <v>-772.90523076923068</v>
          </cell>
          <cell r="AJ237">
            <v>0</v>
          </cell>
          <cell r="AL237">
            <v>-6.4690000000000003</v>
          </cell>
          <cell r="AP237">
            <v>-6.4690000000000003</v>
          </cell>
          <cell r="AR237">
            <v>-8.4809999999999999</v>
          </cell>
          <cell r="AT237">
            <v>-809.04176923076921</v>
          </cell>
          <cell r="AX237">
            <v>-809.04176923076921</v>
          </cell>
          <cell r="AZ237" t="str">
            <v>VACATION PROV.</v>
          </cell>
          <cell r="BG237">
            <v>0</v>
          </cell>
          <cell r="BI237">
            <v>0</v>
          </cell>
          <cell r="BM237">
            <v>-88.135999999999996</v>
          </cell>
          <cell r="BQ237">
            <v>-2811.7669999999998</v>
          </cell>
          <cell r="BU237">
            <v>-2811.7669999999998</v>
          </cell>
          <cell r="BW237">
            <v>-201.5</v>
          </cell>
          <cell r="BX237">
            <v>-201.5</v>
          </cell>
          <cell r="CD237">
            <v>-3214.7669999999998</v>
          </cell>
          <cell r="CJ237">
            <v>0</v>
          </cell>
          <cell r="CL237">
            <v>-18</v>
          </cell>
          <cell r="CP237">
            <v>-18</v>
          </cell>
          <cell r="CR237">
            <v>-26.4</v>
          </cell>
          <cell r="CT237">
            <v>-3347.3029999999999</v>
          </cell>
          <cell r="CU237">
            <v>0</v>
          </cell>
          <cell r="CV237">
            <v>0</v>
          </cell>
          <cell r="CX237">
            <v>-3347.3029999999999</v>
          </cell>
          <cell r="FG237">
            <v>-88.135999999999996</v>
          </cell>
          <cell r="FI237">
            <v>-2811.7669999999998</v>
          </cell>
          <cell r="FJ237">
            <v>-201.5</v>
          </cell>
          <cell r="FK237">
            <v>-201.5</v>
          </cell>
          <cell r="FN237">
            <v>-3214.7669999999998</v>
          </cell>
          <cell r="FO237">
            <v>0</v>
          </cell>
          <cell r="FP237">
            <v>-18</v>
          </cell>
          <cell r="FR237">
            <v>-18</v>
          </cell>
          <cell r="FS237">
            <v>-35.28</v>
          </cell>
          <cell r="FT237">
            <v>-3356.183</v>
          </cell>
          <cell r="FU237">
            <v>0</v>
          </cell>
          <cell r="FV237">
            <v>-3356.183</v>
          </cell>
          <cell r="FW237" t="str">
            <v>VACATION PROV.</v>
          </cell>
          <cell r="FX237">
            <v>-3214.7669999999998</v>
          </cell>
          <cell r="FY237">
            <v>-18</v>
          </cell>
          <cell r="GA237">
            <v>-3232.7669999999998</v>
          </cell>
          <cell r="GB237">
            <v>-3276.116792002405</v>
          </cell>
          <cell r="GC237">
            <v>-3356.183</v>
          </cell>
          <cell r="GD237">
            <v>-3401.1877389657243</v>
          </cell>
          <cell r="GE237">
            <v>-123.41600000000017</v>
          </cell>
          <cell r="GF237">
            <v>4.1483432965284761</v>
          </cell>
          <cell r="GG237">
            <v>-3577.9038352319135</v>
          </cell>
          <cell r="GH237">
            <v>0</v>
          </cell>
        </row>
        <row r="238">
          <cell r="A238" t="str">
            <v>inCOME tax</v>
          </cell>
          <cell r="C238">
            <v>-1.714</v>
          </cell>
          <cell r="I238">
            <v>-1.714</v>
          </cell>
          <cell r="M238" t="str">
            <v xml:space="preserve"> </v>
          </cell>
          <cell r="Z238">
            <v>-92.307692307692307</v>
          </cell>
          <cell r="AD238">
            <v>-92.307692307692307</v>
          </cell>
          <cell r="AP238">
            <v>0</v>
          </cell>
          <cell r="AT238">
            <v>-94.021692307692305</v>
          </cell>
          <cell r="AV238">
            <v>94.021692307692305</v>
          </cell>
          <cell r="AX238">
            <v>0</v>
          </cell>
          <cell r="AZ238" t="str">
            <v>inCOME tax</v>
          </cell>
          <cell r="BC238">
            <v>-7.13</v>
          </cell>
          <cell r="BI238">
            <v>-7.13</v>
          </cell>
          <cell r="BX238">
            <v>0</v>
          </cell>
          <cell r="BZ238">
            <v>-384</v>
          </cell>
          <cell r="CD238">
            <v>-384</v>
          </cell>
          <cell r="CL238">
            <v>-8637</v>
          </cell>
          <cell r="CP238">
            <v>-8637</v>
          </cell>
          <cell r="CT238">
            <v>-9028.1299999999992</v>
          </cell>
          <cell r="CU238">
            <v>0</v>
          </cell>
          <cell r="CX238">
            <v>-9028.1299999999992</v>
          </cell>
          <cell r="FC238">
            <v>-7.13</v>
          </cell>
          <cell r="FF238">
            <v>-7.13</v>
          </cell>
          <cell r="FL238">
            <v>-170.37299999999999</v>
          </cell>
          <cell r="FN238">
            <v>-170.37299999999999</v>
          </cell>
          <cell r="FR238">
            <v>0</v>
          </cell>
          <cell r="FS238">
            <v>0</v>
          </cell>
          <cell r="FT238">
            <v>-177.50299999999999</v>
          </cell>
          <cell r="FV238">
            <v>-177.50299999999999</v>
          </cell>
          <cell r="FW238" t="str">
            <v>inCOME tax</v>
          </cell>
          <cell r="FX238">
            <v>-170.37299999999999</v>
          </cell>
          <cell r="FY238">
            <v>0</v>
          </cell>
          <cell r="GA238">
            <v>-170.37299999999999</v>
          </cell>
          <cell r="GB238">
            <v>-172.65761689717377</v>
          </cell>
          <cell r="GC238">
            <v>-177.50299999999999</v>
          </cell>
          <cell r="GD238">
            <v>-179.8832266386049</v>
          </cell>
          <cell r="GE238">
            <v>-7.13</v>
          </cell>
          <cell r="GF238" t="e">
            <v>#DIV/0!</v>
          </cell>
        </row>
        <row r="239">
          <cell r="A239" t="str">
            <v>V.A.T.</v>
          </cell>
          <cell r="I239">
            <v>0</v>
          </cell>
          <cell r="M239" t="str">
            <v xml:space="preserve"> </v>
          </cell>
          <cell r="O239">
            <v>-88</v>
          </cell>
          <cell r="Q239">
            <v>-588.82600000000002</v>
          </cell>
          <cell r="U239">
            <v>-588.82600000000002</v>
          </cell>
          <cell r="Z239">
            <v>-5.6859999999999999</v>
          </cell>
          <cell r="AD239">
            <v>-594.51200000000006</v>
          </cell>
          <cell r="AF239">
            <v>-16.751000000000001</v>
          </cell>
          <cell r="AJ239">
            <v>-16.751000000000001</v>
          </cell>
          <cell r="AP239">
            <v>-16.751000000000001</v>
          </cell>
          <cell r="AR239">
            <v>49.791000000000004</v>
          </cell>
          <cell r="AT239">
            <v>-649.47199999999998</v>
          </cell>
          <cell r="AX239">
            <v>-649.47199999999998</v>
          </cell>
          <cell r="AZ239" t="str">
            <v>V.A.T.</v>
          </cell>
          <cell r="BI239">
            <v>0</v>
          </cell>
          <cell r="BO239">
            <v>-365</v>
          </cell>
          <cell r="BQ239">
            <v>-2449.5149999999999</v>
          </cell>
          <cell r="BU239">
            <v>-2449.5149999999999</v>
          </cell>
          <cell r="BX239">
            <v>0</v>
          </cell>
          <cell r="BZ239">
            <v>-23.655000000000001</v>
          </cell>
          <cell r="CD239">
            <v>-2473.17</v>
          </cell>
          <cell r="CF239">
            <v>-69.685000000000002</v>
          </cell>
          <cell r="CH239">
            <v>0</v>
          </cell>
          <cell r="CJ239">
            <v>-69.685000000000002</v>
          </cell>
          <cell r="CP239">
            <v>-69.685000000000002</v>
          </cell>
          <cell r="CR239">
            <v>207.14200000000002</v>
          </cell>
          <cell r="CT239">
            <v>-2700.7130000000002</v>
          </cell>
          <cell r="CU239">
            <v>0</v>
          </cell>
          <cell r="CV239">
            <v>0</v>
          </cell>
          <cell r="CX239">
            <v>-2700.7130000000002</v>
          </cell>
          <cell r="FH239">
            <v>-365</v>
          </cell>
          <cell r="FI239">
            <v>-2449.5149999999999</v>
          </cell>
          <cell r="FL239">
            <v>-23.655000000000001</v>
          </cell>
          <cell r="FN239">
            <v>-2473.17</v>
          </cell>
          <cell r="FO239">
            <v>-69.685000000000002</v>
          </cell>
          <cell r="FR239">
            <v>-69.685000000000002</v>
          </cell>
          <cell r="FS239">
            <v>207.14200000000002</v>
          </cell>
          <cell r="FT239">
            <v>-2700.7130000000002</v>
          </cell>
          <cell r="FU239">
            <v>0</v>
          </cell>
          <cell r="FV239">
            <v>-2700.7130000000002</v>
          </cell>
          <cell r="FW239" t="str">
            <v>V.A.T.</v>
          </cell>
          <cell r="FX239">
            <v>-2473.17</v>
          </cell>
          <cell r="FY239">
            <v>-69.685000000000002</v>
          </cell>
          <cell r="GA239">
            <v>-2542.855</v>
          </cell>
          <cell r="GB239">
            <v>-2576.953416416115</v>
          </cell>
          <cell r="GC239">
            <v>-2700.7130000000002</v>
          </cell>
          <cell r="GD239">
            <v>-2736.928213409501</v>
          </cell>
          <cell r="GE239">
            <v>-157.85800000000017</v>
          </cell>
          <cell r="GF239">
            <v>4.1583209129877812</v>
          </cell>
          <cell r="GG239">
            <v>-1318.6903257350327</v>
          </cell>
          <cell r="GH239">
            <v>0</v>
          </cell>
        </row>
        <row r="240">
          <cell r="A240" t="str">
            <v>OTHER CREDITORS</v>
          </cell>
          <cell r="I240">
            <v>0</v>
          </cell>
          <cell r="M240">
            <v>-15.419711538461538</v>
          </cell>
          <cell r="O240">
            <v>-334.29899999999998</v>
          </cell>
          <cell r="Q240">
            <v>-626.53600000000006</v>
          </cell>
          <cell r="U240">
            <v>-626.53600000000006</v>
          </cell>
          <cell r="W240">
            <v>-137.5</v>
          </cell>
          <cell r="X240">
            <v>-137.5</v>
          </cell>
          <cell r="Z240">
            <v>-10.138</v>
          </cell>
          <cell r="AD240">
            <v>-911.67400000000009</v>
          </cell>
          <cell r="AJ240">
            <v>0</v>
          </cell>
          <cell r="AL240">
            <v>-2126.8049999999998</v>
          </cell>
          <cell r="AP240">
            <v>-2126.8049999999998</v>
          </cell>
          <cell r="AR240">
            <v>-16.023</v>
          </cell>
          <cell r="AT240">
            <v>-3404.2207115384617</v>
          </cell>
          <cell r="AX240">
            <v>-3404.2207115384617</v>
          </cell>
          <cell r="AZ240" t="str">
            <v>OTHER CREDITORS</v>
          </cell>
          <cell r="BI240">
            <v>0</v>
          </cell>
          <cell r="BM240">
            <v>-64.146000000000001</v>
          </cell>
          <cell r="BO240">
            <v>-1663</v>
          </cell>
          <cell r="BQ240">
            <v>-2606.3940000000002</v>
          </cell>
          <cell r="BU240">
            <v>-2606.3940000000002</v>
          </cell>
          <cell r="BW240">
            <v>-570.5</v>
          </cell>
          <cell r="BX240">
            <v>-570.5</v>
          </cell>
          <cell r="BZ240">
            <v>-42.173000000000002</v>
          </cell>
          <cell r="CD240">
            <v>-3789.567</v>
          </cell>
          <cell r="CJ240">
            <v>0</v>
          </cell>
          <cell r="CL240">
            <v>-218</v>
          </cell>
          <cell r="CP240">
            <v>-218</v>
          </cell>
          <cell r="CR240">
            <v>-66.534999999999997</v>
          </cell>
          <cell r="CT240">
            <v>-5801.2479999999996</v>
          </cell>
          <cell r="CU240">
            <v>0</v>
          </cell>
          <cell r="CX240">
            <v>-5801.2479999999996</v>
          </cell>
          <cell r="FG240">
            <v>-64.146000000000001</v>
          </cell>
          <cell r="FH240">
            <v>-1392</v>
          </cell>
          <cell r="FI240">
            <v>-2606.3940000000002</v>
          </cell>
          <cell r="FJ240">
            <v>-570.5</v>
          </cell>
          <cell r="FK240">
            <v>-570.5</v>
          </cell>
          <cell r="FL240">
            <v>-42.173999999999999</v>
          </cell>
          <cell r="FN240">
            <v>-3789.5680000000002</v>
          </cell>
          <cell r="FO240">
            <v>0</v>
          </cell>
          <cell r="FP240">
            <v>-8855</v>
          </cell>
          <cell r="FR240">
            <v>-8855</v>
          </cell>
          <cell r="FS240">
            <v>-66.534999999999997</v>
          </cell>
          <cell r="FT240">
            <v>-14167.249</v>
          </cell>
          <cell r="FV240">
            <v>-14167.249</v>
          </cell>
          <cell r="FW240" t="str">
            <v>OTHER CREDITORS</v>
          </cell>
          <cell r="FX240">
            <v>-3789.5680000000002</v>
          </cell>
          <cell r="FY240">
            <v>-8855</v>
          </cell>
          <cell r="GA240">
            <v>-12644.567999999999</v>
          </cell>
          <cell r="GB240">
            <v>-12814.125346001201</v>
          </cell>
          <cell r="GC240">
            <v>-14167.249</v>
          </cell>
          <cell r="GD240">
            <v>-14357.224738244136</v>
          </cell>
          <cell r="GE240">
            <v>-1522.6810000000005</v>
          </cell>
          <cell r="GF240">
            <v>4.1616717012444902</v>
          </cell>
          <cell r="GG240">
            <v>-7340.1590054508006</v>
          </cell>
          <cell r="GH240">
            <v>0</v>
          </cell>
        </row>
        <row r="241">
          <cell r="A241" t="str">
            <v>ACCRUED EXPENSES</v>
          </cell>
          <cell r="C241">
            <v>-60.730199999999996</v>
          </cell>
          <cell r="I241">
            <v>-60.730199999999996</v>
          </cell>
          <cell r="M241">
            <v>-35.075600961538463</v>
          </cell>
          <cell r="O241">
            <v>-10</v>
          </cell>
          <cell r="Q241">
            <v>-1679.1679999999999</v>
          </cell>
          <cell r="U241">
            <v>-1679.1679999999999</v>
          </cell>
          <cell r="W241">
            <v>-734</v>
          </cell>
          <cell r="X241">
            <v>-734</v>
          </cell>
          <cell r="Z241">
            <v>-9.375</v>
          </cell>
          <cell r="AD241">
            <v>-3156.5429999999997</v>
          </cell>
          <cell r="AF241">
            <v>-8</v>
          </cell>
          <cell r="AJ241">
            <v>-8</v>
          </cell>
          <cell r="AL241">
            <v>-1380.5340000000001</v>
          </cell>
          <cell r="AP241">
            <v>-1388.5340000000001</v>
          </cell>
          <cell r="AR241">
            <v>-322.04899999999998</v>
          </cell>
          <cell r="AT241">
            <v>-4972.931800961539</v>
          </cell>
          <cell r="AV241">
            <v>2480</v>
          </cell>
          <cell r="AX241">
            <v>-2492.931800961539</v>
          </cell>
          <cell r="AZ241" t="str">
            <v>ACCRUED EXPENSES</v>
          </cell>
          <cell r="BC241">
            <v>-252.636</v>
          </cell>
          <cell r="BI241">
            <v>-252.636</v>
          </cell>
          <cell r="BM241">
            <v>-145.9145</v>
          </cell>
          <cell r="BO241">
            <v>-41</v>
          </cell>
          <cell r="BQ241">
            <v>-6985.3389999999999</v>
          </cell>
          <cell r="BU241">
            <v>-6985.3389999999999</v>
          </cell>
          <cell r="BW241">
            <v>-3055.5</v>
          </cell>
          <cell r="BX241">
            <v>-3055.5</v>
          </cell>
          <cell r="BZ241">
            <v>-40</v>
          </cell>
          <cell r="CD241">
            <v>-13136.339</v>
          </cell>
          <cell r="CF241">
            <v>-34</v>
          </cell>
          <cell r="CJ241">
            <v>-34</v>
          </cell>
          <cell r="CL241">
            <v>-5743</v>
          </cell>
          <cell r="CP241">
            <v>-5777</v>
          </cell>
          <cell r="CR241">
            <v>-1339.7249999999999</v>
          </cell>
          <cell r="CT241">
            <v>-20692.6145</v>
          </cell>
          <cell r="CU241">
            <v>0</v>
          </cell>
          <cell r="CX241">
            <v>-20692.6145</v>
          </cell>
          <cell r="FC241">
            <v>-251.636</v>
          </cell>
          <cell r="FF241">
            <v>-251.636</v>
          </cell>
          <cell r="FG241">
            <v>-145.9145</v>
          </cell>
          <cell r="FH241">
            <v>-41</v>
          </cell>
          <cell r="FI241">
            <v>-6985.3389999999999</v>
          </cell>
          <cell r="FJ241">
            <v>-3055.5</v>
          </cell>
          <cell r="FK241">
            <v>-3055.5</v>
          </cell>
          <cell r="FL241">
            <v>-39</v>
          </cell>
          <cell r="FN241">
            <v>-13135.339</v>
          </cell>
          <cell r="FO241">
            <v>-34</v>
          </cell>
          <cell r="FP241">
            <v>-5743</v>
          </cell>
          <cell r="FR241">
            <v>-5777</v>
          </cell>
          <cell r="FS241">
            <v>-1343.049</v>
          </cell>
          <cell r="FT241">
            <v>-20693.938499999997</v>
          </cell>
          <cell r="FV241">
            <v>-20693.938499999997</v>
          </cell>
          <cell r="FW241" t="str">
            <v>ACCRUED EXPENSES</v>
          </cell>
          <cell r="FX241">
            <v>-13135.339</v>
          </cell>
          <cell r="FY241">
            <v>-5777</v>
          </cell>
          <cell r="GA241">
            <v>-18912.339</v>
          </cell>
          <cell r="GB241">
            <v>-19165.944026879133</v>
          </cell>
          <cell r="GC241">
            <v>-20693.938499999997</v>
          </cell>
          <cell r="GD241">
            <v>-20971.433886981355</v>
          </cell>
          <cell r="GE241">
            <v>-1781.5994999999966</v>
          </cell>
          <cell r="GF241">
            <v>8.3010447746778393</v>
          </cell>
          <cell r="GG241">
            <v>-5925.8333515891745</v>
          </cell>
          <cell r="GH241">
            <v>0</v>
          </cell>
        </row>
        <row r="242">
          <cell r="A242" t="str">
            <v>Total creditors</v>
          </cell>
          <cell r="C242">
            <v>-142.35120000000001</v>
          </cell>
          <cell r="E242">
            <v>0</v>
          </cell>
          <cell r="G242">
            <v>0</v>
          </cell>
          <cell r="I242">
            <v>-142.35120000000001</v>
          </cell>
          <cell r="M242">
            <v>-81</v>
          </cell>
          <cell r="O242">
            <v>-2657</v>
          </cell>
          <cell r="Q242">
            <v>-13125.745230769231</v>
          </cell>
          <cell r="S242">
            <v>0</v>
          </cell>
          <cell r="U242">
            <v>-13125.745230769231</v>
          </cell>
          <cell r="W242">
            <v>-3634</v>
          </cell>
          <cell r="X242">
            <v>-3822</v>
          </cell>
          <cell r="Z242">
            <v>-212.15069230769231</v>
          </cell>
          <cell r="AB242">
            <v>0</v>
          </cell>
          <cell r="AD242">
            <v>-20793.895923076918</v>
          </cell>
          <cell r="AF242">
            <v>-24.751000000000001</v>
          </cell>
          <cell r="AH242">
            <v>0</v>
          </cell>
          <cell r="AJ242">
            <v>-24.751000000000001</v>
          </cell>
          <cell r="AL242">
            <v>-7513.469000000001</v>
          </cell>
          <cell r="AN242">
            <v>26.103999999999999</v>
          </cell>
          <cell r="AP242">
            <v>-7512.116</v>
          </cell>
          <cell r="AR242">
            <v>-495</v>
          </cell>
          <cell r="AT242">
            <v>-31682.117502884612</v>
          </cell>
          <cell r="AV242">
            <v>6861.4886923076929</v>
          </cell>
          <cell r="AX242">
            <v>-24820.628810576924</v>
          </cell>
          <cell r="AZ242" t="str">
            <v>Total creditors</v>
          </cell>
          <cell r="BC242">
            <v>517.44099999999992</v>
          </cell>
          <cell r="BE242">
            <v>0</v>
          </cell>
          <cell r="BG242">
            <v>0</v>
          </cell>
          <cell r="BI242">
            <v>517.44099999999992</v>
          </cell>
          <cell r="BM242">
            <v>-328.13850000000002</v>
          </cell>
          <cell r="BO242">
            <v>-10977.5</v>
          </cell>
          <cell r="BQ242">
            <v>-54627.900999999998</v>
          </cell>
          <cell r="BS242">
            <v>0</v>
          </cell>
          <cell r="BU242">
            <v>-54627.900999999998</v>
          </cell>
          <cell r="BW242">
            <v>-15117</v>
          </cell>
          <cell r="BX242">
            <v>-15901</v>
          </cell>
          <cell r="BZ242">
            <v>-883.55</v>
          </cell>
          <cell r="CB242">
            <v>0</v>
          </cell>
          <cell r="CD242">
            <v>-86529.451000000001</v>
          </cell>
          <cell r="CF242">
            <v>-103.685</v>
          </cell>
          <cell r="CH242">
            <v>0</v>
          </cell>
          <cell r="CJ242">
            <v>-103.685</v>
          </cell>
          <cell r="CL242">
            <v>-31242</v>
          </cell>
          <cell r="CN242">
            <v>108.59399999999999</v>
          </cell>
          <cell r="CP242">
            <v>-31237.091000000004</v>
          </cell>
          <cell r="CR242">
            <v>-2051.6530000000002</v>
          </cell>
          <cell r="CT242">
            <v>-130606.39250000002</v>
          </cell>
          <cell r="CU242">
            <v>0</v>
          </cell>
          <cell r="CV242">
            <v>27160.095000000001</v>
          </cell>
          <cell r="CX242">
            <v>-103446.29749999999</v>
          </cell>
          <cell r="FC242">
            <v>518.44099999999992</v>
          </cell>
          <cell r="FD242">
            <v>0</v>
          </cell>
          <cell r="FE242">
            <v>-1109.6199999999999</v>
          </cell>
          <cell r="FF242">
            <v>-591.17899999999997</v>
          </cell>
          <cell r="FG242">
            <v>-337.84349999999995</v>
          </cell>
          <cell r="FH242">
            <v>-11023</v>
          </cell>
          <cell r="FI242">
            <v>-54627.900999999998</v>
          </cell>
          <cell r="FJ242">
            <v>-15116</v>
          </cell>
          <cell r="FK242">
            <v>-15901</v>
          </cell>
          <cell r="FL242">
            <v>-668.92399999999998</v>
          </cell>
          <cell r="FM242">
            <v>0</v>
          </cell>
          <cell r="FN242">
            <v>-86313.825000000012</v>
          </cell>
          <cell r="FO242">
            <v>-103.685</v>
          </cell>
          <cell r="FP242">
            <v>-31242</v>
          </cell>
          <cell r="FQ242">
            <v>0</v>
          </cell>
          <cell r="FR242">
            <v>-31345.685000000001</v>
          </cell>
          <cell r="FS242">
            <v>-2063.808</v>
          </cell>
          <cell r="FT242">
            <v>-131675.34050000002</v>
          </cell>
          <cell r="FU242">
            <v>28256.663400000001</v>
          </cell>
          <cell r="FV242">
            <v>-103418.6771</v>
          </cell>
          <cell r="FW242" t="str">
            <v>Total creditors</v>
          </cell>
          <cell r="FX242">
            <v>-86313.825000000012</v>
          </cell>
          <cell r="FY242">
            <v>-31345.685000000001</v>
          </cell>
          <cell r="FZ242">
            <v>0</v>
          </cell>
          <cell r="GA242">
            <v>-117659.51</v>
          </cell>
          <cell r="GB242">
            <v>-119237.26530547203</v>
          </cell>
          <cell r="GC242">
            <v>-103418.6771</v>
          </cell>
          <cell r="GD242">
            <v>-104805.46994385448</v>
          </cell>
          <cell r="GE242">
            <v>14240.832900000001</v>
          </cell>
          <cell r="GF242">
            <v>4.166642106018271</v>
          </cell>
          <cell r="GG242">
            <v>-57043.782591436429</v>
          </cell>
          <cell r="GH242">
            <v>0</v>
          </cell>
        </row>
        <row r="243">
          <cell r="A243" t="str">
            <v>Total curr. liabil.</v>
          </cell>
          <cell r="C243">
            <v>-847.25119999999993</v>
          </cell>
          <cell r="E243">
            <v>0</v>
          </cell>
          <cell r="G243">
            <v>0</v>
          </cell>
          <cell r="I243">
            <v>-847.25119999999993</v>
          </cell>
          <cell r="M243">
            <v>-81</v>
          </cell>
          <cell r="O243">
            <v>-3900</v>
          </cell>
          <cell r="Q243">
            <v>-76361.381230769242</v>
          </cell>
          <cell r="S243">
            <v>0</v>
          </cell>
          <cell r="U243">
            <v>-76361.381230769242</v>
          </cell>
          <cell r="W243">
            <v>-18055</v>
          </cell>
          <cell r="X243">
            <v>-18243</v>
          </cell>
          <cell r="Z243">
            <v>-212.15069230769231</v>
          </cell>
          <cell r="AB243">
            <v>0</v>
          </cell>
          <cell r="AD243">
            <v>-112871.53192307692</v>
          </cell>
          <cell r="AF243">
            <v>-24.751000000000001</v>
          </cell>
          <cell r="AH243">
            <v>0</v>
          </cell>
          <cell r="AJ243">
            <v>-24.751000000000001</v>
          </cell>
          <cell r="AL243">
            <v>-13603.893</v>
          </cell>
          <cell r="AN243">
            <v>26.103999999999999</v>
          </cell>
          <cell r="AP243">
            <v>-13602.54</v>
          </cell>
          <cell r="AR243">
            <v>-495</v>
          </cell>
          <cell r="AT243">
            <v>-131797.57750288461</v>
          </cell>
          <cell r="AV243">
            <v>6861.4886923076929</v>
          </cell>
          <cell r="AX243">
            <v>-124936.08881057693</v>
          </cell>
          <cell r="AZ243" t="str">
            <v>Total curr. liabil.</v>
          </cell>
          <cell r="BC243">
            <v>-2057.5910000000003</v>
          </cell>
          <cell r="BE243">
            <v>0</v>
          </cell>
          <cell r="BG243">
            <v>0</v>
          </cell>
          <cell r="BI243">
            <v>-2057.5910000000003</v>
          </cell>
          <cell r="BM243">
            <v>-328.13850000000002</v>
          </cell>
          <cell r="BO243">
            <v>-16147</v>
          </cell>
          <cell r="BQ243">
            <v>-317690.147</v>
          </cell>
          <cell r="BS243">
            <v>0</v>
          </cell>
          <cell r="BU243">
            <v>-317690.147</v>
          </cell>
          <cell r="BW243">
            <v>-75108</v>
          </cell>
          <cell r="BX243">
            <v>-75892</v>
          </cell>
          <cell r="BZ243">
            <v>-883.55</v>
          </cell>
          <cell r="CB243">
            <v>0</v>
          </cell>
          <cell r="CD243">
            <v>-469573.69699999999</v>
          </cell>
          <cell r="CF243">
            <v>-103.685</v>
          </cell>
          <cell r="CH243">
            <v>0</v>
          </cell>
          <cell r="CJ243">
            <v>-103.685</v>
          </cell>
          <cell r="CL243">
            <v>-56578</v>
          </cell>
          <cell r="CN243">
            <v>108.59399999999999</v>
          </cell>
          <cell r="CP243">
            <v>-56573.091</v>
          </cell>
          <cell r="CR243">
            <v>-2051.6530000000002</v>
          </cell>
          <cell r="CT243">
            <v>-546731.17050000001</v>
          </cell>
          <cell r="CU243">
            <v>0</v>
          </cell>
          <cell r="CV243">
            <v>27160.095000000001</v>
          </cell>
          <cell r="CX243">
            <v>-519571.07550000004</v>
          </cell>
          <cell r="FC243">
            <v>-2413.9430000000002</v>
          </cell>
          <cell r="FD243">
            <v>0</v>
          </cell>
          <cell r="FE243">
            <v>-1109.6199999999999</v>
          </cell>
          <cell r="FF243">
            <v>-3523.5630000000001</v>
          </cell>
          <cell r="FG243">
            <v>-337.84349999999995</v>
          </cell>
          <cell r="FH243">
            <v>-16192.5</v>
          </cell>
          <cell r="FI243">
            <v>-317690.147</v>
          </cell>
          <cell r="FJ243">
            <v>-75107</v>
          </cell>
          <cell r="FK243">
            <v>-75892</v>
          </cell>
          <cell r="FL243">
            <v>-668.92399999999998</v>
          </cell>
          <cell r="FM243">
            <v>0</v>
          </cell>
          <cell r="FN243">
            <v>-469358.07100000005</v>
          </cell>
          <cell r="FO243">
            <v>-103.685</v>
          </cell>
          <cell r="FP243">
            <v>-56578</v>
          </cell>
          <cell r="FQ243">
            <v>0</v>
          </cell>
          <cell r="FR243">
            <v>-56681.684999999998</v>
          </cell>
          <cell r="FS243">
            <v>-2063.808</v>
          </cell>
          <cell r="FT243">
            <v>-548157.47050000005</v>
          </cell>
          <cell r="FU243">
            <v>28256.663400000001</v>
          </cell>
          <cell r="FV243">
            <v>-519900.80709999998</v>
          </cell>
          <cell r="FW243" t="str">
            <v>Total curr. liabil.</v>
          </cell>
          <cell r="FX243">
            <v>-469358.07100000005</v>
          </cell>
          <cell r="FY243">
            <v>-56681.684999999998</v>
          </cell>
          <cell r="FZ243">
            <v>0</v>
          </cell>
          <cell r="GA243">
            <v>-526039.75600000005</v>
          </cell>
          <cell r="GB243">
            <v>-533093.68658256158</v>
          </cell>
          <cell r="GC243">
            <v>-519900.80709999998</v>
          </cell>
          <cell r="GD243">
            <v>-526872.41744174983</v>
          </cell>
          <cell r="GE243">
            <v>6138.9489000000031</v>
          </cell>
          <cell r="GF243">
            <v>4.1613341032970279</v>
          </cell>
          <cell r="GG243">
            <v>-86564.134423572294</v>
          </cell>
          <cell r="GH243">
            <v>0</v>
          </cell>
        </row>
        <row r="244">
          <cell r="BX244">
            <v>0</v>
          </cell>
          <cell r="CD244">
            <v>0</v>
          </cell>
          <cell r="CU244">
            <v>0</v>
          </cell>
          <cell r="FI244">
            <v>0</v>
          </cell>
          <cell r="FL244">
            <v>0</v>
          </cell>
          <cell r="FN244">
            <v>0</v>
          </cell>
          <cell r="FS244">
            <v>0</v>
          </cell>
          <cell r="FT244">
            <v>0</v>
          </cell>
          <cell r="FX244">
            <v>0</v>
          </cell>
          <cell r="FY244">
            <v>0</v>
          </cell>
          <cell r="GA244">
            <v>0</v>
          </cell>
          <cell r="GB244">
            <v>0</v>
          </cell>
          <cell r="GC244">
            <v>0</v>
          </cell>
          <cell r="GD244">
            <v>0</v>
          </cell>
          <cell r="GE244">
            <v>0</v>
          </cell>
          <cell r="GF244" t="e">
            <v>#DIV/0!</v>
          </cell>
          <cell r="GH244">
            <v>0</v>
          </cell>
        </row>
        <row r="245">
          <cell r="A245" t="str">
            <v>TOTAL PASSIV</v>
          </cell>
          <cell r="C245">
            <v>-86312.356199999995</v>
          </cell>
          <cell r="E245">
            <v>-18208.287</v>
          </cell>
          <cell r="G245">
            <v>174.43051381755731</v>
          </cell>
          <cell r="I245">
            <v>-104346.21268618244</v>
          </cell>
          <cell r="M245">
            <v>-185.49753365384601</v>
          </cell>
          <cell r="O245">
            <v>-7354</v>
          </cell>
          <cell r="Q245">
            <v>-160729.12781538462</v>
          </cell>
          <cell r="S245">
            <v>202.167</v>
          </cell>
          <cell r="U245">
            <v>-160526.96081538463</v>
          </cell>
          <cell r="W245">
            <v>-17221.5</v>
          </cell>
          <cell r="X245">
            <v>-22748</v>
          </cell>
          <cell r="Z245">
            <v>-2208.4229999999998</v>
          </cell>
          <cell r="AB245">
            <v>1331.346</v>
          </cell>
          <cell r="AD245">
            <v>-201338.21181538465</v>
          </cell>
          <cell r="AF245">
            <v>-8766.7520000000022</v>
          </cell>
          <cell r="AH245">
            <v>-2329.5149999999999</v>
          </cell>
          <cell r="AJ245">
            <v>-11096.267000000002</v>
          </cell>
          <cell r="AL245">
            <v>-54085.543999999994</v>
          </cell>
          <cell r="AN245">
            <v>10926.715</v>
          </cell>
          <cell r="AP245">
            <v>-54255.095999999998</v>
          </cell>
          <cell r="AR245">
            <v>-23069.841348416292</v>
          </cell>
          <cell r="AT245">
            <v>-390549.11376344506</v>
          </cell>
          <cell r="AV245">
            <v>82287.526153846149</v>
          </cell>
          <cell r="AX245">
            <v>-308261.58760959876</v>
          </cell>
          <cell r="AZ245" t="str">
            <v>TOTAL PASSIV</v>
          </cell>
          <cell r="BA245">
            <v>0.22499999999854481</v>
          </cell>
          <cell r="BC245">
            <v>-246675.06013</v>
          </cell>
          <cell r="BE245">
            <v>-67407.641000000003</v>
          </cell>
          <cell r="BG245">
            <v>-4683.6854635847176</v>
          </cell>
          <cell r="BI245">
            <v>-318766.38659358473</v>
          </cell>
          <cell r="BM245">
            <v>-769.16449999999963</v>
          </cell>
          <cell r="BO245">
            <v>-30098.775000000001</v>
          </cell>
          <cell r="BQ245">
            <v>-579574.90399999998</v>
          </cell>
          <cell r="BS245">
            <v>0</v>
          </cell>
          <cell r="BU245">
            <v>-579574.90399999998</v>
          </cell>
          <cell r="BW245">
            <v>-84288.5</v>
          </cell>
          <cell r="BX245">
            <v>-70026</v>
          </cell>
          <cell r="BZ245">
            <v>-7725.1710000000021</v>
          </cell>
          <cell r="CB245">
            <v>4892.9960000000001</v>
          </cell>
          <cell r="CD245">
            <v>-736721.57899999991</v>
          </cell>
          <cell r="CF245">
            <v>-5484.4809999999998</v>
          </cell>
          <cell r="CH245">
            <v>-1948.2059999999983</v>
          </cell>
          <cell r="CJ245">
            <v>-7432.686999999999</v>
          </cell>
          <cell r="CL245">
            <v>-167842.1</v>
          </cell>
          <cell r="CN245">
            <v>6972.8</v>
          </cell>
          <cell r="CP245">
            <v>-168301.98699999999</v>
          </cell>
          <cell r="CR245">
            <v>-82090.601999999999</v>
          </cell>
          <cell r="CT245">
            <v>-1336748.6760935849</v>
          </cell>
          <cell r="CU245">
            <v>0.18200000049546361</v>
          </cell>
          <cell r="CV245">
            <v>241246.30690000003</v>
          </cell>
          <cell r="CX245">
            <v>-1095502.3691935847</v>
          </cell>
          <cell r="FC245">
            <v>-361862.60800000001</v>
          </cell>
          <cell r="FD245">
            <v>-67407.860472</v>
          </cell>
          <cell r="FE245">
            <v>17479.519406415286</v>
          </cell>
          <cell r="FF245">
            <v>-411790.94906558469</v>
          </cell>
          <cell r="FG245">
            <v>-771.43600000000049</v>
          </cell>
          <cell r="FH245">
            <v>-30294.5</v>
          </cell>
          <cell r="FI245">
            <v>-652430.36599999992</v>
          </cell>
          <cell r="FJ245">
            <v>-71643.5</v>
          </cell>
          <cell r="FK245">
            <v>-96114</v>
          </cell>
          <cell r="FL245">
            <v>-8499.7179999999989</v>
          </cell>
          <cell r="FM245">
            <v>5338.4879999999994</v>
          </cell>
          <cell r="FN245">
            <v>-823349.09600000014</v>
          </cell>
          <cell r="FO245">
            <v>-46846.699219000002</v>
          </cell>
          <cell r="FP245">
            <v>-227212.26199999999</v>
          </cell>
          <cell r="FQ245">
            <v>45995.595218999995</v>
          </cell>
          <cell r="FR245">
            <v>-228063.36600000001</v>
          </cell>
          <cell r="FS245">
            <v>-89217.838000000003</v>
          </cell>
          <cell r="FT245">
            <v>-1583487.1850655845</v>
          </cell>
          <cell r="FU245">
            <v>326620.5264160767</v>
          </cell>
          <cell r="FV245">
            <v>-1256866.6586495077</v>
          </cell>
          <cell r="FW245" t="str">
            <v>TOTAL PASSIVE</v>
          </cell>
          <cell r="FX245">
            <v>-823349.09600000014</v>
          </cell>
          <cell r="FY245">
            <v>-228063.36600000001</v>
          </cell>
          <cell r="FZ245">
            <v>-0.43684500000381377</v>
          </cell>
          <cell r="GA245">
            <v>-1051412.8988450002</v>
          </cell>
          <cell r="GB245">
            <v>-1065511.8210604198</v>
          </cell>
          <cell r="GC245">
            <v>-1256866.6586495077</v>
          </cell>
          <cell r="GD245">
            <v>-1273720.6132423426</v>
          </cell>
          <cell r="GE245">
            <v>-251331.67290450804</v>
          </cell>
          <cell r="GF245">
            <v>4.0772730342298766</v>
          </cell>
          <cell r="GG245">
            <v>-616372.35683731572</v>
          </cell>
          <cell r="GH245">
            <v>0</v>
          </cell>
        </row>
        <row r="246">
          <cell r="Z246" t="str">
            <v xml:space="preserve"> </v>
          </cell>
          <cell r="AT246">
            <v>0.25437980779679492</v>
          </cell>
          <cell r="BQ246" t="str">
            <v xml:space="preserve">   </v>
          </cell>
          <cell r="CD246">
            <v>0</v>
          </cell>
          <cell r="CT246">
            <v>0.18200000040087616</v>
          </cell>
          <cell r="CU246">
            <v>-0.18200000040087616</v>
          </cell>
        </row>
        <row r="247">
          <cell r="I247">
            <v>0</v>
          </cell>
          <cell r="U247">
            <v>0</v>
          </cell>
          <cell r="AD247">
            <v>-35.326000000000931</v>
          </cell>
          <cell r="AJ247">
            <v>0</v>
          </cell>
          <cell r="AP247">
            <v>0</v>
          </cell>
          <cell r="CD247">
            <v>0</v>
          </cell>
          <cell r="HJ247" t="str">
            <v>/rv{esc}{r 2}~~{r 2}+{l 4}+{L 2}~{D}{l 2}</v>
          </cell>
        </row>
        <row r="248">
          <cell r="CD248">
            <v>0</v>
          </cell>
        </row>
        <row r="249">
          <cell r="CD249">
            <v>0</v>
          </cell>
        </row>
        <row r="250">
          <cell r="A250">
            <v>0</v>
          </cell>
          <cell r="E250" t="str">
            <v>CONSOLIDATED STATEMENTS</v>
          </cell>
          <cell r="M250" t="str">
            <v>Pnai Plus</v>
          </cell>
          <cell r="Q250" t="str">
            <v xml:space="preserve"> AS AT </v>
          </cell>
          <cell r="AF250" t="str">
            <v xml:space="preserve"> AS AT </v>
          </cell>
          <cell r="AP250">
            <v>0</v>
          </cell>
          <cell r="AZ250">
            <v>0</v>
          </cell>
          <cell r="BG250" t="str">
            <v>CONSOLIDATED STATEMENTS</v>
          </cell>
          <cell r="BS250" t="str">
            <v xml:space="preserve"> AS AT </v>
          </cell>
          <cell r="BW250" t="str">
            <v>IDAN</v>
          </cell>
          <cell r="CD250">
            <v>0</v>
          </cell>
          <cell r="CF250" t="str">
            <v xml:space="preserve"> AS AT </v>
          </cell>
          <cell r="CP250">
            <v>0</v>
          </cell>
          <cell r="CU250">
            <v>0</v>
          </cell>
          <cell r="FH250" t="str">
            <v>Netcom</v>
          </cell>
          <cell r="FJ250" t="str">
            <v>IDAN</v>
          </cell>
          <cell r="FL250" t="str">
            <v>EDOM</v>
          </cell>
          <cell r="FN250">
            <v>0</v>
          </cell>
          <cell r="FS250">
            <v>0</v>
          </cell>
          <cell r="FT250" t="str">
            <v>TOTAL</v>
          </cell>
          <cell r="FU250" t="str">
            <v>J.ENTRIES</v>
          </cell>
          <cell r="FV250" t="str">
            <v>TOTAL</v>
          </cell>
          <cell r="FW250" t="str">
            <v>T.L.M</v>
          </cell>
          <cell r="FX250">
            <v>0</v>
          </cell>
          <cell r="FY250">
            <v>0</v>
          </cell>
          <cell r="GA250">
            <v>0</v>
          </cell>
          <cell r="GB250">
            <v>0</v>
          </cell>
          <cell r="GD250">
            <v>0</v>
          </cell>
          <cell r="GE250">
            <v>0</v>
          </cell>
          <cell r="GF250" t="e">
            <v>#DIV/0!</v>
          </cell>
          <cell r="GG250" t="str">
            <v>TOTAL</v>
          </cell>
          <cell r="GH250">
            <v>0</v>
          </cell>
        </row>
        <row r="251">
          <cell r="G251" t="str">
            <v>A.C.T.V.</v>
          </cell>
          <cell r="S251" t="str">
            <v>G.C.&amp; CO.</v>
          </cell>
          <cell r="Z251" t="str">
            <v>G.C.&amp; CO. CONSOLIDATED</v>
          </cell>
          <cell r="AF251" t="str">
            <v>SOUTH SHARON COMM.</v>
          </cell>
          <cell r="AL251" t="str">
            <v>T.L.M</v>
          </cell>
          <cell r="AN251" t="str">
            <v>S.S.C.-CONSOLIDATED</v>
          </cell>
          <cell r="AR251" t="str">
            <v>MERCAZ</v>
          </cell>
          <cell r="AV251" t="str">
            <v xml:space="preserve">A.L.I.S-CONSOLIDATED </v>
          </cell>
          <cell r="BG251" t="str">
            <v>A.C.T.V.</v>
          </cell>
          <cell r="BZ251" t="str">
            <v>G.C.&amp; CO. CONSOLIDATED</v>
          </cell>
          <cell r="CD251">
            <v>0</v>
          </cell>
          <cell r="CF251" t="str">
            <v>SOUTH SHARON COMM.</v>
          </cell>
          <cell r="CL251" t="str">
            <v>T.L.M</v>
          </cell>
          <cell r="CN251" t="str">
            <v>S.S.C.-CONSOLIDATED</v>
          </cell>
          <cell r="CR251" t="str">
            <v>MERCAZ</v>
          </cell>
          <cell r="CU251">
            <v>0</v>
          </cell>
          <cell r="CV251" t="str">
            <v xml:space="preserve">CONSOLIDATED </v>
          </cell>
          <cell r="FE251" t="str">
            <v>A.C.T.V.</v>
          </cell>
          <cell r="FN251">
            <v>0</v>
          </cell>
          <cell r="FP251" t="str">
            <v>T.L.M</v>
          </cell>
          <cell r="FQ251" t="str">
            <v>S.S.C.-CONSOLIDATED</v>
          </cell>
          <cell r="FS251">
            <v>0</v>
          </cell>
          <cell r="FT251" t="str">
            <v>"31/12/98</v>
          </cell>
          <cell r="FV251" t="str">
            <v>"31/12/98</v>
          </cell>
          <cell r="FX251">
            <v>0</v>
          </cell>
          <cell r="FY251">
            <v>0</v>
          </cell>
          <cell r="GA251">
            <v>0</v>
          </cell>
          <cell r="GB251">
            <v>0</v>
          </cell>
          <cell r="GD251">
            <v>0</v>
          </cell>
          <cell r="GE251">
            <v>0</v>
          </cell>
          <cell r="GF251" t="e">
            <v>#DIV/0!</v>
          </cell>
          <cell r="GG251" t="str">
            <v>31/12/97</v>
          </cell>
          <cell r="GH251">
            <v>0</v>
          </cell>
        </row>
        <row r="252">
          <cell r="A252">
            <v>36661.599853703701</v>
          </cell>
          <cell r="B252">
            <v>36661.599853703701</v>
          </cell>
          <cell r="C252" t="str">
            <v>A.C.T.V.</v>
          </cell>
          <cell r="E252" t="str">
            <v>A.L.I.S</v>
          </cell>
          <cell r="G252" t="str">
            <v>J.ENTRIES</v>
          </cell>
          <cell r="I252" t="str">
            <v>TOTAL</v>
          </cell>
          <cell r="O252" t="str">
            <v>Netcom</v>
          </cell>
          <cell r="Q252" t="str">
            <v>G.C.&amp; CO.</v>
          </cell>
          <cell r="S252" t="str">
            <v>J.ENTRIES</v>
          </cell>
          <cell r="U252" t="str">
            <v>TOTAL</v>
          </cell>
          <cell r="W252" t="str">
            <v>עידן</v>
          </cell>
          <cell r="X252" t="str">
            <v>רוו"ה</v>
          </cell>
          <cell r="Z252" t="str">
            <v>A. EDOM</v>
          </cell>
          <cell r="AB252" t="str">
            <v>J.ENTRIES</v>
          </cell>
          <cell r="AD252" t="str">
            <v>TOTAL</v>
          </cell>
          <cell r="AF252" t="str">
            <v>S.S.C.</v>
          </cell>
          <cell r="AH252" t="str">
            <v>J.ENTRIES</v>
          </cell>
          <cell r="AJ252" t="str">
            <v>TOTAL</v>
          </cell>
          <cell r="AL252" t="str">
            <v>T.L.M</v>
          </cell>
          <cell r="AN252" t="str">
            <v>J.ENTRIES</v>
          </cell>
          <cell r="AP252" t="str">
            <v>TOTAL</v>
          </cell>
          <cell r="AR252" t="str">
            <v>MERCAZ</v>
          </cell>
          <cell r="AT252" t="str">
            <v>TOTAL</v>
          </cell>
          <cell r="AV252" t="str">
            <v>J.ENTRIES</v>
          </cell>
          <cell r="AX252" t="str">
            <v>TOTAL</v>
          </cell>
          <cell r="AZ252">
            <v>36661.599853703701</v>
          </cell>
          <cell r="BC252" t="str">
            <v>A.C.T.V.</v>
          </cell>
          <cell r="BE252" t="str">
            <v>A.L.I.S</v>
          </cell>
          <cell r="BG252" t="str">
            <v>J.ENTRIES</v>
          </cell>
          <cell r="BI252" t="str">
            <v>TOTAL</v>
          </cell>
          <cell r="BM252" t="str">
            <v>Pnai Plus</v>
          </cell>
          <cell r="BQ252" t="str">
            <v>G.C.&amp; CO.</v>
          </cell>
          <cell r="BS252" t="str">
            <v>J.ENTRIES</v>
          </cell>
          <cell r="BU252" t="str">
            <v>TOTAL</v>
          </cell>
          <cell r="BW252" t="str">
            <v>IDAN</v>
          </cell>
          <cell r="BX252" t="str">
            <v>IDAN (PR&amp;L)</v>
          </cell>
          <cell r="BZ252" t="str">
            <v>A. EDOM</v>
          </cell>
          <cell r="CB252" t="str">
            <v>J.ENTRIES</v>
          </cell>
          <cell r="CD252">
            <v>0</v>
          </cell>
          <cell r="CF252" t="str">
            <v>S.S.C.</v>
          </cell>
          <cell r="CH252" t="str">
            <v>J.ENTRIES</v>
          </cell>
          <cell r="CJ252" t="str">
            <v>TOTAL</v>
          </cell>
          <cell r="CL252" t="str">
            <v>T.L.M</v>
          </cell>
          <cell r="CN252" t="str">
            <v>J.ENTRIES</v>
          </cell>
          <cell r="CP252" t="str">
            <v>TOTAL</v>
          </cell>
          <cell r="CR252" t="str">
            <v>MERCAZ</v>
          </cell>
          <cell r="CT252" t="str">
            <v>TOTAL</v>
          </cell>
          <cell r="CU252">
            <v>0</v>
          </cell>
          <cell r="CV252" t="str">
            <v>J.ENTRIES</v>
          </cell>
          <cell r="CX252" t="str">
            <v>TOTAL</v>
          </cell>
          <cell r="FE252" t="str">
            <v>J.ENTRIES</v>
          </cell>
          <cell r="FL252" t="str">
            <v>G.C.&amp; CO. CONSOLIDATED</v>
          </cell>
          <cell r="FM252" t="str">
            <v>J.ENTRIES</v>
          </cell>
          <cell r="FN252">
            <v>0</v>
          </cell>
          <cell r="FO252" t="str">
            <v>TOTAL</v>
          </cell>
          <cell r="FP252" t="str">
            <v>T.L.M</v>
          </cell>
          <cell r="FQ252" t="str">
            <v>J.ENTRIES</v>
          </cell>
          <cell r="FR252" t="str">
            <v>TOTAL</v>
          </cell>
          <cell r="FS252">
            <v>0</v>
          </cell>
          <cell r="FU252" t="str">
            <v xml:space="preserve">A.L.I.S-CONSOLIDATED </v>
          </cell>
          <cell r="FW252">
            <v>36661.599853703701</v>
          </cell>
          <cell r="FX252">
            <v>0</v>
          </cell>
          <cell r="FY252" t="str">
            <v>TOTAL</v>
          </cell>
          <cell r="GA252">
            <v>0</v>
          </cell>
          <cell r="GB252">
            <v>0</v>
          </cell>
          <cell r="GD252">
            <v>0</v>
          </cell>
          <cell r="GE252">
            <v>0</v>
          </cell>
          <cell r="GF252" t="e">
            <v>#DIV/0!</v>
          </cell>
          <cell r="GH252">
            <v>0</v>
          </cell>
        </row>
        <row r="253">
          <cell r="C253" t="str">
            <v>000$</v>
          </cell>
          <cell r="E253" t="str">
            <v>000$</v>
          </cell>
          <cell r="G253" t="str">
            <v>000$</v>
          </cell>
          <cell r="I253" t="str">
            <v>000$</v>
          </cell>
          <cell r="Q253" t="str">
            <v>000$</v>
          </cell>
          <cell r="S253" t="str">
            <v>000$</v>
          </cell>
          <cell r="U253" t="str">
            <v>000$</v>
          </cell>
          <cell r="W253" t="str">
            <v>000$</v>
          </cell>
          <cell r="X253" t="str">
            <v>000$</v>
          </cell>
          <cell r="Z253" t="str">
            <v>000$</v>
          </cell>
          <cell r="AB253" t="str">
            <v>000$</v>
          </cell>
          <cell r="AD253" t="str">
            <v>000$</v>
          </cell>
          <cell r="AF253" t="str">
            <v>000$</v>
          </cell>
          <cell r="AH253" t="str">
            <v>000$</v>
          </cell>
          <cell r="AJ253" t="str">
            <v>000$</v>
          </cell>
          <cell r="AP253" t="str">
            <v>000$</v>
          </cell>
          <cell r="AR253" t="str">
            <v>000$</v>
          </cell>
          <cell r="AT253" t="str">
            <v>000$</v>
          </cell>
          <cell r="AV253" t="str">
            <v>000$</v>
          </cell>
          <cell r="AX253" t="str">
            <v>000$</v>
          </cell>
          <cell r="BC253" t="str">
            <v>000NIS</v>
          </cell>
          <cell r="BE253" t="str">
            <v>000NIS</v>
          </cell>
          <cell r="BG253" t="str">
            <v>000NIS</v>
          </cell>
          <cell r="BI253" t="str">
            <v>000NIS</v>
          </cell>
          <cell r="BM253" t="str">
            <v>000NIS</v>
          </cell>
          <cell r="BQ253" t="str">
            <v>000NIS</v>
          </cell>
          <cell r="BS253" t="str">
            <v>000NIS</v>
          </cell>
          <cell r="BU253" t="str">
            <v>000NIS</v>
          </cell>
          <cell r="BW253" t="str">
            <v>000NIS</v>
          </cell>
          <cell r="BX253" t="str">
            <v>000NIS</v>
          </cell>
          <cell r="BZ253" t="str">
            <v>000NIS</v>
          </cell>
          <cell r="CB253" t="str">
            <v>000NIS</v>
          </cell>
          <cell r="CD253">
            <v>0</v>
          </cell>
          <cell r="CF253" t="str">
            <v>000NIS</v>
          </cell>
          <cell r="CH253" t="str">
            <v>000NIS</v>
          </cell>
          <cell r="CJ253" t="str">
            <v>000NIS</v>
          </cell>
          <cell r="CL253" t="str">
            <v>000NIS</v>
          </cell>
          <cell r="CN253" t="str">
            <v>000NIS</v>
          </cell>
          <cell r="CP253" t="str">
            <v>000NIS</v>
          </cell>
          <cell r="CR253" t="str">
            <v>000NIS</v>
          </cell>
          <cell r="CT253" t="str">
            <v>000$</v>
          </cell>
          <cell r="CU253">
            <v>0</v>
          </cell>
          <cell r="CV253" t="str">
            <v>000NIS</v>
          </cell>
          <cell r="CX253" t="str">
            <v>000NIS</v>
          </cell>
          <cell r="FE253" t="str">
            <v>000$</v>
          </cell>
          <cell r="FM253" t="str">
            <v>000NIS</v>
          </cell>
          <cell r="FN253">
            <v>0</v>
          </cell>
          <cell r="FO253" t="str">
            <v>000NIS</v>
          </cell>
          <cell r="FR253" t="str">
            <v>000NIS</v>
          </cell>
          <cell r="FS253">
            <v>0</v>
          </cell>
          <cell r="FX253">
            <v>0</v>
          </cell>
          <cell r="FY253" t="str">
            <v>000NIS</v>
          </cell>
          <cell r="GA253">
            <v>0</v>
          </cell>
          <cell r="GB253">
            <v>0</v>
          </cell>
          <cell r="GD253">
            <v>0</v>
          </cell>
          <cell r="GE253">
            <v>0</v>
          </cell>
          <cell r="GF253" t="e">
            <v>#DIV/0!</v>
          </cell>
          <cell r="GH253">
            <v>0</v>
          </cell>
        </row>
        <row r="254">
          <cell r="A254" t="str">
            <v>INCOME\ subscribers fees</v>
          </cell>
          <cell r="I254">
            <v>0</v>
          </cell>
          <cell r="Q254">
            <v>-75668.119000000006</v>
          </cell>
          <cell r="U254">
            <v>-75668.119000000006</v>
          </cell>
          <cell r="X254">
            <v>-15254</v>
          </cell>
          <cell r="Z254">
            <v>-1518.3140000000001</v>
          </cell>
          <cell r="AD254">
            <v>-92440.433000000005</v>
          </cell>
          <cell r="AJ254">
            <v>0</v>
          </cell>
          <cell r="AL254">
            <v>-42317.017</v>
          </cell>
          <cell r="AP254">
            <v>-42317.017</v>
          </cell>
          <cell r="AT254">
            <v>-134757.45000000001</v>
          </cell>
          <cell r="AX254">
            <v>-134757.45000000001</v>
          </cell>
          <cell r="AZ254" t="str">
            <v>INCOME</v>
          </cell>
          <cell r="BI254">
            <v>0</v>
          </cell>
          <cell r="BQ254">
            <v>-286051.68199999997</v>
          </cell>
          <cell r="BU254">
            <v>-286051.68199999997</v>
          </cell>
          <cell r="BZ254">
            <v>-5734.06</v>
          </cell>
          <cell r="CD254">
            <v>-291785.74199999997</v>
          </cell>
          <cell r="CJ254">
            <v>0</v>
          </cell>
          <cell r="CL254">
            <v>-158720</v>
          </cell>
          <cell r="CP254">
            <v>-158720</v>
          </cell>
          <cell r="CQ254">
            <v>0</v>
          </cell>
          <cell r="CT254">
            <v>-450505.74199999997</v>
          </cell>
          <cell r="CU254">
            <v>0</v>
          </cell>
          <cell r="CX254">
            <v>-450505.74199999997</v>
          </cell>
          <cell r="FI254">
            <v>-300753.03200000001</v>
          </cell>
          <cell r="FK254">
            <v>-62980</v>
          </cell>
          <cell r="FL254">
            <v>-6023.0940000000001</v>
          </cell>
          <cell r="FN254">
            <v>-369756.12599999999</v>
          </cell>
          <cell r="FO254">
            <v>0</v>
          </cell>
          <cell r="FP254">
            <v>-167741</v>
          </cell>
          <cell r="FR254">
            <v>-167741</v>
          </cell>
          <cell r="FS254">
            <v>0</v>
          </cell>
          <cell r="FT254">
            <v>-537497.12599999993</v>
          </cell>
          <cell r="FV254">
            <v>-537497.12599999993</v>
          </cell>
          <cell r="FW254" t="str">
            <v>INCOME\ subscribers fees</v>
          </cell>
          <cell r="FX254">
            <v>-369756.12599999999</v>
          </cell>
          <cell r="FY254">
            <v>-167741</v>
          </cell>
          <cell r="GA254">
            <v>-537497.12599999993</v>
          </cell>
          <cell r="GB254">
            <v>-544704.69419591094</v>
          </cell>
          <cell r="GC254">
            <v>0</v>
          </cell>
          <cell r="GD254">
            <v>0</v>
          </cell>
          <cell r="GE254">
            <v>0</v>
          </cell>
          <cell r="GF254">
            <v>3.9886264247357004</v>
          </cell>
          <cell r="GG254">
            <v>-443872.54765055527</v>
          </cell>
          <cell r="GH254">
            <v>0</v>
          </cell>
        </row>
        <row r="255">
          <cell r="A255" t="str">
            <v>income from related parties</v>
          </cell>
          <cell r="M255" t="str">
            <v xml:space="preserve"> </v>
          </cell>
          <cell r="U255">
            <v>0</v>
          </cell>
          <cell r="AJ255">
            <v>0</v>
          </cell>
          <cell r="AP255">
            <v>0</v>
          </cell>
          <cell r="AT255">
            <v>0</v>
          </cell>
          <cell r="AX255">
            <v>0</v>
          </cell>
          <cell r="CJ255">
            <v>0</v>
          </cell>
          <cell r="CL255">
            <v>-5106</v>
          </cell>
          <cell r="CP255">
            <v>-5106</v>
          </cell>
          <cell r="CQ255">
            <v>0</v>
          </cell>
          <cell r="CT255">
            <v>-5106</v>
          </cell>
          <cell r="CU255">
            <v>0</v>
          </cell>
          <cell r="CX255">
            <v>-5106</v>
          </cell>
          <cell r="FN255">
            <v>0</v>
          </cell>
          <cell r="FR255">
            <v>0</v>
          </cell>
          <cell r="FT255">
            <v>0</v>
          </cell>
          <cell r="FW255" t="str">
            <v>income from related parties</v>
          </cell>
          <cell r="FX255">
            <v>0</v>
          </cell>
          <cell r="FY255">
            <v>0</v>
          </cell>
          <cell r="GA255">
            <v>0</v>
          </cell>
          <cell r="GB255">
            <v>0</v>
          </cell>
          <cell r="GC255">
            <v>0</v>
          </cell>
          <cell r="GD255">
            <v>0</v>
          </cell>
          <cell r="GE255">
            <v>0</v>
          </cell>
          <cell r="GF255" t="e">
            <v>#DIV/0!</v>
          </cell>
        </row>
        <row r="256">
          <cell r="A256" t="str">
            <v>other than subscribers\installation</v>
          </cell>
          <cell r="I256">
            <v>0</v>
          </cell>
          <cell r="M256" t="str">
            <v xml:space="preserve"> </v>
          </cell>
          <cell r="Q256">
            <v>-567.25199999999995</v>
          </cell>
          <cell r="U256">
            <v>-567.25199999999995</v>
          </cell>
          <cell r="X256">
            <v>-248.5</v>
          </cell>
          <cell r="Z256">
            <v>-9.0299999999999994</v>
          </cell>
          <cell r="AD256">
            <v>-824.78199999999993</v>
          </cell>
          <cell r="AJ256">
            <v>0</v>
          </cell>
          <cell r="AL256">
            <v>-1723.6110000000001</v>
          </cell>
          <cell r="AP256">
            <v>-1723.6110000000001</v>
          </cell>
          <cell r="AT256">
            <v>-2548.393</v>
          </cell>
          <cell r="AV256">
            <v>-1963.3520000000003</v>
          </cell>
          <cell r="AX256">
            <v>-4511.7450000000008</v>
          </cell>
          <cell r="AZ256" t="str">
            <v>other from subscribers</v>
          </cell>
          <cell r="BI256">
            <v>0</v>
          </cell>
          <cell r="BQ256">
            <v>-2276.9290000000001</v>
          </cell>
          <cell r="BU256">
            <v>-2276.9290000000001</v>
          </cell>
          <cell r="BZ256">
            <v>-38.411000000000001</v>
          </cell>
          <cell r="CD256">
            <v>-2315.34</v>
          </cell>
          <cell r="CJ256">
            <v>0</v>
          </cell>
          <cell r="CP256">
            <v>0</v>
          </cell>
          <cell r="CQ256">
            <v>0</v>
          </cell>
          <cell r="CT256">
            <v>-2315.34</v>
          </cell>
          <cell r="CU256">
            <v>0</v>
          </cell>
          <cell r="CV256">
            <v>-66062.256999999998</v>
          </cell>
          <cell r="CX256">
            <v>-68377.596999999994</v>
          </cell>
          <cell r="FI256">
            <v>-2319.9209999999998</v>
          </cell>
          <cell r="FK256">
            <v>-1028</v>
          </cell>
          <cell r="FL256">
            <v>-38.012</v>
          </cell>
          <cell r="FN256">
            <v>-3385.933</v>
          </cell>
          <cell r="FO256">
            <v>0</v>
          </cell>
          <cell r="FP256">
            <v>-6131</v>
          </cell>
          <cell r="FR256">
            <v>-6131</v>
          </cell>
          <cell r="FS256">
            <v>0</v>
          </cell>
          <cell r="FT256">
            <v>-9516.9330000000009</v>
          </cell>
          <cell r="FV256">
            <v>-9516.9330000000009</v>
          </cell>
          <cell r="FW256" t="str">
            <v>other than subscribers\installation</v>
          </cell>
          <cell r="FX256">
            <v>-3385.933</v>
          </cell>
          <cell r="FY256">
            <v>-6131</v>
          </cell>
          <cell r="GA256">
            <v>-9516.9330000000009</v>
          </cell>
          <cell r="GB256">
            <v>-9644.5503216476245</v>
          </cell>
          <cell r="GC256">
            <v>0</v>
          </cell>
          <cell r="GD256">
            <v>0</v>
          </cell>
          <cell r="GE256">
            <v>0</v>
          </cell>
          <cell r="GF256">
            <v>2.1093685480894862</v>
          </cell>
          <cell r="GG256">
            <v>-12724.068125408232</v>
          </cell>
          <cell r="GH256">
            <v>0</v>
          </cell>
        </row>
        <row r="257">
          <cell r="A257" t="str">
            <v>publishing\deposits</v>
          </cell>
          <cell r="I257">
            <v>0</v>
          </cell>
          <cell r="M257" t="str">
            <v xml:space="preserve"> </v>
          </cell>
          <cell r="Q257">
            <v>-1112.4390000000001</v>
          </cell>
          <cell r="U257">
            <v>-1112.4390000000001</v>
          </cell>
          <cell r="Z257">
            <v>-11.737</v>
          </cell>
          <cell r="AD257">
            <v>-1124.1760000000002</v>
          </cell>
          <cell r="AH257">
            <v>0</v>
          </cell>
          <cell r="AJ257">
            <v>0</v>
          </cell>
          <cell r="AP257">
            <v>0</v>
          </cell>
          <cell r="AT257">
            <v>-1124.1760000000002</v>
          </cell>
          <cell r="AV257">
            <v>1124.1760000000002</v>
          </cell>
          <cell r="AX257">
            <v>0</v>
          </cell>
          <cell r="AZ257" t="str">
            <v>publishing</v>
          </cell>
          <cell r="BI257">
            <v>0</v>
          </cell>
          <cell r="BQ257">
            <v>-2475.7150000000001</v>
          </cell>
          <cell r="BU257">
            <v>-2475.7150000000001</v>
          </cell>
          <cell r="BZ257">
            <v>-26.46</v>
          </cell>
          <cell r="CD257">
            <v>-2502.1750000000002</v>
          </cell>
          <cell r="CH257">
            <v>0</v>
          </cell>
          <cell r="CJ257">
            <v>0</v>
          </cell>
          <cell r="CP257">
            <v>0</v>
          </cell>
          <cell r="CQ257">
            <v>0</v>
          </cell>
          <cell r="CT257">
            <v>-2502.1750000000002</v>
          </cell>
          <cell r="CU257">
            <v>0</v>
          </cell>
          <cell r="CV257">
            <v>2502.1750000000002</v>
          </cell>
          <cell r="CX257">
            <v>0</v>
          </cell>
          <cell r="FI257">
            <v>-3517.7739999999999</v>
          </cell>
          <cell r="FL257">
            <v>-37.137</v>
          </cell>
          <cell r="FN257">
            <v>-3554.9110000000001</v>
          </cell>
          <cell r="FO257">
            <v>0</v>
          </cell>
          <cell r="FR257">
            <v>0</v>
          </cell>
          <cell r="FS257">
            <v>0</v>
          </cell>
          <cell r="FT257">
            <v>-3554.9110000000001</v>
          </cell>
          <cell r="FV257">
            <v>-3554.9110000000001</v>
          </cell>
          <cell r="FW257" t="str">
            <v>publishing\deposits</v>
          </cell>
          <cell r="FX257">
            <v>-3554.9110000000001</v>
          </cell>
          <cell r="FY257">
            <v>0</v>
          </cell>
          <cell r="GA257">
            <v>-3554.9110000000001</v>
          </cell>
          <cell r="GB257">
            <v>-3602.5805822609741</v>
          </cell>
          <cell r="GC257">
            <v>0</v>
          </cell>
          <cell r="GD257">
            <v>0</v>
          </cell>
          <cell r="GE257">
            <v>0</v>
          </cell>
          <cell r="GF257" t="e">
            <v>#DIV/0!</v>
          </cell>
          <cell r="GG257">
            <v>-10.344055519268453</v>
          </cell>
          <cell r="GH257">
            <v>0</v>
          </cell>
        </row>
        <row r="258">
          <cell r="A258" t="str">
            <v>management fees-from GC&amp;co</v>
          </cell>
          <cell r="C258">
            <v>-2389.4520000000002</v>
          </cell>
          <cell r="G258">
            <v>-1009.615</v>
          </cell>
          <cell r="I258">
            <v>-3399.067</v>
          </cell>
          <cell r="U258">
            <v>0</v>
          </cell>
          <cell r="AD258">
            <v>0</v>
          </cell>
          <cell r="AF258">
            <v>-26.103999999999999</v>
          </cell>
          <cell r="AJ258">
            <v>-26.103999999999999</v>
          </cell>
          <cell r="AN258">
            <v>26.103999999999999</v>
          </cell>
          <cell r="AP258">
            <v>0</v>
          </cell>
          <cell r="AT258">
            <v>-3399.067</v>
          </cell>
          <cell r="AV258">
            <v>3399.067</v>
          </cell>
          <cell r="AX258">
            <v>0</v>
          </cell>
          <cell r="AZ258" t="str">
            <v>management fees-from GC&amp;co</v>
          </cell>
          <cell r="BC258">
            <v>-9941.6869999999999</v>
          </cell>
          <cell r="BG258">
            <v>-4200</v>
          </cell>
          <cell r="BI258">
            <v>-14141.687</v>
          </cell>
          <cell r="BM258">
            <v>-11553.8285</v>
          </cell>
          <cell r="BU258">
            <v>0</v>
          </cell>
          <cell r="CD258">
            <v>0</v>
          </cell>
          <cell r="CQ258">
            <v>0</v>
          </cell>
          <cell r="CT258">
            <v>-25695.515500000001</v>
          </cell>
          <cell r="CU258">
            <v>0</v>
          </cell>
          <cell r="CV258">
            <v>25695.515500000001</v>
          </cell>
          <cell r="CX258">
            <v>0</v>
          </cell>
          <cell r="FC258">
            <v>-14141.687</v>
          </cell>
          <cell r="FF258">
            <v>-14141.687</v>
          </cell>
          <cell r="FN258">
            <v>0</v>
          </cell>
          <cell r="FO258">
            <v>-108.59399999999999</v>
          </cell>
          <cell r="FR258">
            <v>-108.59399999999999</v>
          </cell>
          <cell r="FS258">
            <v>0</v>
          </cell>
          <cell r="FT258">
            <v>-14250.280999999999</v>
          </cell>
          <cell r="FU258">
            <v>14250.280999999999</v>
          </cell>
          <cell r="FV258">
            <v>0</v>
          </cell>
          <cell r="FW258" t="str">
            <v>management fees-from GC&amp;co</v>
          </cell>
          <cell r="FX258">
            <v>0</v>
          </cell>
          <cell r="FY258">
            <v>-108.59399999999999</v>
          </cell>
          <cell r="FZ258">
            <v>14250.280999999999</v>
          </cell>
          <cell r="GA258">
            <v>14141.687</v>
          </cell>
          <cell r="GB258">
            <v>14331.319964582081</v>
          </cell>
          <cell r="GC258">
            <v>-14141.687</v>
          </cell>
          <cell r="GD258">
            <v>-14331.319964582081</v>
          </cell>
          <cell r="GE258">
            <v>-14141.687</v>
          </cell>
          <cell r="GF258" t="e">
            <v>#DIV/0!</v>
          </cell>
          <cell r="GG258">
            <v>0</v>
          </cell>
          <cell r="GH258">
            <v>0</v>
          </cell>
        </row>
        <row r="259">
          <cell r="A259" t="str">
            <v>management fees-from others</v>
          </cell>
          <cell r="C259">
            <v>-909.452</v>
          </cell>
          <cell r="E259">
            <v>-104.727</v>
          </cell>
          <cell r="G259">
            <v>0</v>
          </cell>
          <cell r="I259">
            <v>-1014.179</v>
          </cell>
          <cell r="M259" t="str">
            <v xml:space="preserve"> </v>
          </cell>
          <cell r="U259">
            <v>0</v>
          </cell>
          <cell r="AD259">
            <v>0</v>
          </cell>
          <cell r="AJ259">
            <v>0</v>
          </cell>
          <cell r="AP259">
            <v>0</v>
          </cell>
          <cell r="AT259">
            <v>-1014.179</v>
          </cell>
          <cell r="AV259">
            <v>1014.179</v>
          </cell>
          <cell r="AX259">
            <v>0</v>
          </cell>
          <cell r="AZ259" t="str">
            <v>management fees-from others</v>
          </cell>
          <cell r="BC259">
            <v>-3783.3209999999999</v>
          </cell>
          <cell r="BE259">
            <v>-367</v>
          </cell>
          <cell r="BI259">
            <v>-4150.3209999999999</v>
          </cell>
          <cell r="BU259">
            <v>0</v>
          </cell>
          <cell r="CD259">
            <v>0</v>
          </cell>
          <cell r="CF259">
            <v>-108.59399999999999</v>
          </cell>
          <cell r="CJ259">
            <v>-108.59399999999999</v>
          </cell>
          <cell r="CN259">
            <v>108.59399999999999</v>
          </cell>
          <cell r="CP259">
            <v>0</v>
          </cell>
          <cell r="CQ259">
            <v>0</v>
          </cell>
          <cell r="CT259">
            <v>-4150.3209999999999</v>
          </cell>
          <cell r="CU259">
            <v>0</v>
          </cell>
          <cell r="CV259">
            <v>4150.3209999999999</v>
          </cell>
          <cell r="CX259">
            <v>0</v>
          </cell>
          <cell r="FC259">
            <v>-3783.3209999999999</v>
          </cell>
          <cell r="FD259">
            <v>-397.33695539999997</v>
          </cell>
          <cell r="FE259">
            <v>0</v>
          </cell>
          <cell r="FF259">
            <v>-4180.6579554</v>
          </cell>
          <cell r="FN259">
            <v>0</v>
          </cell>
          <cell r="FQ259">
            <v>108.59399999999999</v>
          </cell>
          <cell r="FR259">
            <v>108.59399999999999</v>
          </cell>
          <cell r="FS259">
            <v>0</v>
          </cell>
          <cell r="FT259">
            <v>-4072.0639553999999</v>
          </cell>
          <cell r="FU259">
            <v>4072.0639553999999</v>
          </cell>
          <cell r="FV259">
            <v>0</v>
          </cell>
          <cell r="FW259" t="str">
            <v>management fees-from others</v>
          </cell>
          <cell r="FX259">
            <v>0</v>
          </cell>
          <cell r="FY259">
            <v>108.59399999999999</v>
          </cell>
          <cell r="FZ259">
            <v>4072.0639553999999</v>
          </cell>
          <cell r="GA259">
            <v>4180.6579554</v>
          </cell>
          <cell r="GB259">
            <v>4236.7184920238242</v>
          </cell>
          <cell r="GC259">
            <v>-4180.6579554</v>
          </cell>
          <cell r="GD259">
            <v>-4236.7184920238242</v>
          </cell>
          <cell r="GE259">
            <v>-4180.6579554</v>
          </cell>
          <cell r="GF259" t="e">
            <v>#DIV/0!</v>
          </cell>
          <cell r="GG259">
            <v>0</v>
          </cell>
          <cell r="GH259">
            <v>0</v>
          </cell>
        </row>
        <row r="260">
          <cell r="A260" t="str">
            <v>CATV guides</v>
          </cell>
          <cell r="M260">
            <v>-2920.330408653846</v>
          </cell>
          <cell r="AT260">
            <v>-2920.330408653846</v>
          </cell>
          <cell r="AX260">
            <v>-2920.330408653846</v>
          </cell>
          <cell r="FG260">
            <v>-12148.574500000001</v>
          </cell>
          <cell r="FT260">
            <v>-12148.574500000001</v>
          </cell>
          <cell r="FV260">
            <v>-12148.574500000001</v>
          </cell>
          <cell r="FX260">
            <v>0</v>
          </cell>
          <cell r="FY260">
            <v>0</v>
          </cell>
          <cell r="GA260">
            <v>0</v>
          </cell>
          <cell r="GB260">
            <v>0</v>
          </cell>
          <cell r="GC260">
            <v>-12148.574500000001</v>
          </cell>
          <cell r="GD260">
            <v>-12311.480820715575</v>
          </cell>
          <cell r="GE260">
            <v>-12148.574500000001</v>
          </cell>
          <cell r="GF260">
            <v>4.16</v>
          </cell>
        </row>
        <row r="261">
          <cell r="A261" t="str">
            <v>sales\other</v>
          </cell>
          <cell r="I261">
            <v>0</v>
          </cell>
          <cell r="M261" t="str">
            <v xml:space="preserve"> </v>
          </cell>
          <cell r="O261">
            <v>-12206</v>
          </cell>
          <cell r="Q261">
            <v>-597.59500000000003</v>
          </cell>
          <cell r="S261">
            <v>253.27500000000001</v>
          </cell>
          <cell r="U261">
            <v>-344.32</v>
          </cell>
          <cell r="X261">
            <v>-491</v>
          </cell>
          <cell r="Z261">
            <v>-3.8559999999999999</v>
          </cell>
          <cell r="AD261">
            <v>-839.17600000000004</v>
          </cell>
          <cell r="AT261">
            <v>-13045.175999999999</v>
          </cell>
          <cell r="AV261">
            <v>839.17600000000004</v>
          </cell>
          <cell r="AX261">
            <v>-12206</v>
          </cell>
          <cell r="AZ261" t="str">
            <v>sales</v>
          </cell>
          <cell r="BI261">
            <v>0</v>
          </cell>
          <cell r="BO261">
            <v>-46539</v>
          </cell>
          <cell r="BQ261">
            <v>-2285.4279999999999</v>
          </cell>
          <cell r="BU261">
            <v>-2285.4279999999999</v>
          </cell>
          <cell r="BX261">
            <v>-61260</v>
          </cell>
          <cell r="BZ261">
            <v>-14.654</v>
          </cell>
          <cell r="CD261">
            <v>-63560.082000000002</v>
          </cell>
          <cell r="CJ261">
            <v>0</v>
          </cell>
          <cell r="CP261">
            <v>0</v>
          </cell>
          <cell r="CQ261">
            <v>0</v>
          </cell>
          <cell r="CR261">
            <v>-5085.8100000000004</v>
          </cell>
          <cell r="CT261">
            <v>-115184.89200000001</v>
          </cell>
          <cell r="CU261">
            <v>0</v>
          </cell>
          <cell r="CV261">
            <v>63560.082000000002</v>
          </cell>
          <cell r="CX261">
            <v>-51624.81</v>
          </cell>
          <cell r="FH261">
            <v>-48773</v>
          </cell>
          <cell r="FI261">
            <v>-1347.942</v>
          </cell>
          <cell r="FK261">
            <v>-2027</v>
          </cell>
          <cell r="FL261">
            <v>-15.336</v>
          </cell>
          <cell r="FN261">
            <v>-3390.2779999999998</v>
          </cell>
          <cell r="FO261">
            <v>0</v>
          </cell>
          <cell r="FR261">
            <v>0</v>
          </cell>
          <cell r="FS261">
            <v>0</v>
          </cell>
          <cell r="FT261">
            <v>-52163.277999999998</v>
          </cell>
          <cell r="FV261">
            <v>-52163.277999999998</v>
          </cell>
          <cell r="FW261" t="str">
            <v>sales\other</v>
          </cell>
          <cell r="FX261">
            <v>-3390.2779999999998</v>
          </cell>
          <cell r="FY261">
            <v>0</v>
          </cell>
          <cell r="GA261">
            <v>-3390.2779999999998</v>
          </cell>
          <cell r="GB261">
            <v>-3435.7399358989774</v>
          </cell>
          <cell r="GC261">
            <v>-48773</v>
          </cell>
          <cell r="GD261">
            <v>-49427.021587492483</v>
          </cell>
          <cell r="GE261">
            <v>-48773</v>
          </cell>
          <cell r="GF261">
            <v>4.2735767655251511</v>
          </cell>
          <cell r="GG261">
            <v>-34267.770083335439</v>
          </cell>
          <cell r="GH261">
            <v>0</v>
          </cell>
        </row>
        <row r="262">
          <cell r="A262" t="str">
            <v>rental</v>
          </cell>
          <cell r="M262" t="str">
            <v xml:space="preserve"> </v>
          </cell>
          <cell r="AD262">
            <v>0</v>
          </cell>
          <cell r="AJ262">
            <v>0</v>
          </cell>
          <cell r="AP262">
            <v>0</v>
          </cell>
          <cell r="AR262">
            <v>-1341.8989999999999</v>
          </cell>
          <cell r="AT262">
            <v>-1341.8989999999999</v>
          </cell>
          <cell r="AV262">
            <v>532.08199999999999</v>
          </cell>
          <cell r="AX262">
            <v>-809.81699999999989</v>
          </cell>
          <cell r="AZ262" t="str">
            <v>Rental</v>
          </cell>
          <cell r="CD262">
            <v>0</v>
          </cell>
          <cell r="CP262">
            <v>0</v>
          </cell>
          <cell r="CQ262">
            <v>0</v>
          </cell>
          <cell r="CR262">
            <v>-1898.53</v>
          </cell>
          <cell r="CT262">
            <v>-1898.53</v>
          </cell>
          <cell r="CU262">
            <v>0</v>
          </cell>
          <cell r="CV262">
            <v>2088.9304999999999</v>
          </cell>
          <cell r="CX262">
            <v>190.40049999999997</v>
          </cell>
          <cell r="FN262">
            <v>0</v>
          </cell>
          <cell r="FR262">
            <v>0</v>
          </cell>
          <cell r="FS262">
            <v>-5310.13</v>
          </cell>
          <cell r="FT262">
            <v>-5310.13</v>
          </cell>
          <cell r="FU262">
            <v>2045.85529</v>
          </cell>
          <cell r="FV262">
            <v>-3264.2747100000001</v>
          </cell>
          <cell r="FW262" t="str">
            <v>rental</v>
          </cell>
          <cell r="FX262">
            <v>0</v>
          </cell>
          <cell r="FY262">
            <v>0</v>
          </cell>
          <cell r="FZ262">
            <v>1120</v>
          </cell>
          <cell r="GA262">
            <v>1120</v>
          </cell>
          <cell r="GB262">
            <v>1135.0186410102224</v>
          </cell>
          <cell r="GC262">
            <v>-4384.2747099999997</v>
          </cell>
          <cell r="GD262">
            <v>-4443.0656456782917</v>
          </cell>
          <cell r="GE262">
            <v>-4384.2747099999997</v>
          </cell>
          <cell r="GF262">
            <v>4.0308794579516123</v>
          </cell>
          <cell r="GG262">
            <v>-421.36792031352064</v>
          </cell>
          <cell r="GH262">
            <v>0</v>
          </cell>
        </row>
        <row r="263">
          <cell r="A263" t="str">
            <v>building maintenance</v>
          </cell>
          <cell r="G263">
            <v>0</v>
          </cell>
          <cell r="I263">
            <v>0</v>
          </cell>
          <cell r="M263" t="str">
            <v xml:space="preserve"> </v>
          </cell>
          <cell r="U263">
            <v>0</v>
          </cell>
          <cell r="AD263">
            <v>0</v>
          </cell>
          <cell r="AJ263">
            <v>0</v>
          </cell>
          <cell r="AP263">
            <v>0</v>
          </cell>
          <cell r="AR263">
            <v>-500.70600000000002</v>
          </cell>
          <cell r="AT263">
            <v>-500.70600000000002</v>
          </cell>
          <cell r="AV263">
            <v>165.09949999999998</v>
          </cell>
          <cell r="AX263">
            <v>-335.60650000000004</v>
          </cell>
          <cell r="AZ263" t="str">
            <v>services</v>
          </cell>
          <cell r="BA263" t="str">
            <v>services</v>
          </cell>
          <cell r="BE263">
            <v>0</v>
          </cell>
          <cell r="BG263">
            <v>0</v>
          </cell>
          <cell r="BI263">
            <v>0</v>
          </cell>
          <cell r="BU263">
            <v>0</v>
          </cell>
          <cell r="BX263">
            <v>-253.5</v>
          </cell>
          <cell r="CD263">
            <v>-253.5</v>
          </cell>
          <cell r="CJ263">
            <v>0</v>
          </cell>
          <cell r="CP263">
            <v>0</v>
          </cell>
          <cell r="CQ263">
            <v>0</v>
          </cell>
          <cell r="CT263">
            <v>-253.5</v>
          </cell>
          <cell r="CU263">
            <v>0</v>
          </cell>
          <cell r="CV263">
            <v>638.11749999999995</v>
          </cell>
          <cell r="CX263">
            <v>384.61750000000001</v>
          </cell>
          <cell r="FE263">
            <v>0</v>
          </cell>
          <cell r="FN263">
            <v>0</v>
          </cell>
          <cell r="FO263">
            <v>0</v>
          </cell>
          <cell r="FR263">
            <v>0</v>
          </cell>
          <cell r="FS263">
            <v>-1985.846</v>
          </cell>
          <cell r="FT263">
            <v>-1985.846</v>
          </cell>
          <cell r="FU263">
            <v>634.80757749999998</v>
          </cell>
          <cell r="FV263">
            <v>-1351.0384225</v>
          </cell>
          <cell r="FW263" t="str">
            <v>services</v>
          </cell>
          <cell r="FX263">
            <v>0</v>
          </cell>
          <cell r="FY263">
            <v>0</v>
          </cell>
          <cell r="GA263">
            <v>0</v>
          </cell>
          <cell r="GB263">
            <v>0</v>
          </cell>
          <cell r="GC263">
            <v>-1351.0384225</v>
          </cell>
          <cell r="GD263">
            <v>-1369.1551734451293</v>
          </cell>
          <cell r="GE263">
            <v>-1351.0384225</v>
          </cell>
          <cell r="GF263">
            <v>4.0256622636927473</v>
          </cell>
          <cell r="GG263">
            <v>-19668.814781188768</v>
          </cell>
          <cell r="GH263">
            <v>0</v>
          </cell>
        </row>
        <row r="264">
          <cell r="C264">
            <v>-3298.9040000000005</v>
          </cell>
          <cell r="E264">
            <v>-104.727</v>
          </cell>
          <cell r="G264">
            <v>-1009.615</v>
          </cell>
          <cell r="I264">
            <v>-4413.2460000000001</v>
          </cell>
          <cell r="M264">
            <v>-2920.330408653846</v>
          </cell>
          <cell r="O264">
            <v>-12206</v>
          </cell>
          <cell r="Q264">
            <v>-77945.404999999999</v>
          </cell>
          <cell r="S264">
            <v>253.27500000000001</v>
          </cell>
          <cell r="U264">
            <v>-77692.13</v>
          </cell>
          <cell r="W264">
            <v>0</v>
          </cell>
          <cell r="X264">
            <v>-15993.5</v>
          </cell>
          <cell r="Z264">
            <v>-1542.9370000000001</v>
          </cell>
          <cell r="AB264">
            <v>0</v>
          </cell>
          <cell r="AD264">
            <v>-95228.567000000025</v>
          </cell>
          <cell r="AF264">
            <v>-26.103999999999999</v>
          </cell>
          <cell r="AH264">
            <v>0</v>
          </cell>
          <cell r="AJ264">
            <v>-26.103999999999999</v>
          </cell>
          <cell r="AL264">
            <v>-44040.627999999997</v>
          </cell>
          <cell r="AN264">
            <v>26.103999999999999</v>
          </cell>
          <cell r="AP264">
            <v>-44040.627999999997</v>
          </cell>
          <cell r="AR264">
            <v>-1842.605</v>
          </cell>
          <cell r="AT264">
            <v>-160651.37640865392</v>
          </cell>
          <cell r="AV264">
            <v>5110.4275000000007</v>
          </cell>
          <cell r="AX264">
            <v>-155540.94890865387</v>
          </cell>
          <cell r="BC264">
            <v>-13725.008</v>
          </cell>
          <cell r="BE264">
            <v>-367</v>
          </cell>
          <cell r="BG264">
            <v>-4200</v>
          </cell>
          <cell r="BI264">
            <v>-18292.008000000002</v>
          </cell>
          <cell r="BM264">
            <v>-11553.8285</v>
          </cell>
          <cell r="BO264">
            <v>-46539</v>
          </cell>
          <cell r="BQ264">
            <v>-293089.75400000002</v>
          </cell>
          <cell r="BS264">
            <v>0</v>
          </cell>
          <cell r="BU264">
            <v>-293089.75400000002</v>
          </cell>
          <cell r="BW264">
            <v>0</v>
          </cell>
          <cell r="BX264">
            <v>-61513.5</v>
          </cell>
          <cell r="BZ264">
            <v>-5813.5850000000009</v>
          </cell>
          <cell r="CB264">
            <v>0</v>
          </cell>
          <cell r="CD264">
            <v>-360416.83900000004</v>
          </cell>
          <cell r="CF264">
            <v>-108.59399999999999</v>
          </cell>
          <cell r="CH264">
            <v>0</v>
          </cell>
          <cell r="CJ264">
            <v>-108.59399999999999</v>
          </cell>
          <cell r="CL264">
            <v>-163826</v>
          </cell>
          <cell r="CN264">
            <v>108.59399999999999</v>
          </cell>
          <cell r="CP264">
            <v>-163826</v>
          </cell>
          <cell r="CQ264">
            <v>0</v>
          </cell>
          <cell r="CR264">
            <v>-6984.34</v>
          </cell>
          <cell r="CT264">
            <v>-607612.01549999998</v>
          </cell>
          <cell r="CU264">
            <v>0</v>
          </cell>
          <cell r="CV264">
            <v>32572.884500000011</v>
          </cell>
          <cell r="CX264">
            <v>-575039.13099999994</v>
          </cell>
          <cell r="FC264">
            <v>-17925.008000000002</v>
          </cell>
          <cell r="FD264">
            <v>-397.33695539999997</v>
          </cell>
          <cell r="FE264">
            <v>0</v>
          </cell>
          <cell r="FF264">
            <v>-18322.3449554</v>
          </cell>
          <cell r="FG264">
            <v>-12148.574500000001</v>
          </cell>
          <cell r="FH264">
            <v>-48773</v>
          </cell>
          <cell r="FI264">
            <v>-307938.66899999994</v>
          </cell>
          <cell r="FJ264">
            <v>0</v>
          </cell>
          <cell r="FK264">
            <v>-66035</v>
          </cell>
          <cell r="FL264">
            <v>-6113.5789999999997</v>
          </cell>
          <cell r="FM264">
            <v>0</v>
          </cell>
          <cell r="FN264">
            <v>-380087.24800000002</v>
          </cell>
          <cell r="FO264">
            <v>-108.59399999999999</v>
          </cell>
          <cell r="FP264">
            <v>-173872</v>
          </cell>
          <cell r="FQ264">
            <v>108.59399999999999</v>
          </cell>
          <cell r="FR264">
            <v>-173872</v>
          </cell>
          <cell r="FS264">
            <v>-7295.9760000000006</v>
          </cell>
          <cell r="FT264">
            <v>-640499.1434553999</v>
          </cell>
          <cell r="FU264">
            <v>21003.007822899999</v>
          </cell>
          <cell r="FV264">
            <v>-619496.13563249994</v>
          </cell>
          <cell r="FX264">
            <v>-380087.24800000002</v>
          </cell>
          <cell r="FY264">
            <v>-173872</v>
          </cell>
          <cell r="FZ264">
            <v>19442.3449554</v>
          </cell>
          <cell r="GA264">
            <v>-534516.90304459992</v>
          </cell>
          <cell r="GB264">
            <v>-541684.50793810224</v>
          </cell>
          <cell r="GC264">
            <v>-84979.232587899998</v>
          </cell>
          <cell r="GD264">
            <v>-86118.76168393738</v>
          </cell>
          <cell r="GE264">
            <v>-84979.232587900013</v>
          </cell>
          <cell r="GF264">
            <v>3.9828491466663083</v>
          </cell>
          <cell r="GG264">
            <v>-510964.91261632048</v>
          </cell>
          <cell r="GH264">
            <v>0</v>
          </cell>
        </row>
        <row r="265">
          <cell r="A265" t="str">
            <v>OPERATING EXP.</v>
          </cell>
          <cell r="E265" t="str">
            <v xml:space="preserve"> </v>
          </cell>
          <cell r="AJ265">
            <v>0</v>
          </cell>
          <cell r="AP265">
            <v>0</v>
          </cell>
          <cell r="AT265">
            <v>0</v>
          </cell>
          <cell r="AZ265" t="str">
            <v>OPERATING EXP.</v>
          </cell>
          <cell r="CD265">
            <v>0</v>
          </cell>
          <cell r="CJ265">
            <v>0</v>
          </cell>
          <cell r="CP265">
            <v>0</v>
          </cell>
          <cell r="CQ265">
            <v>0</v>
          </cell>
          <cell r="CT265">
            <v>0</v>
          </cell>
          <cell r="CU265">
            <v>0</v>
          </cell>
          <cell r="FO265">
            <v>0</v>
          </cell>
          <cell r="FW265" t="str">
            <v>OPERATING EXP.</v>
          </cell>
          <cell r="FX265">
            <v>0</v>
          </cell>
          <cell r="FY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 t="e">
            <v>#DIV/0!</v>
          </cell>
          <cell r="GH265">
            <v>0</v>
          </cell>
        </row>
        <row r="266">
          <cell r="A266" t="str">
            <v>salaries</v>
          </cell>
          <cell r="I266">
            <v>0</v>
          </cell>
          <cell r="M266">
            <v>367.18016826923076</v>
          </cell>
          <cell r="Q266">
            <v>6584.8559999999998</v>
          </cell>
          <cell r="U266">
            <v>6584.8559999999998</v>
          </cell>
          <cell r="X266">
            <v>1260.5</v>
          </cell>
          <cell r="AD266">
            <v>7845.3559999999998</v>
          </cell>
          <cell r="AJ266">
            <v>0</v>
          </cell>
          <cell r="AL266">
            <v>380.88499999999999</v>
          </cell>
          <cell r="AP266">
            <v>380.88499999999999</v>
          </cell>
          <cell r="AR266">
            <v>190.41499999999999</v>
          </cell>
          <cell r="AT266">
            <v>8783.8361682692303</v>
          </cell>
          <cell r="AV266">
            <v>-190.41499999999999</v>
          </cell>
          <cell r="AX266">
            <v>8593.4211682692294</v>
          </cell>
          <cell r="AZ266" t="str">
            <v>salaries</v>
          </cell>
          <cell r="BI266">
            <v>0</v>
          </cell>
          <cell r="BM266">
            <v>1464.0305000000001</v>
          </cell>
          <cell r="BQ266">
            <v>25387.791000000001</v>
          </cell>
          <cell r="BU266">
            <v>25387.791000000001</v>
          </cell>
          <cell r="BX266">
            <v>4855</v>
          </cell>
          <cell r="CD266">
            <v>30242.791000000001</v>
          </cell>
          <cell r="CJ266">
            <v>0</v>
          </cell>
          <cell r="CL266">
            <v>1394</v>
          </cell>
          <cell r="CP266">
            <v>1394</v>
          </cell>
          <cell r="CQ266">
            <v>0</v>
          </cell>
          <cell r="CR266">
            <v>738.75400000000002</v>
          </cell>
          <cell r="CT266">
            <v>33839.575499999999</v>
          </cell>
          <cell r="CU266">
            <v>0</v>
          </cell>
          <cell r="CX266">
            <v>33839.575499999999</v>
          </cell>
          <cell r="FG266">
            <v>1527.4694999999999</v>
          </cell>
          <cell r="FI266">
            <v>26458.788</v>
          </cell>
          <cell r="FK266">
            <v>5097</v>
          </cell>
          <cell r="FN266">
            <v>31555.788</v>
          </cell>
          <cell r="FO266">
            <v>0</v>
          </cell>
          <cell r="FP266">
            <v>1493</v>
          </cell>
          <cell r="FR266">
            <v>1493</v>
          </cell>
          <cell r="FS266">
            <v>766.06899999999996</v>
          </cell>
          <cell r="FT266">
            <v>35342.326500000003</v>
          </cell>
          <cell r="FU266">
            <v>-766.06899999999996</v>
          </cell>
          <cell r="FV266">
            <v>34576.2575</v>
          </cell>
          <cell r="FW266" t="str">
            <v>salaries</v>
          </cell>
          <cell r="FX266">
            <v>31555.788</v>
          </cell>
          <cell r="FY266">
            <v>1493</v>
          </cell>
          <cell r="GA266">
            <v>33048.788</v>
          </cell>
          <cell r="GB266">
            <v>33491.955752495487</v>
          </cell>
          <cell r="GC266">
            <v>1527.4694999999992</v>
          </cell>
          <cell r="GD266">
            <v>1547.9521036380027</v>
          </cell>
          <cell r="GE266">
            <v>1527.4694999999992</v>
          </cell>
          <cell r="GF266">
            <v>4.0235730127683107</v>
          </cell>
          <cell r="GG266">
            <v>30612.119044284784</v>
          </cell>
          <cell r="GH266">
            <v>0</v>
          </cell>
        </row>
        <row r="267">
          <cell r="A267" t="str">
            <v>cost of sales and installation</v>
          </cell>
          <cell r="I267">
            <v>0</v>
          </cell>
          <cell r="M267" t="str">
            <v xml:space="preserve"> </v>
          </cell>
          <cell r="O267">
            <v>8538</v>
          </cell>
          <cell r="U267">
            <v>0</v>
          </cell>
          <cell r="AD267">
            <v>0</v>
          </cell>
          <cell r="AJ267">
            <v>0</v>
          </cell>
          <cell r="AP267">
            <v>0</v>
          </cell>
          <cell r="AT267">
            <v>8538</v>
          </cell>
          <cell r="AX267">
            <v>8538</v>
          </cell>
          <cell r="AZ267" t="str">
            <v>cost of sales and installation</v>
          </cell>
          <cell r="BI267">
            <v>0</v>
          </cell>
          <cell r="BO267">
            <v>30964.5</v>
          </cell>
          <cell r="BU267">
            <v>0</v>
          </cell>
          <cell r="CD267">
            <v>0</v>
          </cell>
          <cell r="CJ267">
            <v>0</v>
          </cell>
          <cell r="CP267">
            <v>0</v>
          </cell>
          <cell r="CQ267">
            <v>0</v>
          </cell>
          <cell r="CT267">
            <v>30964.5</v>
          </cell>
          <cell r="CU267">
            <v>0</v>
          </cell>
          <cell r="CX267">
            <v>30964.5</v>
          </cell>
          <cell r="FH267">
            <v>33389.5</v>
          </cell>
          <cell r="FN267">
            <v>0</v>
          </cell>
          <cell r="FO267">
            <v>0</v>
          </cell>
          <cell r="FR267">
            <v>0</v>
          </cell>
          <cell r="FS267">
            <v>0</v>
          </cell>
          <cell r="FT267">
            <v>33389.5</v>
          </cell>
          <cell r="FV267">
            <v>33389.5</v>
          </cell>
          <cell r="FW267" t="str">
            <v>Purchases</v>
          </cell>
          <cell r="FX267">
            <v>0</v>
          </cell>
          <cell r="FY267">
            <v>0</v>
          </cell>
          <cell r="GA267">
            <v>0</v>
          </cell>
          <cell r="GB267">
            <v>0</v>
          </cell>
          <cell r="GC267">
            <v>33389.5</v>
          </cell>
          <cell r="GD267">
            <v>33837.236530366805</v>
          </cell>
          <cell r="GE267">
            <v>33389.5</v>
          </cell>
          <cell r="GF267">
            <v>3.9106933708128366</v>
          </cell>
          <cell r="GG267">
            <v>17112.04835942671</v>
          </cell>
          <cell r="GH267">
            <v>0</v>
          </cell>
        </row>
        <row r="268">
          <cell r="A268" t="str">
            <v>unsuccesful bid</v>
          </cell>
          <cell r="C268">
            <v>-9.7430000000000003</v>
          </cell>
          <cell r="I268">
            <v>-9.7430000000000003</v>
          </cell>
          <cell r="M268" t="str">
            <v xml:space="preserve"> </v>
          </cell>
          <cell r="U268">
            <v>0</v>
          </cell>
          <cell r="AD268">
            <v>0</v>
          </cell>
          <cell r="AJ268">
            <v>0</v>
          </cell>
          <cell r="AP268">
            <v>0</v>
          </cell>
          <cell r="AT268">
            <v>-9.7430000000000003</v>
          </cell>
          <cell r="AV268">
            <v>0</v>
          </cell>
          <cell r="AX268">
            <v>-9.7430000000000003</v>
          </cell>
          <cell r="AZ268" t="str">
            <v>unsuccesful bid</v>
          </cell>
          <cell r="BC268">
            <v>-27.184999999999999</v>
          </cell>
          <cell r="BI268">
            <v>-27.184999999999999</v>
          </cell>
          <cell r="BU268">
            <v>0</v>
          </cell>
          <cell r="CD268">
            <v>0</v>
          </cell>
          <cell r="CJ268">
            <v>0</v>
          </cell>
          <cell r="CP268">
            <v>0</v>
          </cell>
          <cell r="CQ268">
            <v>0</v>
          </cell>
          <cell r="CT268">
            <v>-27.184999999999999</v>
          </cell>
          <cell r="CU268">
            <v>0</v>
          </cell>
          <cell r="CV268">
            <v>0</v>
          </cell>
          <cell r="CX268">
            <v>-27.184999999999999</v>
          </cell>
          <cell r="FC268">
            <v>-28.384</v>
          </cell>
          <cell r="FF268">
            <v>-28.384</v>
          </cell>
          <cell r="FN268">
            <v>0</v>
          </cell>
          <cell r="FO268">
            <v>0</v>
          </cell>
          <cell r="FR268">
            <v>0</v>
          </cell>
          <cell r="FS268">
            <v>0</v>
          </cell>
          <cell r="FT268">
            <v>-28.384</v>
          </cell>
          <cell r="FU268">
            <v>0</v>
          </cell>
          <cell r="FV268">
            <v>-28.384</v>
          </cell>
          <cell r="FW268" t="str">
            <v>unsuccesful bid</v>
          </cell>
          <cell r="FX268">
            <v>0</v>
          </cell>
          <cell r="FY268">
            <v>0</v>
          </cell>
          <cell r="GA268">
            <v>0</v>
          </cell>
          <cell r="GB268">
            <v>0</v>
          </cell>
          <cell r="GC268">
            <v>-28.384</v>
          </cell>
          <cell r="GD268">
            <v>-28.764615273601922</v>
          </cell>
          <cell r="GE268">
            <v>-28.384</v>
          </cell>
          <cell r="GF268">
            <v>2.9132710664066508</v>
          </cell>
          <cell r="GG268">
            <v>1631.0836518615286</v>
          </cell>
          <cell r="GH268">
            <v>0</v>
          </cell>
        </row>
        <row r="269">
          <cell r="A269" t="str">
            <v>consulting</v>
          </cell>
          <cell r="I269">
            <v>0</v>
          </cell>
          <cell r="M269" t="str">
            <v xml:space="preserve"> </v>
          </cell>
          <cell r="Q269">
            <v>22.762</v>
          </cell>
          <cell r="U269">
            <v>22.762</v>
          </cell>
          <cell r="AD269">
            <v>22.762</v>
          </cell>
          <cell r="AJ269">
            <v>0</v>
          </cell>
          <cell r="AP269">
            <v>0</v>
          </cell>
          <cell r="AT269">
            <v>22.762</v>
          </cell>
          <cell r="AV269">
            <v>0</v>
          </cell>
          <cell r="AX269">
            <v>22.762</v>
          </cell>
          <cell r="AZ269" t="str">
            <v>consulting</v>
          </cell>
          <cell r="BI269">
            <v>0</v>
          </cell>
          <cell r="BQ269">
            <v>82.872</v>
          </cell>
          <cell r="BU269">
            <v>82.872</v>
          </cell>
          <cell r="CD269">
            <v>82.872</v>
          </cell>
          <cell r="CJ269">
            <v>0</v>
          </cell>
          <cell r="CP269">
            <v>0</v>
          </cell>
          <cell r="CQ269">
            <v>0</v>
          </cell>
          <cell r="CT269">
            <v>82.872</v>
          </cell>
          <cell r="CU269">
            <v>0</v>
          </cell>
          <cell r="CV269">
            <v>0</v>
          </cell>
          <cell r="CX269">
            <v>82.872</v>
          </cell>
          <cell r="FI269">
            <v>89.084000000000003</v>
          </cell>
          <cell r="FN269">
            <v>89.084000000000003</v>
          </cell>
          <cell r="FO269">
            <v>0</v>
          </cell>
          <cell r="FR269">
            <v>0</v>
          </cell>
          <cell r="FS269">
            <v>0</v>
          </cell>
          <cell r="FT269">
            <v>89.084000000000003</v>
          </cell>
          <cell r="FU269">
            <v>0</v>
          </cell>
          <cell r="FV269">
            <v>89.084000000000003</v>
          </cell>
          <cell r="FW269" t="str">
            <v>consulting</v>
          </cell>
          <cell r="FX269">
            <v>89.084000000000003</v>
          </cell>
          <cell r="FY269">
            <v>0</v>
          </cell>
          <cell r="GA269">
            <v>89.084000000000003</v>
          </cell>
          <cell r="GB269">
            <v>90.278571978352375</v>
          </cell>
          <cell r="GC269">
            <v>0</v>
          </cell>
          <cell r="GD269">
            <v>0</v>
          </cell>
          <cell r="GE269">
            <v>0</v>
          </cell>
          <cell r="GF269">
            <v>3.9137158421931288</v>
          </cell>
          <cell r="GG269">
            <v>42.331007838014372</v>
          </cell>
          <cell r="GH269">
            <v>0</v>
          </cell>
        </row>
        <row r="270">
          <cell r="A270" t="str">
            <v>FRANCHISE EXP&amp;ROYALTIES</v>
          </cell>
          <cell r="I270">
            <v>0</v>
          </cell>
          <cell r="M270" t="str">
            <v xml:space="preserve"> </v>
          </cell>
          <cell r="Q270">
            <v>5658.82</v>
          </cell>
          <cell r="U270">
            <v>5658.82</v>
          </cell>
          <cell r="X270">
            <v>764</v>
          </cell>
          <cell r="Z270">
            <v>174.53200000000001</v>
          </cell>
          <cell r="AD270">
            <v>6597.3520000000008</v>
          </cell>
          <cell r="AJ270">
            <v>0</v>
          </cell>
          <cell r="AL270">
            <v>3145.46</v>
          </cell>
          <cell r="AP270">
            <v>3145.46</v>
          </cell>
          <cell r="AT270">
            <v>9742.8120000000017</v>
          </cell>
          <cell r="AV270">
            <v>0</v>
          </cell>
          <cell r="AX270">
            <v>9742.8120000000017</v>
          </cell>
          <cell r="AZ270" t="str">
            <v>FRANCHISE EXP&amp;ROYALTIES</v>
          </cell>
          <cell r="BI270">
            <v>0</v>
          </cell>
          <cell r="BQ270">
            <v>22299.835999999999</v>
          </cell>
          <cell r="BU270">
            <v>22299.835999999999</v>
          </cell>
          <cell r="BX270">
            <v>2985</v>
          </cell>
          <cell r="BZ270">
            <v>685.72</v>
          </cell>
          <cell r="CD270">
            <v>25970.556</v>
          </cell>
          <cell r="CJ270">
            <v>0</v>
          </cell>
          <cell r="CL270">
            <v>12402</v>
          </cell>
          <cell r="CP270">
            <v>12402</v>
          </cell>
          <cell r="CQ270">
            <v>0</v>
          </cell>
          <cell r="CT270">
            <v>38372.555999999997</v>
          </cell>
          <cell r="CU270">
            <v>0</v>
          </cell>
          <cell r="CV270">
            <v>0</v>
          </cell>
          <cell r="CX270">
            <v>38372.555999999997</v>
          </cell>
          <cell r="FI270">
            <v>23120.976999999999</v>
          </cell>
          <cell r="FK270">
            <v>3211</v>
          </cell>
          <cell r="FL270">
            <v>708.55799999999999</v>
          </cell>
          <cell r="FN270">
            <v>27040.535</v>
          </cell>
          <cell r="FO270">
            <v>0</v>
          </cell>
          <cell r="FP270">
            <v>12752</v>
          </cell>
          <cell r="FR270">
            <v>12752</v>
          </cell>
          <cell r="FS270">
            <v>0</v>
          </cell>
          <cell r="FT270">
            <v>39792.535000000003</v>
          </cell>
          <cell r="FU270">
            <v>0</v>
          </cell>
          <cell r="FV270">
            <v>39792.535000000003</v>
          </cell>
          <cell r="FW270" t="str">
            <v>FRANCHISE EXP&amp;ROYALTIES</v>
          </cell>
          <cell r="FX270">
            <v>27040.535</v>
          </cell>
          <cell r="FY270">
            <v>12752</v>
          </cell>
          <cell r="GA270">
            <v>39792.535000000003</v>
          </cell>
          <cell r="GB270">
            <v>40326.133033974744</v>
          </cell>
          <cell r="GC270">
            <v>0</v>
          </cell>
          <cell r="GD270">
            <v>0</v>
          </cell>
          <cell r="GE270">
            <v>0</v>
          </cell>
          <cell r="GF270">
            <v>4.084296710231091</v>
          </cell>
          <cell r="GG270">
            <v>33554.082704114968</v>
          </cell>
          <cell r="GH270">
            <v>0</v>
          </cell>
        </row>
        <row r="271">
          <cell r="A271" t="str">
            <v>car &amp; travel</v>
          </cell>
          <cell r="I271">
            <v>0</v>
          </cell>
          <cell r="M271" t="str">
            <v xml:space="preserve"> </v>
          </cell>
          <cell r="Q271">
            <v>1038.7139999999999</v>
          </cell>
          <cell r="U271">
            <v>1038.7139999999999</v>
          </cell>
          <cell r="X271">
            <v>54.5</v>
          </cell>
          <cell r="AD271">
            <v>1093.2139999999999</v>
          </cell>
          <cell r="AJ271">
            <v>0</v>
          </cell>
          <cell r="AL271">
            <v>179.774</v>
          </cell>
          <cell r="AP271">
            <v>179.774</v>
          </cell>
          <cell r="AT271">
            <v>1272.9879999999998</v>
          </cell>
          <cell r="AV271">
            <v>0</v>
          </cell>
          <cell r="AX271">
            <v>1272.9879999999998</v>
          </cell>
          <cell r="AZ271" t="str">
            <v>car &amp; travel</v>
          </cell>
          <cell r="BI271">
            <v>0</v>
          </cell>
          <cell r="BQ271">
            <v>3727.1759999999999</v>
          </cell>
          <cell r="BU271">
            <v>3727.1759999999999</v>
          </cell>
          <cell r="BX271">
            <v>215.5</v>
          </cell>
          <cell r="CD271">
            <v>3942.6759999999999</v>
          </cell>
          <cell r="CJ271">
            <v>0</v>
          </cell>
          <cell r="CL271">
            <v>679</v>
          </cell>
          <cell r="CP271">
            <v>679</v>
          </cell>
          <cell r="CQ271">
            <v>0</v>
          </cell>
          <cell r="CT271">
            <v>4621.6759999999995</v>
          </cell>
          <cell r="CU271">
            <v>0</v>
          </cell>
          <cell r="CV271">
            <v>0</v>
          </cell>
          <cell r="CX271">
            <v>4621.6759999999995</v>
          </cell>
          <cell r="FI271">
            <v>4141.1729999999998</v>
          </cell>
          <cell r="FK271">
            <v>234.5</v>
          </cell>
          <cell r="FN271">
            <v>4375.6729999999998</v>
          </cell>
          <cell r="FO271">
            <v>0</v>
          </cell>
          <cell r="FP271">
            <v>710</v>
          </cell>
          <cell r="FR271">
            <v>710</v>
          </cell>
          <cell r="FS271">
            <v>0</v>
          </cell>
          <cell r="FT271">
            <v>5085.6729999999998</v>
          </cell>
          <cell r="FU271">
            <v>0</v>
          </cell>
          <cell r="FV271">
            <v>5085.6729999999998</v>
          </cell>
          <cell r="FW271" t="str">
            <v>car &amp; travel</v>
          </cell>
          <cell r="FX271">
            <v>4375.6729999999998</v>
          </cell>
          <cell r="FY271">
            <v>710</v>
          </cell>
          <cell r="GA271">
            <v>5085.6729999999998</v>
          </cell>
          <cell r="GB271">
            <v>5153.8693366806974</v>
          </cell>
          <cell r="GC271">
            <v>0</v>
          </cell>
          <cell r="GD271">
            <v>0</v>
          </cell>
          <cell r="GE271">
            <v>0</v>
          </cell>
          <cell r="GF271">
            <v>3.9950675104557156</v>
          </cell>
          <cell r="GG271">
            <v>5049.4751959503601</v>
          </cell>
          <cell r="GH271">
            <v>0</v>
          </cell>
        </row>
        <row r="272">
          <cell r="A272" t="str">
            <v>programming/printing</v>
          </cell>
          <cell r="I272">
            <v>0</v>
          </cell>
          <cell r="M272" t="str">
            <v xml:space="preserve"> </v>
          </cell>
          <cell r="Q272">
            <v>11762.411</v>
          </cell>
          <cell r="U272">
            <v>11762.411</v>
          </cell>
          <cell r="X272">
            <v>2531</v>
          </cell>
          <cell r="Z272">
            <v>545.34199999999998</v>
          </cell>
          <cell r="AD272">
            <v>14838.753000000001</v>
          </cell>
          <cell r="AJ272">
            <v>0</v>
          </cell>
          <cell r="AL272">
            <v>5789.11</v>
          </cell>
          <cell r="AP272">
            <v>5789.11</v>
          </cell>
          <cell r="AT272">
            <v>20627.863000000001</v>
          </cell>
          <cell r="AX272">
            <v>20627.863000000001</v>
          </cell>
          <cell r="AZ272" t="str">
            <v>programming/printing</v>
          </cell>
          <cell r="BQ272">
            <v>44641.883000000002</v>
          </cell>
          <cell r="BU272">
            <v>44641.883000000002</v>
          </cell>
          <cell r="BX272">
            <v>9796.5</v>
          </cell>
          <cell r="BZ272">
            <v>2082.0430000000001</v>
          </cell>
          <cell r="CD272">
            <v>56520.425999999999</v>
          </cell>
          <cell r="CJ272">
            <v>0</v>
          </cell>
          <cell r="CL272">
            <v>21946</v>
          </cell>
          <cell r="CP272">
            <v>21946</v>
          </cell>
          <cell r="CQ272">
            <v>0</v>
          </cell>
          <cell r="CT272">
            <v>78466.426000000007</v>
          </cell>
          <cell r="CU272">
            <v>0</v>
          </cell>
          <cell r="CV272">
            <v>0</v>
          </cell>
          <cell r="CX272">
            <v>78466.426000000007</v>
          </cell>
          <cell r="FI272">
            <v>46728.682000000001</v>
          </cell>
          <cell r="FK272">
            <v>10467</v>
          </cell>
          <cell r="FL272">
            <v>2186.8020000000001</v>
          </cell>
          <cell r="FN272">
            <v>59382.484000000004</v>
          </cell>
          <cell r="FO272">
            <v>0</v>
          </cell>
          <cell r="FP272">
            <v>23012</v>
          </cell>
          <cell r="FR272">
            <v>23012</v>
          </cell>
          <cell r="FS272">
            <v>0</v>
          </cell>
          <cell r="FT272">
            <v>82394.483999999997</v>
          </cell>
          <cell r="FU272">
            <v>0</v>
          </cell>
          <cell r="FV272">
            <v>82394.483999999997</v>
          </cell>
          <cell r="FW272" t="str">
            <v>programming/printing</v>
          </cell>
          <cell r="FX272">
            <v>59382.484000000004</v>
          </cell>
          <cell r="FY272">
            <v>23012</v>
          </cell>
          <cell r="GA272">
            <v>82394.483999999997</v>
          </cell>
          <cell r="GB272">
            <v>83499.352907516528</v>
          </cell>
          <cell r="GC272">
            <v>0</v>
          </cell>
          <cell r="GD272">
            <v>0</v>
          </cell>
          <cell r="GE272">
            <v>0</v>
          </cell>
          <cell r="GF272">
            <v>3.9943296113610991</v>
          </cell>
          <cell r="GG272">
            <v>65296.261192031357</v>
          </cell>
          <cell r="GH272">
            <v>0</v>
          </cell>
        </row>
        <row r="273">
          <cell r="A273" t="str">
            <v>rent&amp;maint.-(head-end)/paper</v>
          </cell>
          <cell r="I273">
            <v>0</v>
          </cell>
          <cell r="O273">
            <v>304</v>
          </cell>
          <cell r="Q273">
            <v>3698.3</v>
          </cell>
          <cell r="U273">
            <v>3698.3</v>
          </cell>
          <cell r="X273">
            <v>1273.5</v>
          </cell>
          <cell r="AD273">
            <v>4971.8</v>
          </cell>
          <cell r="AJ273">
            <v>0</v>
          </cell>
          <cell r="AL273">
            <v>1349.973</v>
          </cell>
          <cell r="AN273">
            <v>0</v>
          </cell>
          <cell r="AP273">
            <v>1349.973</v>
          </cell>
          <cell r="AR273">
            <v>220.48</v>
          </cell>
          <cell r="AT273">
            <v>6846.2529999999997</v>
          </cell>
          <cell r="AV273">
            <v>-917.66149999999993</v>
          </cell>
          <cell r="AX273">
            <v>5928.5914999999995</v>
          </cell>
          <cell r="AZ273" t="str">
            <v>rent&amp;maint.-(head-end)/paper</v>
          </cell>
          <cell r="BM273">
            <v>7132.6225000000004</v>
          </cell>
          <cell r="BQ273">
            <v>15350.985000000001</v>
          </cell>
          <cell r="BU273">
            <v>15350.985000000001</v>
          </cell>
          <cell r="BX273">
            <v>4888.5</v>
          </cell>
          <cell r="CD273">
            <v>20239.485000000001</v>
          </cell>
          <cell r="CJ273">
            <v>0</v>
          </cell>
          <cell r="CL273">
            <v>5316</v>
          </cell>
          <cell r="CN273">
            <v>0</v>
          </cell>
          <cell r="CP273">
            <v>5316</v>
          </cell>
          <cell r="CQ273">
            <v>0</v>
          </cell>
          <cell r="CR273">
            <v>859.56700000000001</v>
          </cell>
          <cell r="CT273">
            <v>33547.674500000001</v>
          </cell>
          <cell r="CU273">
            <v>0</v>
          </cell>
          <cell r="CV273">
            <v>-2727.0479999999998</v>
          </cell>
          <cell r="CX273">
            <v>30820.626500000002</v>
          </cell>
          <cell r="FH273">
            <v>1097.5</v>
          </cell>
          <cell r="FI273">
            <v>15433.449000000001</v>
          </cell>
          <cell r="FK273">
            <v>5188.5</v>
          </cell>
          <cell r="FN273">
            <v>20621.949000000001</v>
          </cell>
          <cell r="FO273">
            <v>0</v>
          </cell>
          <cell r="FP273">
            <v>5417</v>
          </cell>
          <cell r="FQ273">
            <v>0</v>
          </cell>
          <cell r="FR273">
            <v>5417</v>
          </cell>
          <cell r="FS273">
            <v>891.21799999999996</v>
          </cell>
          <cell r="FT273">
            <v>28027.667000000001</v>
          </cell>
          <cell r="FU273">
            <v>-3571.8808675</v>
          </cell>
          <cell r="FV273">
            <v>24455.786132500001</v>
          </cell>
          <cell r="FW273" t="str">
            <v>rent&amp;maint.-(head-end)/paper</v>
          </cell>
          <cell r="FX273">
            <v>20621.949000000001</v>
          </cell>
          <cell r="FY273">
            <v>5417</v>
          </cell>
          <cell r="FZ273">
            <v>-1120.4368449999999</v>
          </cell>
          <cell r="GA273">
            <v>24918.512155</v>
          </cell>
          <cell r="GB273">
            <v>25252.656966218583</v>
          </cell>
          <cell r="GC273">
            <v>-462.72602249999909</v>
          </cell>
          <cell r="GD273">
            <v>-468.93094751608442</v>
          </cell>
          <cell r="GE273">
            <v>-462.72602249999909</v>
          </cell>
          <cell r="GF273">
            <v>4.1250583941396544</v>
          </cell>
          <cell r="GG273">
            <v>23681.776618876553</v>
          </cell>
          <cell r="GH273">
            <v>0</v>
          </cell>
        </row>
        <row r="274">
          <cell r="A274" t="str">
            <v>Cost of publication</v>
          </cell>
          <cell r="M274" t="str">
            <v xml:space="preserve"> </v>
          </cell>
          <cell r="AT274">
            <v>0</v>
          </cell>
          <cell r="AX274">
            <v>0</v>
          </cell>
          <cell r="AZ274" t="str">
            <v>Cost of publication</v>
          </cell>
          <cell r="CD274">
            <v>0</v>
          </cell>
          <cell r="CP274">
            <v>0</v>
          </cell>
          <cell r="CQ274">
            <v>0</v>
          </cell>
          <cell r="CT274">
            <v>0</v>
          </cell>
          <cell r="CU274">
            <v>0</v>
          </cell>
          <cell r="CV274">
            <v>0</v>
          </cell>
          <cell r="CX274">
            <v>0</v>
          </cell>
          <cell r="FN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 t="str">
            <v>Cost of publication</v>
          </cell>
          <cell r="FX274">
            <v>0</v>
          </cell>
          <cell r="FY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 t="e">
            <v>#DIV/0!</v>
          </cell>
          <cell r="GG274">
            <v>0</v>
          </cell>
          <cell r="GH274">
            <v>0</v>
          </cell>
        </row>
        <row r="275">
          <cell r="A275" t="str">
            <v>rent&amp;maint.-(network)/binding</v>
          </cell>
          <cell r="I275">
            <v>0</v>
          </cell>
          <cell r="Q275">
            <v>4689.1480000000001</v>
          </cell>
          <cell r="U275">
            <v>4689.1480000000001</v>
          </cell>
          <cell r="Z275">
            <v>18.869</v>
          </cell>
          <cell r="AD275">
            <v>4708.0169999999998</v>
          </cell>
          <cell r="AJ275">
            <v>0</v>
          </cell>
          <cell r="AP275">
            <v>0</v>
          </cell>
          <cell r="AT275">
            <v>4708.0169999999998</v>
          </cell>
          <cell r="AX275">
            <v>4708.0169999999998</v>
          </cell>
          <cell r="AZ275" t="str">
            <v>rent&amp;maint.-(network)/binding</v>
          </cell>
          <cell r="BM275">
            <v>430.60599999999999</v>
          </cell>
          <cell r="BQ275">
            <v>17665.346000000001</v>
          </cell>
          <cell r="BU275">
            <v>17665.346000000001</v>
          </cell>
          <cell r="BZ275">
            <v>74.962000000000003</v>
          </cell>
          <cell r="CD275">
            <v>17740.308000000001</v>
          </cell>
          <cell r="CJ275">
            <v>0</v>
          </cell>
          <cell r="CP275">
            <v>0</v>
          </cell>
          <cell r="CQ275">
            <v>0</v>
          </cell>
          <cell r="CT275">
            <v>18170.914000000001</v>
          </cell>
          <cell r="CU275">
            <v>0</v>
          </cell>
          <cell r="CV275">
            <v>0</v>
          </cell>
          <cell r="CX275">
            <v>18170.914000000001</v>
          </cell>
          <cell r="FI275">
            <v>18614.663</v>
          </cell>
          <cell r="FL275">
            <v>79.533000000000001</v>
          </cell>
          <cell r="FN275">
            <v>18694.196</v>
          </cell>
          <cell r="FO275">
            <v>0</v>
          </cell>
          <cell r="FR275">
            <v>0</v>
          </cell>
          <cell r="FS275">
            <v>0</v>
          </cell>
          <cell r="FT275">
            <v>18694.196</v>
          </cell>
          <cell r="FU275">
            <v>0</v>
          </cell>
          <cell r="FV275">
            <v>18694.196</v>
          </cell>
          <cell r="FW275" t="str">
            <v>rent&amp;maint.-(network)/binding</v>
          </cell>
          <cell r="FX275">
            <v>18694.196</v>
          </cell>
          <cell r="FY275">
            <v>0</v>
          </cell>
          <cell r="GA275">
            <v>18694.196</v>
          </cell>
          <cell r="GB275">
            <v>18944.875838123869</v>
          </cell>
          <cell r="GC275">
            <v>0</v>
          </cell>
          <cell r="GD275">
            <v>0</v>
          </cell>
          <cell r="GE275">
            <v>0</v>
          </cell>
          <cell r="GF275">
            <v>3.9707154838225946</v>
          </cell>
          <cell r="GG275">
            <v>22341.613690071848</v>
          </cell>
          <cell r="GH275">
            <v>0</v>
          </cell>
        </row>
        <row r="276">
          <cell r="A276" t="str">
            <v>amortization</v>
          </cell>
          <cell r="G276">
            <v>0</v>
          </cell>
          <cell r="I276">
            <v>0</v>
          </cell>
          <cell r="M276" t="str">
            <v xml:space="preserve"> </v>
          </cell>
          <cell r="Q276">
            <v>453.87200000000001</v>
          </cell>
          <cell r="U276">
            <v>453.87200000000001</v>
          </cell>
          <cell r="X276">
            <v>-440</v>
          </cell>
          <cell r="Z276">
            <v>51</v>
          </cell>
          <cell r="AD276">
            <v>64.872000000000014</v>
          </cell>
          <cell r="AJ276">
            <v>0</v>
          </cell>
          <cell r="AP276">
            <v>0</v>
          </cell>
          <cell r="AT276">
            <v>64.872000000000014</v>
          </cell>
          <cell r="AX276">
            <v>64.872000000000014</v>
          </cell>
          <cell r="AZ276" t="str">
            <v>amortization</v>
          </cell>
          <cell r="BI276">
            <v>0</v>
          </cell>
          <cell r="BQ276">
            <v>1345.364</v>
          </cell>
          <cell r="BU276">
            <v>1345.364</v>
          </cell>
          <cell r="BX276">
            <v>-1043</v>
          </cell>
          <cell r="BZ276">
            <v>157</v>
          </cell>
          <cell r="CD276">
            <v>459.36400000000003</v>
          </cell>
          <cell r="CJ276">
            <v>0</v>
          </cell>
          <cell r="CP276">
            <v>0</v>
          </cell>
          <cell r="CQ276">
            <v>0</v>
          </cell>
          <cell r="CT276">
            <v>459.36400000000003</v>
          </cell>
          <cell r="CU276">
            <v>0</v>
          </cell>
          <cell r="CV276">
            <v>0</v>
          </cell>
          <cell r="CX276">
            <v>459.36400000000003</v>
          </cell>
          <cell r="FE276">
            <v>0</v>
          </cell>
          <cell r="FI276">
            <v>2095.4290000000001</v>
          </cell>
          <cell r="FL276">
            <v>189</v>
          </cell>
          <cell r="FN276">
            <v>2284.4290000000001</v>
          </cell>
          <cell r="FO276">
            <v>0</v>
          </cell>
          <cell r="FS276">
            <v>0</v>
          </cell>
          <cell r="FT276">
            <v>2284.4290000000001</v>
          </cell>
          <cell r="FU276">
            <v>0</v>
          </cell>
          <cell r="FV276">
            <v>2284.4290000000001</v>
          </cell>
          <cell r="FW276" t="str">
            <v>amortization</v>
          </cell>
          <cell r="FX276">
            <v>2284.4290000000001</v>
          </cell>
          <cell r="FY276">
            <v>0</v>
          </cell>
          <cell r="GA276">
            <v>2284.4290000000001</v>
          </cell>
          <cell r="GB276">
            <v>2315.0620527360193</v>
          </cell>
          <cell r="GC276">
            <v>0</v>
          </cell>
          <cell r="GD276">
            <v>0</v>
          </cell>
          <cell r="GE276">
            <v>0</v>
          </cell>
          <cell r="GF276">
            <v>35.214406831915149</v>
          </cell>
          <cell r="GG276">
            <v>2131.3653213585894</v>
          </cell>
          <cell r="GH276">
            <v>0</v>
          </cell>
        </row>
        <row r="277">
          <cell r="A277" t="str">
            <v>depreciation</v>
          </cell>
          <cell r="I277">
            <v>0</v>
          </cell>
          <cell r="M277" t="str">
            <v xml:space="preserve"> </v>
          </cell>
          <cell r="Q277">
            <v>8813.1020000000008</v>
          </cell>
          <cell r="U277">
            <v>8813.1020000000008</v>
          </cell>
          <cell r="X277">
            <v>3586</v>
          </cell>
          <cell r="Z277">
            <v>211.18100000000001</v>
          </cell>
          <cell r="AD277">
            <v>12610.283000000001</v>
          </cell>
          <cell r="AJ277">
            <v>0</v>
          </cell>
          <cell r="AL277">
            <v>7578.7849999999999</v>
          </cell>
          <cell r="AP277">
            <v>7578.7849999999999</v>
          </cell>
          <cell r="AR277">
            <v>933.54600000000005</v>
          </cell>
          <cell r="AT277">
            <v>21122.614000000001</v>
          </cell>
          <cell r="AV277">
            <v>0</v>
          </cell>
          <cell r="AX277">
            <v>21122.614000000001</v>
          </cell>
          <cell r="AZ277" t="str">
            <v>depreciation</v>
          </cell>
          <cell r="BI277">
            <v>0</v>
          </cell>
          <cell r="BQ277">
            <v>23584.705999999998</v>
          </cell>
          <cell r="BU277">
            <v>23584.705999999998</v>
          </cell>
          <cell r="BX277">
            <v>9552</v>
          </cell>
          <cell r="BZ277">
            <v>662.89300000000003</v>
          </cell>
          <cell r="CD277">
            <v>33799.599000000002</v>
          </cell>
          <cell r="CJ277">
            <v>0</v>
          </cell>
          <cell r="CL277">
            <v>22035</v>
          </cell>
          <cell r="CP277">
            <v>22035</v>
          </cell>
          <cell r="CQ277">
            <v>0</v>
          </cell>
          <cell r="CR277">
            <v>3239.473</v>
          </cell>
          <cell r="CT277">
            <v>59074.072</v>
          </cell>
          <cell r="CU277">
            <v>0</v>
          </cell>
          <cell r="CV277">
            <v>0</v>
          </cell>
          <cell r="CX277">
            <v>59074.072</v>
          </cell>
          <cell r="FI277">
            <v>39088.328000000001</v>
          </cell>
          <cell r="FK277">
            <v>13536</v>
          </cell>
          <cell r="FL277">
            <v>809.23500000000001</v>
          </cell>
          <cell r="FN277">
            <v>53433.563000000002</v>
          </cell>
          <cell r="FO277">
            <v>0</v>
          </cell>
          <cell r="FP277">
            <v>32523</v>
          </cell>
          <cell r="FR277">
            <v>32523</v>
          </cell>
          <cell r="FS277">
            <v>3396.384</v>
          </cell>
          <cell r="FT277">
            <v>89352.947</v>
          </cell>
          <cell r="FU277">
            <v>0</v>
          </cell>
          <cell r="FV277">
            <v>89352.947</v>
          </cell>
          <cell r="FW277" t="str">
            <v>depreciation</v>
          </cell>
          <cell r="FX277">
            <v>53433.563000000002</v>
          </cell>
          <cell r="FY277">
            <v>32523</v>
          </cell>
          <cell r="GA277">
            <v>85956.562999999995</v>
          </cell>
          <cell r="GB277">
            <v>87109.197609079973</v>
          </cell>
          <cell r="GC277">
            <v>3396.3840000000055</v>
          </cell>
          <cell r="GD277">
            <v>3441.9278143114907</v>
          </cell>
          <cell r="GE277">
            <v>3396.3840000000055</v>
          </cell>
          <cell r="GF277">
            <v>4.2302030894471674</v>
          </cell>
          <cell r="GG277">
            <v>70922.782072305694</v>
          </cell>
          <cell r="GH277">
            <v>0</v>
          </cell>
        </row>
        <row r="278">
          <cell r="A278" t="str">
            <v>loss of converters</v>
          </cell>
          <cell r="I278">
            <v>0</v>
          </cell>
          <cell r="M278" t="str">
            <v xml:space="preserve"> </v>
          </cell>
          <cell r="Q278">
            <v>357.05500000000001</v>
          </cell>
          <cell r="U278">
            <v>357.05500000000001</v>
          </cell>
          <cell r="AD278">
            <v>357.05500000000001</v>
          </cell>
          <cell r="AJ278">
            <v>0</v>
          </cell>
          <cell r="AL278">
            <v>212.87799999999999</v>
          </cell>
          <cell r="AP278">
            <v>212.87799999999999</v>
          </cell>
          <cell r="AT278">
            <v>569.93299999999999</v>
          </cell>
          <cell r="AV278">
            <v>0</v>
          </cell>
          <cell r="AX278">
            <v>569.93299999999999</v>
          </cell>
          <cell r="AZ278" t="str">
            <v>loss of converters</v>
          </cell>
          <cell r="BI278">
            <v>0</v>
          </cell>
          <cell r="BQ278">
            <v>1216.1489999999999</v>
          </cell>
          <cell r="BU278">
            <v>1216.1489999999999</v>
          </cell>
          <cell r="CD278">
            <v>1216.1489999999999</v>
          </cell>
          <cell r="CJ278">
            <v>0</v>
          </cell>
          <cell r="CL278">
            <v>746</v>
          </cell>
          <cell r="CP278">
            <v>746</v>
          </cell>
          <cell r="CQ278">
            <v>0</v>
          </cell>
          <cell r="CT278">
            <v>1962.1489999999999</v>
          </cell>
          <cell r="CU278">
            <v>0</v>
          </cell>
          <cell r="CV278">
            <v>0</v>
          </cell>
          <cell r="CX278">
            <v>1962.1489999999999</v>
          </cell>
          <cell r="FI278">
            <v>1459.374</v>
          </cell>
          <cell r="FN278">
            <v>1459.374</v>
          </cell>
          <cell r="FO278">
            <v>0</v>
          </cell>
          <cell r="FP278">
            <v>875</v>
          </cell>
          <cell r="FR278">
            <v>875</v>
          </cell>
          <cell r="FS278">
            <v>0</v>
          </cell>
          <cell r="FT278">
            <v>2334.3739999999998</v>
          </cell>
          <cell r="FU278">
            <v>0</v>
          </cell>
          <cell r="FV278">
            <v>2334.3739999999998</v>
          </cell>
          <cell r="FW278" t="str">
            <v>loss of converters</v>
          </cell>
          <cell r="FX278">
            <v>1459.374</v>
          </cell>
          <cell r="FY278">
            <v>875</v>
          </cell>
          <cell r="GA278">
            <v>2334.3739999999998</v>
          </cell>
          <cell r="GB278">
            <v>2365.6767902585684</v>
          </cell>
          <cell r="GC278">
            <v>0</v>
          </cell>
          <cell r="GD278">
            <v>0</v>
          </cell>
          <cell r="GE278">
            <v>0</v>
          </cell>
          <cell r="GF278">
            <v>4.0958744273449685</v>
          </cell>
          <cell r="GG278">
            <v>5337.538079033312</v>
          </cell>
          <cell r="GH278">
            <v>0</v>
          </cell>
        </row>
        <row r="279">
          <cell r="A279" t="str">
            <v>cost of maintanance of building leased out</v>
          </cell>
          <cell r="AT279">
            <v>0</v>
          </cell>
          <cell r="AV279">
            <v>410.89499999999998</v>
          </cell>
          <cell r="AX279">
            <v>410.89499999999998</v>
          </cell>
          <cell r="AZ279" t="str">
            <v>cost of maintanance of building leased out</v>
          </cell>
          <cell r="FT279">
            <v>0</v>
          </cell>
          <cell r="FU279">
            <v>1657.2869999999998</v>
          </cell>
          <cell r="FV279">
            <v>1657.2869999999998</v>
          </cell>
          <cell r="FX279">
            <v>0</v>
          </cell>
          <cell r="FY279">
            <v>0</v>
          </cell>
          <cell r="GA279">
            <v>0</v>
          </cell>
          <cell r="GB279">
            <v>0</v>
          </cell>
          <cell r="GC279">
            <v>1657.2869999999998</v>
          </cell>
          <cell r="GD279">
            <v>1679.5103915213465</v>
          </cell>
          <cell r="GE279">
            <v>1657.2869999999998</v>
          </cell>
          <cell r="GF279">
            <v>4.0333588873069761</v>
          </cell>
        </row>
        <row r="280">
          <cell r="A280" t="str">
            <v>Cost of publication of CATV guides</v>
          </cell>
          <cell r="M280">
            <v>1912</v>
          </cell>
          <cell r="AT280">
            <v>1912</v>
          </cell>
          <cell r="AV280">
            <v>0</v>
          </cell>
          <cell r="AX280">
            <v>1912</v>
          </cell>
          <cell r="AZ280" t="str">
            <v>Cost of publication of CATV guides</v>
          </cell>
          <cell r="FG280">
            <v>7955.0390000000007</v>
          </cell>
          <cell r="FT280">
            <v>7955.0390000000007</v>
          </cell>
          <cell r="FV280">
            <v>7955.0390000000007</v>
          </cell>
          <cell r="FX280">
            <v>0</v>
          </cell>
          <cell r="FY280">
            <v>0</v>
          </cell>
          <cell r="GA280">
            <v>0</v>
          </cell>
          <cell r="GB280">
            <v>0</v>
          </cell>
          <cell r="GC280">
            <v>7955.0390000000007</v>
          </cell>
          <cell r="GD280">
            <v>8061.7121026458208</v>
          </cell>
          <cell r="GE280">
            <v>7955.0390000000007</v>
          </cell>
          <cell r="GF280">
            <v>4.1605852510460251</v>
          </cell>
        </row>
        <row r="281">
          <cell r="A281" t="str">
            <v>part.in exp. others</v>
          </cell>
          <cell r="I281">
            <v>0</v>
          </cell>
          <cell r="M281" t="str">
            <v xml:space="preserve"> </v>
          </cell>
          <cell r="S281">
            <v>-253.27500000000001</v>
          </cell>
          <cell r="U281">
            <v>-253.27500000000001</v>
          </cell>
          <cell r="AD281">
            <v>-253.27500000000001</v>
          </cell>
          <cell r="AJ281">
            <v>0</v>
          </cell>
          <cell r="AP281">
            <v>0</v>
          </cell>
          <cell r="AT281">
            <v>-253.27500000000001</v>
          </cell>
          <cell r="AV281">
            <v>253.27500000000001</v>
          </cell>
          <cell r="AX281">
            <v>0</v>
          </cell>
          <cell r="AZ281" t="str">
            <v>part.in exp. others</v>
          </cell>
          <cell r="BU281">
            <v>0</v>
          </cell>
          <cell r="CD281">
            <v>0</v>
          </cell>
          <cell r="CJ281">
            <v>0</v>
          </cell>
          <cell r="CP281">
            <v>0</v>
          </cell>
          <cell r="CQ281">
            <v>0</v>
          </cell>
          <cell r="CT281">
            <v>0</v>
          </cell>
          <cell r="CU281">
            <v>0</v>
          </cell>
          <cell r="CV281">
            <v>0</v>
          </cell>
          <cell r="CX281">
            <v>0</v>
          </cell>
          <cell r="FI281">
            <v>-1050</v>
          </cell>
          <cell r="FN281">
            <v>-1050</v>
          </cell>
          <cell r="FO281">
            <v>0</v>
          </cell>
          <cell r="FR281">
            <v>0</v>
          </cell>
          <cell r="FS281">
            <v>0</v>
          </cell>
          <cell r="FT281">
            <v>-1050</v>
          </cell>
          <cell r="FU281">
            <v>1050</v>
          </cell>
          <cell r="FV281">
            <v>0</v>
          </cell>
          <cell r="FW281" t="str">
            <v>part.in exp. others</v>
          </cell>
          <cell r="FX281">
            <v>-1050</v>
          </cell>
          <cell r="FY281">
            <v>0</v>
          </cell>
          <cell r="GA281">
            <v>-1050</v>
          </cell>
          <cell r="GB281">
            <v>-1064.0799759470835</v>
          </cell>
          <cell r="GC281">
            <v>1050</v>
          </cell>
          <cell r="GD281">
            <v>1064.0799759470835</v>
          </cell>
          <cell r="GE281">
            <v>1050</v>
          </cell>
          <cell r="GF281" t="e">
            <v>#DIV/0!</v>
          </cell>
          <cell r="GG281">
            <v>0</v>
          </cell>
          <cell r="GH281">
            <v>0</v>
          </cell>
        </row>
        <row r="282">
          <cell r="A282" t="str">
            <v>part.in exp.</v>
          </cell>
          <cell r="I282">
            <v>0</v>
          </cell>
          <cell r="M282" t="str">
            <v xml:space="preserve"> </v>
          </cell>
          <cell r="Q282">
            <v>-2373.4639999999999</v>
          </cell>
          <cell r="U282">
            <v>-2373.4639999999999</v>
          </cell>
          <cell r="X282">
            <v>68.5</v>
          </cell>
          <cell r="AD282">
            <v>-2304.9639999999999</v>
          </cell>
          <cell r="AJ282">
            <v>0</v>
          </cell>
          <cell r="AL282">
            <v>2574.4450000000002</v>
          </cell>
          <cell r="AN282">
            <v>0</v>
          </cell>
          <cell r="AP282">
            <v>2574.4450000000002</v>
          </cell>
          <cell r="AT282">
            <v>269.48100000000022</v>
          </cell>
          <cell r="AV282">
            <v>-269.48100000000022</v>
          </cell>
          <cell r="AX282">
            <v>0</v>
          </cell>
          <cell r="AZ282" t="str">
            <v>part.in exp.</v>
          </cell>
          <cell r="BI282">
            <v>0</v>
          </cell>
          <cell r="BQ282">
            <v>-9094.2039999999997</v>
          </cell>
          <cell r="BU282">
            <v>-9094.2039999999997</v>
          </cell>
          <cell r="BX282">
            <v>266.5</v>
          </cell>
          <cell r="CD282">
            <v>-8827.7039999999997</v>
          </cell>
          <cell r="CH282">
            <v>0</v>
          </cell>
          <cell r="CJ282">
            <v>0</v>
          </cell>
          <cell r="CL282">
            <v>9899</v>
          </cell>
          <cell r="CN282">
            <v>0</v>
          </cell>
          <cell r="CP282">
            <v>9899</v>
          </cell>
          <cell r="CQ282">
            <v>0</v>
          </cell>
          <cell r="CT282">
            <v>1071.2960000000003</v>
          </cell>
          <cell r="CU282">
            <v>0</v>
          </cell>
          <cell r="CV282">
            <v>-1071.2960000000003</v>
          </cell>
          <cell r="CX282">
            <v>0</v>
          </cell>
          <cell r="FI282">
            <v>-9539.5969999999998</v>
          </cell>
          <cell r="FK282">
            <v>280.5</v>
          </cell>
          <cell r="FN282">
            <v>-9259.0969999999998</v>
          </cell>
          <cell r="FO282">
            <v>0</v>
          </cell>
          <cell r="FP282">
            <v>10356.4</v>
          </cell>
          <cell r="FQ282">
            <v>0</v>
          </cell>
          <cell r="FR282">
            <v>10356.4</v>
          </cell>
          <cell r="FS282">
            <v>0</v>
          </cell>
          <cell r="FT282">
            <v>1097.3029999999999</v>
          </cell>
          <cell r="FU282">
            <v>-1097.3029999999999</v>
          </cell>
          <cell r="FV282">
            <v>0</v>
          </cell>
          <cell r="FW282" t="str">
            <v>part.in exp.</v>
          </cell>
          <cell r="FX282">
            <v>-9259.0969999999998</v>
          </cell>
          <cell r="FY282">
            <v>10356.4</v>
          </cell>
          <cell r="GA282">
            <v>1097.3029999999999</v>
          </cell>
          <cell r="GB282">
            <v>1112.0172855682499</v>
          </cell>
          <cell r="GC282">
            <v>-1097.3029999999999</v>
          </cell>
          <cell r="GD282">
            <v>-1112.0172855682499</v>
          </cell>
          <cell r="GE282">
            <v>-1097.3029999999999</v>
          </cell>
          <cell r="GF282" t="e">
            <v>#DIV/0!</v>
          </cell>
          <cell r="GG282">
            <v>-993.19443500979753</v>
          </cell>
          <cell r="GH282">
            <v>0</v>
          </cell>
        </row>
        <row r="283">
          <cell r="C283">
            <v>-9.7430000000000003</v>
          </cell>
          <cell r="E283">
            <v>0</v>
          </cell>
          <cell r="G283">
            <v>0</v>
          </cell>
          <cell r="I283">
            <v>-9.7430000000000003</v>
          </cell>
          <cell r="M283">
            <v>2279.1801682692308</v>
          </cell>
          <cell r="O283">
            <v>8842</v>
          </cell>
          <cell r="Q283">
            <v>40705.576000000001</v>
          </cell>
          <cell r="S283">
            <v>-253.27500000000001</v>
          </cell>
          <cell r="U283">
            <v>40452.300999999999</v>
          </cell>
          <cell r="W283">
            <v>0</v>
          </cell>
          <cell r="X283">
            <v>9098</v>
          </cell>
          <cell r="Z283">
            <v>1000.9240000000001</v>
          </cell>
          <cell r="AB283">
            <v>0</v>
          </cell>
          <cell r="AD283">
            <v>50551.225000000006</v>
          </cell>
          <cell r="AF283">
            <v>0</v>
          </cell>
          <cell r="AH283">
            <v>0</v>
          </cell>
          <cell r="AJ283">
            <v>0</v>
          </cell>
          <cell r="AL283">
            <v>21211.31</v>
          </cell>
          <cell r="AN283">
            <v>0</v>
          </cell>
          <cell r="AP283">
            <v>21211.31</v>
          </cell>
          <cell r="AR283">
            <v>1344.441</v>
          </cell>
          <cell r="AT283">
            <v>84218.413168269253</v>
          </cell>
          <cell r="AV283">
            <v>-713.38750000000005</v>
          </cell>
          <cell r="AX283">
            <v>83505.025668269256</v>
          </cell>
          <cell r="BC283">
            <v>-27.184999999999999</v>
          </cell>
          <cell r="BE283">
            <v>0</v>
          </cell>
          <cell r="BG283">
            <v>0</v>
          </cell>
          <cell r="BI283">
            <v>-27.184999999999999</v>
          </cell>
          <cell r="BM283">
            <v>9027.259</v>
          </cell>
          <cell r="BO283">
            <v>30964.5</v>
          </cell>
          <cell r="BQ283">
            <v>146207.90400000001</v>
          </cell>
          <cell r="BS283">
            <v>0</v>
          </cell>
          <cell r="BU283">
            <v>146207.90400000001</v>
          </cell>
          <cell r="BW283">
            <v>0</v>
          </cell>
          <cell r="BX283">
            <v>31516</v>
          </cell>
          <cell r="BZ283">
            <v>3662.6179999999999</v>
          </cell>
          <cell r="CB283">
            <v>0</v>
          </cell>
          <cell r="CD283">
            <v>181386.522</v>
          </cell>
          <cell r="CF283">
            <v>0</v>
          </cell>
          <cell r="CH283">
            <v>0</v>
          </cell>
          <cell r="CJ283">
            <v>0</v>
          </cell>
          <cell r="CL283">
            <v>74417</v>
          </cell>
          <cell r="CN283">
            <v>0</v>
          </cell>
          <cell r="CP283">
            <v>74417</v>
          </cell>
          <cell r="CQ283">
            <v>0</v>
          </cell>
          <cell r="CR283">
            <v>4838</v>
          </cell>
          <cell r="CT283">
            <v>300605.89</v>
          </cell>
          <cell r="CU283">
            <v>0.2060000000637956</v>
          </cell>
          <cell r="CV283">
            <v>-3798.3440000000001</v>
          </cell>
          <cell r="CX283">
            <v>296807.54599999997</v>
          </cell>
          <cell r="FC283">
            <v>-28.384</v>
          </cell>
          <cell r="FD283">
            <v>0</v>
          </cell>
          <cell r="FE283">
            <v>0</v>
          </cell>
          <cell r="FF283">
            <v>-28.384</v>
          </cell>
          <cell r="FG283">
            <v>9482.5084999999999</v>
          </cell>
          <cell r="FH283">
            <v>34487</v>
          </cell>
          <cell r="FI283">
            <v>166640.35</v>
          </cell>
          <cell r="FJ283">
            <v>0</v>
          </cell>
          <cell r="FK283">
            <v>38014.5</v>
          </cell>
          <cell r="FL283">
            <v>3973.1280000000002</v>
          </cell>
          <cell r="FM283">
            <v>0</v>
          </cell>
          <cell r="FN283">
            <v>208627.978</v>
          </cell>
          <cell r="FO283">
            <v>0</v>
          </cell>
          <cell r="FP283">
            <v>87138.4</v>
          </cell>
          <cell r="FQ283">
            <v>0</v>
          </cell>
          <cell r="FR283">
            <v>87138.4</v>
          </cell>
          <cell r="FS283">
            <v>5053.6710000000003</v>
          </cell>
          <cell r="FT283">
            <v>344761.17349999998</v>
          </cell>
          <cell r="FU283">
            <v>-2727.9658674999996</v>
          </cell>
          <cell r="FV283">
            <v>342033.20763250004</v>
          </cell>
          <cell r="FX283">
            <v>208627.978</v>
          </cell>
          <cell r="FY283">
            <v>87138.4</v>
          </cell>
          <cell r="FZ283">
            <v>-1120.4368449999999</v>
          </cell>
          <cell r="GA283">
            <v>294645.94115500001</v>
          </cell>
          <cell r="GB283">
            <v>298596.99616868392</v>
          </cell>
          <cell r="GC283">
            <v>47387.266477500001</v>
          </cell>
          <cell r="GD283">
            <v>48022.706070072614</v>
          </cell>
          <cell r="GE283">
            <v>47387.26647750003</v>
          </cell>
          <cell r="GF283">
            <v>4.0959595532759403</v>
          </cell>
          <cell r="GG283">
            <v>276719.28250214393</v>
          </cell>
          <cell r="GH283">
            <v>0</v>
          </cell>
        </row>
        <row r="284">
          <cell r="A284" t="str">
            <v>OPER. LOSS(PROFIT)</v>
          </cell>
          <cell r="C284">
            <v>-3308.6470000000004</v>
          </cell>
          <cell r="E284">
            <v>-104.727</v>
          </cell>
          <cell r="G284">
            <v>-1009.615</v>
          </cell>
          <cell r="I284">
            <v>-4422.9890000000005</v>
          </cell>
          <cell r="M284">
            <v>-641.15024038461524</v>
          </cell>
          <cell r="O284">
            <v>-3364</v>
          </cell>
          <cell r="Q284">
            <v>-37239.828999999998</v>
          </cell>
          <cell r="S284">
            <v>0</v>
          </cell>
          <cell r="U284">
            <v>-37239.829000000005</v>
          </cell>
          <cell r="W284">
            <v>0</v>
          </cell>
          <cell r="X284">
            <v>-6895.5</v>
          </cell>
          <cell r="Z284">
            <v>-542.01300000000003</v>
          </cell>
          <cell r="AB284">
            <v>0</v>
          </cell>
          <cell r="AD284">
            <v>-44677.342000000019</v>
          </cell>
          <cell r="AF284">
            <v>-26.103999999999999</v>
          </cell>
          <cell r="AH284">
            <v>0</v>
          </cell>
          <cell r="AJ284">
            <v>-26.103999999999999</v>
          </cell>
          <cell r="AL284">
            <v>-22829.317999999996</v>
          </cell>
          <cell r="AN284">
            <v>26.103999999999999</v>
          </cell>
          <cell r="AP284">
            <v>-22829.317999999996</v>
          </cell>
          <cell r="AR284">
            <v>-498.16399999999999</v>
          </cell>
          <cell r="AT284">
            <v>-76432.963240384663</v>
          </cell>
          <cell r="AV284">
            <v>4397.04</v>
          </cell>
          <cell r="AX284">
            <v>-72035.923240384611</v>
          </cell>
          <cell r="AZ284" t="str">
            <v>OPER. LOSS(PROFIT)</v>
          </cell>
          <cell r="BC284">
            <v>-13752.192999999999</v>
          </cell>
          <cell r="BE284">
            <v>-367</v>
          </cell>
          <cell r="BG284">
            <v>-4200</v>
          </cell>
          <cell r="BI284">
            <v>-18319.193000000003</v>
          </cell>
          <cell r="BM284">
            <v>-2526.5694999999996</v>
          </cell>
          <cell r="BO284">
            <v>-15574.5</v>
          </cell>
          <cell r="BQ284">
            <v>-146881.85</v>
          </cell>
          <cell r="BS284">
            <v>0</v>
          </cell>
          <cell r="BU284">
            <v>-146881.85</v>
          </cell>
          <cell r="BW284">
            <v>0</v>
          </cell>
          <cell r="BX284">
            <v>-29997.5</v>
          </cell>
          <cell r="BZ284">
            <v>-2150.967000000001</v>
          </cell>
          <cell r="CB284">
            <v>0</v>
          </cell>
          <cell r="CD284">
            <v>-179030.31700000001</v>
          </cell>
          <cell r="CF284">
            <v>-108.59399999999999</v>
          </cell>
          <cell r="CH284">
            <v>0</v>
          </cell>
          <cell r="CJ284">
            <v>-108.59399999999999</v>
          </cell>
          <cell r="CL284">
            <v>-89409</v>
          </cell>
          <cell r="CN284">
            <v>108.59399999999999</v>
          </cell>
          <cell r="CP284">
            <v>-89409</v>
          </cell>
          <cell r="CQ284">
            <v>0</v>
          </cell>
          <cell r="CR284">
            <v>-2146.34</v>
          </cell>
          <cell r="CT284">
            <v>-307006.12550000002</v>
          </cell>
          <cell r="CU284">
            <v>0.2060000000637956</v>
          </cell>
          <cell r="CV284">
            <v>28774.54050000001</v>
          </cell>
          <cell r="CX284">
            <v>-278231.58499999996</v>
          </cell>
          <cell r="FC284">
            <v>-17953.392</v>
          </cell>
          <cell r="FD284">
            <v>-397.33695539999997</v>
          </cell>
          <cell r="FE284">
            <v>0</v>
          </cell>
          <cell r="FF284">
            <v>-18350.728955399998</v>
          </cell>
          <cell r="FG284">
            <v>-2666.0660000000007</v>
          </cell>
          <cell r="FH284">
            <v>-14286</v>
          </cell>
          <cell r="FI284">
            <v>-141298.31899999993</v>
          </cell>
          <cell r="FJ284">
            <v>0</v>
          </cell>
          <cell r="FK284">
            <v>-28020.5</v>
          </cell>
          <cell r="FL284">
            <v>-2140.4509999999996</v>
          </cell>
          <cell r="FM284">
            <v>0</v>
          </cell>
          <cell r="FN284">
            <v>-171459.27</v>
          </cell>
          <cell r="FO284">
            <v>-108.59399999999999</v>
          </cell>
          <cell r="FP284">
            <v>-86733.6</v>
          </cell>
          <cell r="FQ284">
            <v>108.59399999999999</v>
          </cell>
          <cell r="FR284">
            <v>-86733.6</v>
          </cell>
          <cell r="FS284">
            <v>-2242.3049999999998</v>
          </cell>
          <cell r="FT284">
            <v>-295737.96995539992</v>
          </cell>
          <cell r="FU284">
            <v>18275.0419554</v>
          </cell>
          <cell r="FV284">
            <v>-277462.9279999999</v>
          </cell>
          <cell r="FW284" t="str">
            <v>OPER. LOSS(PROFIT)</v>
          </cell>
          <cell r="FX284">
            <v>-171459.27</v>
          </cell>
          <cell r="FY284">
            <v>-86733.6</v>
          </cell>
          <cell r="FZ284">
            <v>18321.9081104</v>
          </cell>
          <cell r="GA284">
            <v>-239870.96188959992</v>
          </cell>
          <cell r="GB284">
            <v>-243087.51176941831</v>
          </cell>
          <cell r="GC284">
            <v>-37591.966110399997</v>
          </cell>
          <cell r="GD284">
            <v>-38096.055613864766</v>
          </cell>
          <cell r="GE284">
            <v>-37591.966110399982</v>
          </cell>
          <cell r="GF284">
            <v>3.8517300191198114</v>
          </cell>
          <cell r="GG284">
            <v>-234245.63011417654</v>
          </cell>
          <cell r="GH284">
            <v>0</v>
          </cell>
        </row>
        <row r="285">
          <cell r="A285" t="str">
            <v>MARKETING</v>
          </cell>
          <cell r="AT285">
            <v>0</v>
          </cell>
          <cell r="AZ285" t="str">
            <v>MARKETING</v>
          </cell>
          <cell r="CD285">
            <v>0</v>
          </cell>
          <cell r="CQ285">
            <v>0</v>
          </cell>
          <cell r="CT285">
            <v>0</v>
          </cell>
          <cell r="CU285">
            <v>0</v>
          </cell>
          <cell r="FW285" t="str">
            <v>MARKETING</v>
          </cell>
          <cell r="FX285">
            <v>0</v>
          </cell>
          <cell r="FY285">
            <v>0</v>
          </cell>
          <cell r="GA285">
            <v>0</v>
          </cell>
          <cell r="GB285">
            <v>0</v>
          </cell>
          <cell r="GC285">
            <v>0</v>
          </cell>
          <cell r="GD285">
            <v>0</v>
          </cell>
          <cell r="GE285">
            <v>0</v>
          </cell>
          <cell r="GF285" t="e">
            <v>#DIV/0!</v>
          </cell>
          <cell r="GH285">
            <v>0</v>
          </cell>
        </row>
        <row r="286">
          <cell r="A286" t="str">
            <v>salaries</v>
          </cell>
          <cell r="I286">
            <v>0</v>
          </cell>
          <cell r="M286" t="str">
            <v xml:space="preserve"> </v>
          </cell>
          <cell r="O286">
            <v>1387</v>
          </cell>
          <cell r="Q286">
            <v>3339.7649999999999</v>
          </cell>
          <cell r="U286">
            <v>3339.7649999999999</v>
          </cell>
          <cell r="X286">
            <v>512</v>
          </cell>
          <cell r="AD286">
            <v>3851.7649999999999</v>
          </cell>
          <cell r="AJ286">
            <v>0</v>
          </cell>
          <cell r="AL286">
            <v>91.644000000000005</v>
          </cell>
          <cell r="AN286">
            <v>0</v>
          </cell>
          <cell r="AP286">
            <v>91.644000000000005</v>
          </cell>
          <cell r="AT286">
            <v>5330.4089999999997</v>
          </cell>
          <cell r="AV286">
            <v>0</v>
          </cell>
          <cell r="AX286">
            <v>5330.4089999999997</v>
          </cell>
          <cell r="AZ286" t="str">
            <v>salaries</v>
          </cell>
          <cell r="BG286">
            <v>0</v>
          </cell>
          <cell r="BI286">
            <v>0</v>
          </cell>
          <cell r="BO286">
            <v>5379.5</v>
          </cell>
          <cell r="BQ286">
            <v>12854.347</v>
          </cell>
          <cell r="BU286">
            <v>12854.347</v>
          </cell>
          <cell r="BX286">
            <v>1966.5</v>
          </cell>
          <cell r="CD286">
            <v>14820.847</v>
          </cell>
          <cell r="CJ286">
            <v>0</v>
          </cell>
          <cell r="CL286">
            <v>373</v>
          </cell>
          <cell r="CN286">
            <v>0</v>
          </cell>
          <cell r="CP286">
            <v>373</v>
          </cell>
          <cell r="CQ286">
            <v>0</v>
          </cell>
          <cell r="CT286">
            <v>20573.347000000002</v>
          </cell>
          <cell r="CU286">
            <v>0</v>
          </cell>
          <cell r="CX286">
            <v>20573.347000000002</v>
          </cell>
          <cell r="FH286">
            <v>5608</v>
          </cell>
          <cell r="FI286">
            <v>13307.933000000001</v>
          </cell>
          <cell r="FK286">
            <v>2087.5</v>
          </cell>
          <cell r="FN286">
            <v>15395.433000000001</v>
          </cell>
          <cell r="FO286">
            <v>0</v>
          </cell>
          <cell r="FP286">
            <v>377</v>
          </cell>
          <cell r="FQ286">
            <v>0</v>
          </cell>
          <cell r="FR286">
            <v>377</v>
          </cell>
          <cell r="FS286">
            <v>0</v>
          </cell>
          <cell r="FT286">
            <v>21380.433000000001</v>
          </cell>
          <cell r="FV286">
            <v>21380.433000000001</v>
          </cell>
          <cell r="FW286" t="str">
            <v>salaries</v>
          </cell>
          <cell r="FX286">
            <v>15395.433000000001</v>
          </cell>
          <cell r="FY286">
            <v>377</v>
          </cell>
          <cell r="GA286">
            <v>15772.433000000001</v>
          </cell>
          <cell r="GB286">
            <v>15983.933454539989</v>
          </cell>
          <cell r="GC286">
            <v>5608</v>
          </cell>
          <cell r="GD286">
            <v>5683.2004810583276</v>
          </cell>
          <cell r="GE286">
            <v>5608</v>
          </cell>
          <cell r="GF286">
            <v>4.0110304856531656</v>
          </cell>
          <cell r="GG286">
            <v>19749.031992161985</v>
          </cell>
          <cell r="GH286">
            <v>0</v>
          </cell>
        </row>
        <row r="287">
          <cell r="A287" t="str">
            <v>part.in exp.</v>
          </cell>
          <cell r="I287">
            <v>0</v>
          </cell>
          <cell r="M287" t="str">
            <v xml:space="preserve"> </v>
          </cell>
          <cell r="Q287">
            <v>-1451.694</v>
          </cell>
          <cell r="U287">
            <v>-1451.694</v>
          </cell>
          <cell r="AD287">
            <v>-1451.694</v>
          </cell>
          <cell r="AJ287">
            <v>0</v>
          </cell>
          <cell r="AL287">
            <v>1158.748</v>
          </cell>
          <cell r="AN287">
            <v>0</v>
          </cell>
          <cell r="AP287">
            <v>1158.748</v>
          </cell>
          <cell r="AT287">
            <v>-292.94599999999991</v>
          </cell>
          <cell r="AV287">
            <v>292.94599999999991</v>
          </cell>
          <cell r="AX287">
            <v>0</v>
          </cell>
          <cell r="AZ287" t="str">
            <v>part.in exp.</v>
          </cell>
          <cell r="BI287">
            <v>0</v>
          </cell>
          <cell r="BQ287">
            <v>-5565.2939999999999</v>
          </cell>
          <cell r="BU287">
            <v>-5565.2939999999999</v>
          </cell>
          <cell r="CD287">
            <v>-5565.2939999999999</v>
          </cell>
          <cell r="CJ287">
            <v>0</v>
          </cell>
          <cell r="CL287">
            <v>4503</v>
          </cell>
          <cell r="CN287">
            <v>0</v>
          </cell>
          <cell r="CP287">
            <v>4503</v>
          </cell>
          <cell r="CQ287">
            <v>0</v>
          </cell>
          <cell r="CT287">
            <v>-1062.2939999999999</v>
          </cell>
          <cell r="CU287">
            <v>0</v>
          </cell>
          <cell r="CV287">
            <v>1062.2939999999999</v>
          </cell>
          <cell r="CX287">
            <v>0</v>
          </cell>
          <cell r="FI287">
            <v>-5812.299</v>
          </cell>
          <cell r="FN287">
            <v>-5812.299</v>
          </cell>
          <cell r="FO287">
            <v>0</v>
          </cell>
          <cell r="FP287">
            <v>4660.6000000000004</v>
          </cell>
          <cell r="FQ287">
            <v>0</v>
          </cell>
          <cell r="FR287">
            <v>4660.6000000000004</v>
          </cell>
          <cell r="FS287">
            <v>0</v>
          </cell>
          <cell r="FT287">
            <v>-1151.6989999999996</v>
          </cell>
          <cell r="FU287">
            <v>133.30299999999988</v>
          </cell>
          <cell r="FV287">
            <v>-1018.3959999999997</v>
          </cell>
          <cell r="FW287" t="str">
            <v>part.in exp.</v>
          </cell>
          <cell r="FX287">
            <v>-5812.299</v>
          </cell>
          <cell r="FY287">
            <v>4660.6000000000004</v>
          </cell>
          <cell r="GA287">
            <v>-1151.6989999999996</v>
          </cell>
          <cell r="GB287">
            <v>-1167.142708779314</v>
          </cell>
          <cell r="GC287">
            <v>133.30299999999988</v>
          </cell>
          <cell r="GD287">
            <v>135.09052669873711</v>
          </cell>
          <cell r="GE287">
            <v>133.30299999999988</v>
          </cell>
          <cell r="GF287" t="e">
            <v>#DIV/0!</v>
          </cell>
          <cell r="GG287">
            <v>-0.56700587851077733</v>
          </cell>
          <cell r="GH287">
            <v>0</v>
          </cell>
        </row>
        <row r="288">
          <cell r="A288" t="str">
            <v>bad debts</v>
          </cell>
          <cell r="I288">
            <v>0</v>
          </cell>
          <cell r="M288">
            <v>52.435817307692311</v>
          </cell>
          <cell r="Q288">
            <v>220.20099999999999</v>
          </cell>
          <cell r="U288">
            <v>220.20099999999999</v>
          </cell>
          <cell r="X288">
            <v>193.5</v>
          </cell>
          <cell r="Z288">
            <v>4.5069999999999997</v>
          </cell>
          <cell r="AD288">
            <v>418.20800000000003</v>
          </cell>
          <cell r="AJ288">
            <v>0</v>
          </cell>
          <cell r="AL288">
            <v>137.91800000000001</v>
          </cell>
          <cell r="AP288">
            <v>137.91800000000001</v>
          </cell>
          <cell r="AT288">
            <v>608.56181730769231</v>
          </cell>
          <cell r="AX288">
            <v>608.56181730769231</v>
          </cell>
          <cell r="AZ288" t="str">
            <v>bad debts</v>
          </cell>
          <cell r="BI288">
            <v>0</v>
          </cell>
          <cell r="BM288">
            <v>242.07149999999999</v>
          </cell>
          <cell r="BQ288">
            <v>923.55700000000002</v>
          </cell>
          <cell r="BU288">
            <v>923.55700000000002</v>
          </cell>
          <cell r="BX288">
            <v>762.5</v>
          </cell>
          <cell r="BZ288">
            <v>20.782</v>
          </cell>
          <cell r="CD288">
            <v>1706.8389999999999</v>
          </cell>
          <cell r="CJ288">
            <v>0</v>
          </cell>
          <cell r="CL288">
            <v>587</v>
          </cell>
          <cell r="CP288">
            <v>587</v>
          </cell>
          <cell r="CQ288">
            <v>0</v>
          </cell>
          <cell r="CT288">
            <v>2535.9105</v>
          </cell>
          <cell r="CU288">
            <v>0</v>
          </cell>
          <cell r="CX288">
            <v>2535.9105</v>
          </cell>
          <cell r="FG288">
            <v>218.13300000000001</v>
          </cell>
          <cell r="FI288">
            <v>918.75</v>
          </cell>
          <cell r="FK288">
            <v>774</v>
          </cell>
          <cell r="FL288">
            <v>19.78</v>
          </cell>
          <cell r="FN288">
            <v>1712.53</v>
          </cell>
          <cell r="FO288">
            <v>0</v>
          </cell>
          <cell r="FP288">
            <v>589</v>
          </cell>
          <cell r="FR288">
            <v>589</v>
          </cell>
          <cell r="FS288">
            <v>0</v>
          </cell>
          <cell r="FT288">
            <v>2519.663</v>
          </cell>
          <cell r="FV288">
            <v>2519.663</v>
          </cell>
          <cell r="FW288" t="str">
            <v>bad debts</v>
          </cell>
          <cell r="FX288">
            <v>1712.53</v>
          </cell>
          <cell r="FY288">
            <v>589</v>
          </cell>
          <cell r="GA288">
            <v>2301.5300000000002</v>
          </cell>
          <cell r="GB288">
            <v>2332.3923686109438</v>
          </cell>
          <cell r="GC288">
            <v>218.13300000000027</v>
          </cell>
          <cell r="GD288">
            <v>221.05805466025282</v>
          </cell>
          <cell r="GE288">
            <v>218.13300000000027</v>
          </cell>
          <cell r="GF288">
            <v>4.1403567038548594</v>
          </cell>
          <cell r="GG288">
            <v>1763.4523690398432</v>
          </cell>
          <cell r="GH288">
            <v>0</v>
          </cell>
        </row>
        <row r="289">
          <cell r="A289" t="str">
            <v>office maint.</v>
          </cell>
          <cell r="I289">
            <v>0</v>
          </cell>
          <cell r="M289" t="str">
            <v xml:space="preserve"> </v>
          </cell>
          <cell r="Q289">
            <v>90.584999999999994</v>
          </cell>
          <cell r="U289">
            <v>90.584999999999994</v>
          </cell>
          <cell r="AD289">
            <v>90.584999999999994</v>
          </cell>
          <cell r="AJ289">
            <v>0</v>
          </cell>
          <cell r="AP289">
            <v>0</v>
          </cell>
          <cell r="AT289">
            <v>90.584999999999994</v>
          </cell>
          <cell r="AX289">
            <v>90.584999999999994</v>
          </cell>
          <cell r="AZ289" t="str">
            <v>office maint.</v>
          </cell>
          <cell r="BI289">
            <v>0</v>
          </cell>
          <cell r="BQ289">
            <v>339.74400000000003</v>
          </cell>
          <cell r="BU289">
            <v>339.74400000000003</v>
          </cell>
          <cell r="CD289">
            <v>339.74400000000003</v>
          </cell>
          <cell r="CJ289">
            <v>0</v>
          </cell>
          <cell r="CP289">
            <v>0</v>
          </cell>
          <cell r="CQ289">
            <v>0</v>
          </cell>
          <cell r="CT289">
            <v>339.74400000000003</v>
          </cell>
          <cell r="CU289">
            <v>0</v>
          </cell>
          <cell r="CX289">
            <v>339.74400000000003</v>
          </cell>
          <cell r="FI289">
            <v>354.73700000000002</v>
          </cell>
          <cell r="FN289">
            <v>354.73700000000002</v>
          </cell>
          <cell r="FO289">
            <v>0</v>
          </cell>
          <cell r="FR289">
            <v>0</v>
          </cell>
          <cell r="FS289">
            <v>0</v>
          </cell>
          <cell r="FT289">
            <v>354.73700000000002</v>
          </cell>
          <cell r="FV289">
            <v>354.73700000000002</v>
          </cell>
          <cell r="FW289" t="str">
            <v>office maint.</v>
          </cell>
          <cell r="FX289">
            <v>354.73700000000002</v>
          </cell>
          <cell r="FY289">
            <v>0</v>
          </cell>
          <cell r="GA289">
            <v>354.73700000000002</v>
          </cell>
          <cell r="GB289">
            <v>359.49384612146724</v>
          </cell>
          <cell r="GC289">
            <v>0</v>
          </cell>
          <cell r="GD289">
            <v>0</v>
          </cell>
          <cell r="GE289">
            <v>0</v>
          </cell>
          <cell r="GF289">
            <v>3.9160677816415528</v>
          </cell>
          <cell r="GG289">
            <v>1550.0593807968648</v>
          </cell>
          <cell r="GH289">
            <v>0</v>
          </cell>
        </row>
        <row r="290">
          <cell r="A290" t="str">
            <v>car &amp; travel</v>
          </cell>
          <cell r="I290">
            <v>0</v>
          </cell>
          <cell r="M290" t="str">
            <v xml:space="preserve"> </v>
          </cell>
          <cell r="O290">
            <v>126.5</v>
          </cell>
          <cell r="Q290">
            <v>47.6</v>
          </cell>
          <cell r="U290">
            <v>47.6</v>
          </cell>
          <cell r="AD290">
            <v>47.6</v>
          </cell>
          <cell r="AJ290">
            <v>0</v>
          </cell>
          <cell r="AP290">
            <v>0</v>
          </cell>
          <cell r="AT290">
            <v>174.1</v>
          </cell>
          <cell r="AX290">
            <v>174.1</v>
          </cell>
          <cell r="AZ290" t="str">
            <v>car &amp; travel</v>
          </cell>
          <cell r="BG290">
            <v>0</v>
          </cell>
          <cell r="BI290">
            <v>0</v>
          </cell>
          <cell r="BO290">
            <v>477</v>
          </cell>
          <cell r="BQ290">
            <v>180.64</v>
          </cell>
          <cell r="BU290">
            <v>180.64</v>
          </cell>
          <cell r="CD290">
            <v>180.64</v>
          </cell>
          <cell r="CJ290">
            <v>0</v>
          </cell>
          <cell r="CP290">
            <v>0</v>
          </cell>
          <cell r="CQ290">
            <v>0</v>
          </cell>
          <cell r="CT290">
            <v>657.64</v>
          </cell>
          <cell r="CU290">
            <v>0</v>
          </cell>
          <cell r="CX290">
            <v>657.64</v>
          </cell>
          <cell r="FH290">
            <v>503</v>
          </cell>
          <cell r="FI290">
            <v>191.417</v>
          </cell>
          <cell r="FN290">
            <v>191.417</v>
          </cell>
          <cell r="FO290">
            <v>0</v>
          </cell>
          <cell r="FR290">
            <v>0</v>
          </cell>
          <cell r="FS290">
            <v>0</v>
          </cell>
          <cell r="FT290">
            <v>694.41700000000003</v>
          </cell>
          <cell r="FV290">
            <v>694.41700000000003</v>
          </cell>
          <cell r="FW290" t="str">
            <v>car &amp; travel</v>
          </cell>
          <cell r="FX290">
            <v>191.417</v>
          </cell>
          <cell r="FY290">
            <v>0</v>
          </cell>
          <cell r="GA290">
            <v>191.417</v>
          </cell>
          <cell r="GB290">
            <v>193.98380643415513</v>
          </cell>
          <cell r="GC290">
            <v>503</v>
          </cell>
          <cell r="GD290">
            <v>509.74497895369808</v>
          </cell>
          <cell r="GE290">
            <v>503</v>
          </cell>
          <cell r="GF290">
            <v>3.988609994256175</v>
          </cell>
          <cell r="GG290">
            <v>641.15004376224704</v>
          </cell>
          <cell r="GH290">
            <v>0</v>
          </cell>
        </row>
        <row r="291">
          <cell r="A291" t="str">
            <v>amortization</v>
          </cell>
          <cell r="I291">
            <v>0</v>
          </cell>
          <cell r="M291" t="str">
            <v xml:space="preserve"> </v>
          </cell>
          <cell r="Q291">
            <v>0.89900000000000002</v>
          </cell>
          <cell r="U291">
            <v>0.89900000000000002</v>
          </cell>
          <cell r="AD291">
            <v>0.89900000000000002</v>
          </cell>
          <cell r="AJ291">
            <v>0</v>
          </cell>
          <cell r="AP291">
            <v>0</v>
          </cell>
          <cell r="AT291">
            <v>0.89900000000000002</v>
          </cell>
          <cell r="AX291">
            <v>0.89900000000000002</v>
          </cell>
          <cell r="AZ291" t="str">
            <v>amortization</v>
          </cell>
          <cell r="BQ291">
            <v>2.823</v>
          </cell>
          <cell r="BU291">
            <v>2.823</v>
          </cell>
          <cell r="CD291">
            <v>2.823</v>
          </cell>
          <cell r="CJ291">
            <v>0</v>
          </cell>
          <cell r="CP291">
            <v>0</v>
          </cell>
          <cell r="CQ291">
            <v>0</v>
          </cell>
          <cell r="CT291">
            <v>2.823</v>
          </cell>
          <cell r="CU291">
            <v>0</v>
          </cell>
          <cell r="CX291">
            <v>2.823</v>
          </cell>
          <cell r="FI291">
            <v>1.8560000000000001</v>
          </cell>
          <cell r="FN291">
            <v>1.8560000000000001</v>
          </cell>
          <cell r="FO291">
            <v>0</v>
          </cell>
          <cell r="FR291">
            <v>0</v>
          </cell>
          <cell r="FS291">
            <v>0</v>
          </cell>
          <cell r="FT291">
            <v>1.8560000000000001</v>
          </cell>
          <cell r="FV291">
            <v>1.8560000000000001</v>
          </cell>
          <cell r="FW291" t="str">
            <v>amortization</v>
          </cell>
          <cell r="FX291">
            <v>1.8560000000000001</v>
          </cell>
          <cell r="FY291">
            <v>0</v>
          </cell>
          <cell r="GA291">
            <v>1.8560000000000001</v>
          </cell>
          <cell r="GB291">
            <v>1.8808880336740832</v>
          </cell>
          <cell r="GC291">
            <v>0</v>
          </cell>
          <cell r="GD291">
            <v>0</v>
          </cell>
          <cell r="GE291">
            <v>0</v>
          </cell>
          <cell r="GF291">
            <v>2.064516129032258</v>
          </cell>
          <cell r="GG291">
            <v>119.61108491182236</v>
          </cell>
          <cell r="GH291">
            <v>0</v>
          </cell>
        </row>
        <row r="292">
          <cell r="A292" t="str">
            <v>advertizment</v>
          </cell>
          <cell r="C292">
            <v>0.67900000000000005</v>
          </cell>
          <cell r="I292">
            <v>0.67900000000000005</v>
          </cell>
          <cell r="M292">
            <v>88.676562500000003</v>
          </cell>
          <cell r="O292">
            <v>231.5</v>
          </cell>
          <cell r="Q292">
            <v>985.21600000000001</v>
          </cell>
          <cell r="U292">
            <v>985.21600000000001</v>
          </cell>
          <cell r="X292">
            <v>103.5</v>
          </cell>
          <cell r="AD292">
            <v>1088.7159999999999</v>
          </cell>
          <cell r="AJ292">
            <v>0</v>
          </cell>
          <cell r="AL292">
            <v>157.83199999999999</v>
          </cell>
          <cell r="AP292">
            <v>157.83199999999999</v>
          </cell>
          <cell r="AT292">
            <v>1567.4035624999999</v>
          </cell>
          <cell r="AX292">
            <v>1567.4035624999999</v>
          </cell>
          <cell r="AZ292" t="str">
            <v>advertizment</v>
          </cell>
          <cell r="BC292">
            <v>2.5</v>
          </cell>
          <cell r="BI292">
            <v>2.5</v>
          </cell>
          <cell r="BM292">
            <v>351.81599999999997</v>
          </cell>
          <cell r="BO292">
            <v>1286.5</v>
          </cell>
          <cell r="BQ292">
            <v>3847.4969999999998</v>
          </cell>
          <cell r="BU292">
            <v>3847.4969999999998</v>
          </cell>
          <cell r="BX292">
            <v>407.5</v>
          </cell>
          <cell r="CD292">
            <v>4254.9969999999994</v>
          </cell>
          <cell r="CJ292">
            <v>0</v>
          </cell>
          <cell r="CL292">
            <v>620</v>
          </cell>
          <cell r="CP292">
            <v>620</v>
          </cell>
          <cell r="CQ292">
            <v>0</v>
          </cell>
          <cell r="CT292">
            <v>6515.8129999999992</v>
          </cell>
          <cell r="CU292">
            <v>0</v>
          </cell>
          <cell r="CX292">
            <v>6515.8129999999992</v>
          </cell>
          <cell r="FC292">
            <v>2.6459999999999999</v>
          </cell>
          <cell r="FF292">
            <v>2.6459999999999999</v>
          </cell>
          <cell r="FG292">
            <v>368.89449999999999</v>
          </cell>
          <cell r="FH292">
            <v>919</v>
          </cell>
          <cell r="FI292">
            <v>3961.39</v>
          </cell>
          <cell r="FK292">
            <v>433</v>
          </cell>
          <cell r="FN292">
            <v>4394.3900000000003</v>
          </cell>
          <cell r="FO292">
            <v>0</v>
          </cell>
          <cell r="FP292">
            <v>640</v>
          </cell>
          <cell r="FR292">
            <v>640</v>
          </cell>
          <cell r="FS292">
            <v>0</v>
          </cell>
          <cell r="FT292">
            <v>6324.9305000000004</v>
          </cell>
          <cell r="FV292">
            <v>6324.9305000000004</v>
          </cell>
          <cell r="FW292" t="str">
            <v>advertizment</v>
          </cell>
          <cell r="FX292">
            <v>4394.3900000000003</v>
          </cell>
          <cell r="FY292">
            <v>640</v>
          </cell>
          <cell r="GA292">
            <v>5034.3900000000003</v>
          </cell>
          <cell r="GB292">
            <v>5101.8986572459407</v>
          </cell>
          <cell r="GC292">
            <v>1290.5405000000001</v>
          </cell>
          <cell r="GD292">
            <v>1307.8460039987972</v>
          </cell>
          <cell r="GE292">
            <v>1290.5405000000001</v>
          </cell>
          <cell r="GF292">
            <v>4.035291644936529</v>
          </cell>
          <cell r="GG292">
            <v>3927.3792521227956</v>
          </cell>
          <cell r="GH292">
            <v>0</v>
          </cell>
        </row>
        <row r="293">
          <cell r="C293">
            <v>0.67900000000000005</v>
          </cell>
          <cell r="E293">
            <v>0</v>
          </cell>
          <cell r="G293">
            <v>0</v>
          </cell>
          <cell r="I293">
            <v>0.67900000000000005</v>
          </cell>
          <cell r="M293">
            <v>141.11237980769229</v>
          </cell>
          <cell r="O293">
            <v>1745</v>
          </cell>
          <cell r="Q293">
            <v>3232.5719999999997</v>
          </cell>
          <cell r="S293">
            <v>0</v>
          </cell>
          <cell r="U293">
            <v>3232.5719999999997</v>
          </cell>
          <cell r="W293">
            <v>0</v>
          </cell>
          <cell r="X293">
            <v>809</v>
          </cell>
          <cell r="Z293">
            <v>4.5069999999999997</v>
          </cell>
          <cell r="AB293">
            <v>0</v>
          </cell>
          <cell r="AD293">
            <v>4046.0789999999997</v>
          </cell>
          <cell r="AF293">
            <v>0</v>
          </cell>
          <cell r="AH293">
            <v>0</v>
          </cell>
          <cell r="AJ293">
            <v>0</v>
          </cell>
          <cell r="AL293">
            <v>1546.1419999999998</v>
          </cell>
          <cell r="AN293">
            <v>0</v>
          </cell>
          <cell r="AP293">
            <v>1546.1419999999998</v>
          </cell>
          <cell r="AR293">
            <v>0</v>
          </cell>
          <cell r="AT293">
            <v>7479.0123798076929</v>
          </cell>
          <cell r="AV293">
            <v>292.94599999999991</v>
          </cell>
          <cell r="AX293">
            <v>7771.9583798076928</v>
          </cell>
          <cell r="BC293">
            <v>2.5</v>
          </cell>
          <cell r="BE293">
            <v>0</v>
          </cell>
          <cell r="BG293">
            <v>0</v>
          </cell>
          <cell r="BI293">
            <v>2.5</v>
          </cell>
          <cell r="BM293">
            <v>593.88750000000005</v>
          </cell>
          <cell r="BO293">
            <v>7143</v>
          </cell>
          <cell r="BQ293">
            <v>12583.314</v>
          </cell>
          <cell r="BS293">
            <v>0</v>
          </cell>
          <cell r="BU293">
            <v>12583.314</v>
          </cell>
          <cell r="BW293">
            <v>0</v>
          </cell>
          <cell r="BX293">
            <v>3136.5</v>
          </cell>
          <cell r="BZ293">
            <v>20.782</v>
          </cell>
          <cell r="CB293">
            <v>0</v>
          </cell>
          <cell r="CD293">
            <v>15740.596</v>
          </cell>
          <cell r="CF293">
            <v>0</v>
          </cell>
          <cell r="CH293">
            <v>0</v>
          </cell>
          <cell r="CJ293">
            <v>0</v>
          </cell>
          <cell r="CL293">
            <v>6083</v>
          </cell>
          <cell r="CN293">
            <v>0</v>
          </cell>
          <cell r="CP293">
            <v>6083</v>
          </cell>
          <cell r="CQ293">
            <v>0</v>
          </cell>
          <cell r="CR293">
            <v>0</v>
          </cell>
          <cell r="CT293">
            <v>29562.983499999995</v>
          </cell>
          <cell r="CU293">
            <v>0</v>
          </cell>
          <cell r="CV293">
            <v>1062.2939999999999</v>
          </cell>
          <cell r="CX293">
            <v>30625.277499999997</v>
          </cell>
          <cell r="FC293">
            <v>2.6459999999999999</v>
          </cell>
          <cell r="FD293">
            <v>0</v>
          </cell>
          <cell r="FE293">
            <v>0</v>
          </cell>
          <cell r="FF293">
            <v>2.6459999999999999</v>
          </cell>
          <cell r="FG293">
            <v>587.02750000000003</v>
          </cell>
          <cell r="FH293">
            <v>7030</v>
          </cell>
          <cell r="FI293">
            <v>12923.784</v>
          </cell>
          <cell r="FJ293">
            <v>0</v>
          </cell>
          <cell r="FK293">
            <v>3294.5</v>
          </cell>
          <cell r="FL293">
            <v>19.78</v>
          </cell>
          <cell r="FM293">
            <v>0</v>
          </cell>
          <cell r="FN293">
            <v>16238.064000000002</v>
          </cell>
          <cell r="FO293">
            <v>0</v>
          </cell>
          <cell r="FP293">
            <v>6266.6</v>
          </cell>
          <cell r="FQ293">
            <v>0</v>
          </cell>
          <cell r="FR293">
            <v>6266.6</v>
          </cell>
          <cell r="FS293">
            <v>0</v>
          </cell>
          <cell r="FT293">
            <v>30124.337500000001</v>
          </cell>
          <cell r="FU293">
            <v>133.30299999999988</v>
          </cell>
          <cell r="FV293">
            <v>30257.640500000001</v>
          </cell>
          <cell r="FX293">
            <v>16238.064000000002</v>
          </cell>
          <cell r="FY293">
            <v>6266.6</v>
          </cell>
          <cell r="FZ293">
            <v>0</v>
          </cell>
          <cell r="GA293">
            <v>22504.664000000001</v>
          </cell>
          <cell r="GB293">
            <v>22806.440312206854</v>
          </cell>
          <cell r="GC293">
            <v>7752.9764999999998</v>
          </cell>
          <cell r="GD293">
            <v>7856.9400453698127</v>
          </cell>
          <cell r="GE293">
            <v>7752.9765000000007</v>
          </cell>
          <cell r="GF293">
            <v>3.8931809746449888</v>
          </cell>
          <cell r="GG293">
            <v>27750.117116917052</v>
          </cell>
          <cell r="GH293">
            <v>0</v>
          </cell>
        </row>
        <row r="294">
          <cell r="A294" t="str">
            <v>ADM. &amp;GENERAL</v>
          </cell>
          <cell r="AT294">
            <v>0</v>
          </cell>
          <cell r="AZ294" t="str">
            <v>ADM. &amp;GENERAL</v>
          </cell>
          <cell r="CD294">
            <v>0</v>
          </cell>
          <cell r="CQ294">
            <v>0</v>
          </cell>
          <cell r="CT294">
            <v>0</v>
          </cell>
          <cell r="CU294">
            <v>0</v>
          </cell>
          <cell r="FS294">
            <v>0</v>
          </cell>
          <cell r="FW294" t="str">
            <v>ADM. &amp;GENERAL</v>
          </cell>
          <cell r="FX294">
            <v>0</v>
          </cell>
          <cell r="FY294">
            <v>0</v>
          </cell>
          <cell r="GA294">
            <v>0</v>
          </cell>
          <cell r="GB294">
            <v>0</v>
          </cell>
          <cell r="GC294">
            <v>0</v>
          </cell>
          <cell r="GD294">
            <v>0</v>
          </cell>
          <cell r="GE294">
            <v>0</v>
          </cell>
          <cell r="GF294" t="e">
            <v>#DIV/0!</v>
          </cell>
          <cell r="GH294">
            <v>0</v>
          </cell>
        </row>
        <row r="295">
          <cell r="A295" t="str">
            <v>salaries</v>
          </cell>
          <cell r="I295">
            <v>0</v>
          </cell>
          <cell r="M295">
            <v>48.925240384615385</v>
          </cell>
          <cell r="O295">
            <v>434.5</v>
          </cell>
          <cell r="Q295">
            <v>3124.01</v>
          </cell>
          <cell r="U295">
            <v>3124.01</v>
          </cell>
          <cell r="X295">
            <v>39</v>
          </cell>
          <cell r="AD295">
            <v>3163.01</v>
          </cell>
          <cell r="AH295">
            <v>0</v>
          </cell>
          <cell r="AJ295">
            <v>0</v>
          </cell>
          <cell r="AL295">
            <v>73.483000000000004</v>
          </cell>
          <cell r="AN295">
            <v>0</v>
          </cell>
          <cell r="AP295">
            <v>73.483000000000004</v>
          </cell>
          <cell r="AT295">
            <v>3719.9182403846157</v>
          </cell>
          <cell r="AX295">
            <v>3719.9182403846157</v>
          </cell>
          <cell r="AZ295" t="str">
            <v>salaries</v>
          </cell>
          <cell r="BI295">
            <v>0</v>
          </cell>
          <cell r="BM295">
            <v>194.01400000000001</v>
          </cell>
          <cell r="BO295">
            <v>1699.5</v>
          </cell>
          <cell r="BQ295">
            <v>12198.977000000001</v>
          </cell>
          <cell r="BU295">
            <v>12198.977000000001</v>
          </cell>
          <cell r="BX295">
            <v>205.5</v>
          </cell>
          <cell r="CD295">
            <v>12404.477000000001</v>
          </cell>
          <cell r="CH295">
            <v>0</v>
          </cell>
          <cell r="CJ295">
            <v>0</v>
          </cell>
          <cell r="CL295">
            <v>274</v>
          </cell>
          <cell r="CN295">
            <v>0</v>
          </cell>
          <cell r="CP295">
            <v>274</v>
          </cell>
          <cell r="CQ295">
            <v>0</v>
          </cell>
          <cell r="CT295">
            <v>14571.991</v>
          </cell>
          <cell r="CU295">
            <v>0</v>
          </cell>
          <cell r="CX295">
            <v>14571.991</v>
          </cell>
          <cell r="FG295">
            <v>203.529</v>
          </cell>
          <cell r="FH295">
            <v>1759</v>
          </cell>
          <cell r="FI295">
            <v>12911.478999999999</v>
          </cell>
          <cell r="FK295">
            <v>267.5</v>
          </cell>
          <cell r="FN295">
            <v>13178.978999999999</v>
          </cell>
          <cell r="FO295">
            <v>0</v>
          </cell>
          <cell r="FP295">
            <v>291</v>
          </cell>
          <cell r="FQ295">
            <v>0</v>
          </cell>
          <cell r="FR295">
            <v>291</v>
          </cell>
          <cell r="FS295">
            <v>0</v>
          </cell>
          <cell r="FT295">
            <v>15432.508</v>
          </cell>
          <cell r="FV295">
            <v>15432.508</v>
          </cell>
          <cell r="FW295" t="str">
            <v>salaries</v>
          </cell>
          <cell r="FX295">
            <v>13178.978999999999</v>
          </cell>
          <cell r="FY295">
            <v>291</v>
          </cell>
          <cell r="GA295">
            <v>13469.978999999999</v>
          </cell>
          <cell r="GB295">
            <v>13650.604695550208</v>
          </cell>
          <cell r="GC295">
            <v>1962.5290000000005</v>
          </cell>
          <cell r="GD295">
            <v>1988.8455343956707</v>
          </cell>
          <cell r="GE295">
            <v>1962.5290000000005</v>
          </cell>
          <cell r="GF295">
            <v>4.1486148357939117</v>
          </cell>
          <cell r="GG295">
            <v>16071.170438477417</v>
          </cell>
          <cell r="GH295">
            <v>0</v>
          </cell>
        </row>
        <row r="296">
          <cell r="A296" t="str">
            <v>management fees</v>
          </cell>
          <cell r="C296">
            <v>2000</v>
          </cell>
          <cell r="G296">
            <v>0</v>
          </cell>
          <cell r="I296">
            <v>2000</v>
          </cell>
          <cell r="M296" t="str">
            <v xml:space="preserve"> </v>
          </cell>
          <cell r="Q296">
            <v>3414.0410000000002</v>
          </cell>
          <cell r="U296">
            <v>3414.0410000000002</v>
          </cell>
          <cell r="X296">
            <v>1251</v>
          </cell>
          <cell r="Z296">
            <v>253.06</v>
          </cell>
          <cell r="AD296">
            <v>4918.1010000000006</v>
          </cell>
          <cell r="AJ296">
            <v>0</v>
          </cell>
          <cell r="AL296">
            <v>1964.895</v>
          </cell>
          <cell r="AN296">
            <v>-26.103999999999999</v>
          </cell>
          <cell r="AP296">
            <v>1938.7909999999999</v>
          </cell>
          <cell r="AT296">
            <v>8856.8919999999998</v>
          </cell>
          <cell r="AV296">
            <v>-4666.5209999999997</v>
          </cell>
          <cell r="AX296">
            <v>4190.3710000000001</v>
          </cell>
          <cell r="AZ296" t="str">
            <v>management fees</v>
          </cell>
          <cell r="BC296">
            <v>7601</v>
          </cell>
          <cell r="BI296">
            <v>7601</v>
          </cell>
          <cell r="BQ296">
            <v>14202.41</v>
          </cell>
          <cell r="BU296">
            <v>14202.41</v>
          </cell>
          <cell r="BX296">
            <v>5001</v>
          </cell>
          <cell r="CD296">
            <v>19203.41</v>
          </cell>
          <cell r="CH296">
            <v>0</v>
          </cell>
          <cell r="CJ296">
            <v>0</v>
          </cell>
          <cell r="CL296">
            <v>8174</v>
          </cell>
          <cell r="CN296">
            <v>-108.59399999999999</v>
          </cell>
          <cell r="CP296">
            <v>8065.4059999999999</v>
          </cell>
          <cell r="CQ296">
            <v>0</v>
          </cell>
          <cell r="CT296">
            <v>34869.815999999999</v>
          </cell>
          <cell r="CU296">
            <v>0</v>
          </cell>
          <cell r="CV296">
            <v>-29845.836500000001</v>
          </cell>
          <cell r="CX296">
            <v>5023.9794999999976</v>
          </cell>
          <cell r="FC296">
            <v>7986.7030000000004</v>
          </cell>
          <cell r="FE296">
            <v>0</v>
          </cell>
          <cell r="FF296">
            <v>7986.7030000000004</v>
          </cell>
          <cell r="FI296">
            <v>14202.41</v>
          </cell>
          <cell r="FK296">
            <v>5175.5</v>
          </cell>
          <cell r="FL296">
            <v>1014.394</v>
          </cell>
          <cell r="FN296">
            <v>20392.304</v>
          </cell>
          <cell r="FO296">
            <v>0</v>
          </cell>
          <cell r="FP296">
            <v>8174</v>
          </cell>
          <cell r="FQ296">
            <v>-108.59399999999999</v>
          </cell>
          <cell r="FR296">
            <v>8065.4059999999999</v>
          </cell>
          <cell r="FS296">
            <v>0</v>
          </cell>
          <cell r="FT296">
            <v>36444.413</v>
          </cell>
          <cell r="FU296">
            <v>-18322.3449554</v>
          </cell>
          <cell r="FV296">
            <v>18122.068044600001</v>
          </cell>
          <cell r="FW296" t="str">
            <v>management fees</v>
          </cell>
          <cell r="FX296">
            <v>20392.304</v>
          </cell>
          <cell r="FY296">
            <v>8065.4059999999999</v>
          </cell>
          <cell r="FZ296">
            <v>-18322.3449554</v>
          </cell>
          <cell r="GA296">
            <v>10135.365044599999</v>
          </cell>
          <cell r="GB296">
            <v>10271.275231307503</v>
          </cell>
          <cell r="GC296">
            <v>7986.7030000000013</v>
          </cell>
          <cell r="GD296">
            <v>8093.8007010823821</v>
          </cell>
          <cell r="GE296">
            <v>7986.7030000000013</v>
          </cell>
          <cell r="GF296">
            <v>4.3246929793567208</v>
          </cell>
          <cell r="GG296">
            <v>15820.448124101897</v>
          </cell>
          <cell r="GH296">
            <v>0</v>
          </cell>
        </row>
        <row r="297">
          <cell r="A297" t="str">
            <v>part.in exp.</v>
          </cell>
          <cell r="G297">
            <v>0</v>
          </cell>
          <cell r="I297">
            <v>0</v>
          </cell>
          <cell r="M297" t="str">
            <v xml:space="preserve"> </v>
          </cell>
          <cell r="Q297">
            <v>-2469</v>
          </cell>
          <cell r="U297">
            <v>-2469</v>
          </cell>
          <cell r="AD297">
            <v>-2469</v>
          </cell>
          <cell r="AJ297">
            <v>0</v>
          </cell>
          <cell r="AL297">
            <v>2468.7919999999999</v>
          </cell>
          <cell r="AN297">
            <v>0</v>
          </cell>
          <cell r="AP297">
            <v>2468.7919999999999</v>
          </cell>
          <cell r="AT297">
            <v>-0.20800000000008367</v>
          </cell>
          <cell r="AV297">
            <v>0</v>
          </cell>
          <cell r="AX297">
            <v>-0.20800000000008367</v>
          </cell>
          <cell r="AZ297" t="str">
            <v>part.in exp.</v>
          </cell>
          <cell r="BI297">
            <v>0</v>
          </cell>
          <cell r="BU297">
            <v>0</v>
          </cell>
          <cell r="BX297">
            <v>2473</v>
          </cell>
          <cell r="CD297">
            <v>2473</v>
          </cell>
          <cell r="CJ297">
            <v>0</v>
          </cell>
          <cell r="CL297">
            <v>9461</v>
          </cell>
          <cell r="CN297">
            <v>0</v>
          </cell>
          <cell r="CP297">
            <v>9461</v>
          </cell>
          <cell r="CQ297">
            <v>0</v>
          </cell>
          <cell r="CT297">
            <v>11934</v>
          </cell>
          <cell r="CU297">
            <v>0</v>
          </cell>
          <cell r="CV297">
            <v>0</v>
          </cell>
          <cell r="CX297">
            <v>11934</v>
          </cell>
          <cell r="FE297">
            <v>0</v>
          </cell>
          <cell r="FI297">
            <v>-9797</v>
          </cell>
          <cell r="FN297">
            <v>-9797</v>
          </cell>
          <cell r="FO297">
            <v>0</v>
          </cell>
          <cell r="FP297">
            <v>9883</v>
          </cell>
          <cell r="FQ297">
            <v>0</v>
          </cell>
          <cell r="FR297">
            <v>9883</v>
          </cell>
          <cell r="FS297">
            <v>0</v>
          </cell>
          <cell r="FT297">
            <v>86</v>
          </cell>
          <cell r="FU297">
            <v>-86</v>
          </cell>
          <cell r="FV297">
            <v>0</v>
          </cell>
          <cell r="FW297" t="str">
            <v>part.in exp.</v>
          </cell>
          <cell r="FX297">
            <v>-9797</v>
          </cell>
          <cell r="FY297">
            <v>9883</v>
          </cell>
          <cell r="GA297">
            <v>86</v>
          </cell>
          <cell r="GB297">
            <v>87.153217077570645</v>
          </cell>
          <cell r="GC297">
            <v>-86</v>
          </cell>
          <cell r="GD297">
            <v>-87.153217077570645</v>
          </cell>
          <cell r="GE297">
            <v>-86</v>
          </cell>
          <cell r="GF297">
            <v>0</v>
          </cell>
          <cell r="GG297">
            <v>-20.109156760287398</v>
          </cell>
          <cell r="GH297">
            <v>0</v>
          </cell>
        </row>
        <row r="298">
          <cell r="A298" t="str">
            <v>computer&amp;bookkeeping</v>
          </cell>
          <cell r="C298">
            <v>16.603999999999999</v>
          </cell>
          <cell r="I298">
            <v>16.603999999999999</v>
          </cell>
          <cell r="M298" t="str">
            <v xml:space="preserve"> </v>
          </cell>
          <cell r="Q298">
            <v>559.50400000000002</v>
          </cell>
          <cell r="U298">
            <v>559.50400000000002</v>
          </cell>
          <cell r="AD298">
            <v>559.50400000000002</v>
          </cell>
          <cell r="AJ298">
            <v>0</v>
          </cell>
          <cell r="AP298">
            <v>0</v>
          </cell>
          <cell r="AR298">
            <v>8.0350000000000001</v>
          </cell>
          <cell r="AT298">
            <v>584.14300000000003</v>
          </cell>
          <cell r="AX298">
            <v>584.14300000000003</v>
          </cell>
          <cell r="AZ298" t="str">
            <v>computer&amp;bookkeeping</v>
          </cell>
          <cell r="BC298">
            <v>67.92</v>
          </cell>
          <cell r="BI298">
            <v>67.92</v>
          </cell>
          <cell r="BQ298">
            <v>2209.35</v>
          </cell>
          <cell r="BU298">
            <v>2209.35</v>
          </cell>
          <cell r="CD298">
            <v>2209.35</v>
          </cell>
          <cell r="CJ298">
            <v>0</v>
          </cell>
          <cell r="CP298">
            <v>0</v>
          </cell>
          <cell r="CQ298">
            <v>0</v>
          </cell>
          <cell r="CR298">
            <v>30</v>
          </cell>
          <cell r="CT298">
            <v>2307.27</v>
          </cell>
          <cell r="CU298">
            <v>0</v>
          </cell>
          <cell r="CX298">
            <v>2307.27</v>
          </cell>
          <cell r="FC298">
            <v>68.847000000000008</v>
          </cell>
          <cell r="FF298">
            <v>68.847000000000008</v>
          </cell>
          <cell r="FI298">
            <v>2295.8829999999998</v>
          </cell>
          <cell r="FN298">
            <v>2295.8829999999998</v>
          </cell>
          <cell r="FO298">
            <v>0</v>
          </cell>
          <cell r="FR298">
            <v>0</v>
          </cell>
          <cell r="FS298">
            <v>31.581</v>
          </cell>
          <cell r="FT298">
            <v>2396.3110000000001</v>
          </cell>
          <cell r="FV298">
            <v>2396.3110000000001</v>
          </cell>
          <cell r="FW298" t="str">
            <v>computer&amp;bookkeeping</v>
          </cell>
          <cell r="FX298">
            <v>2295.8829999999998</v>
          </cell>
          <cell r="FY298">
            <v>0</v>
          </cell>
          <cell r="GA298">
            <v>2295.8829999999998</v>
          </cell>
          <cell r="GB298">
            <v>2326.6696451593502</v>
          </cell>
          <cell r="GC298">
            <v>100.42800000000034</v>
          </cell>
          <cell r="GD298">
            <v>101.77468935658482</v>
          </cell>
          <cell r="GE298">
            <v>100.42800000000034</v>
          </cell>
          <cell r="GF298">
            <v>4.102267766625638</v>
          </cell>
          <cell r="GG298">
            <v>1668.198401454712</v>
          </cell>
          <cell r="GH298">
            <v>0</v>
          </cell>
        </row>
        <row r="299">
          <cell r="A299" t="str">
            <v>office maint.&amp;other</v>
          </cell>
          <cell r="C299">
            <v>50</v>
          </cell>
          <cell r="I299">
            <v>50</v>
          </cell>
          <cell r="M299">
            <v>152.00901442307693</v>
          </cell>
          <cell r="O299">
            <v>274</v>
          </cell>
          <cell r="Q299">
            <v>2120.7580000000003</v>
          </cell>
          <cell r="U299">
            <v>2120.7580000000003</v>
          </cell>
          <cell r="X299">
            <v>-20.5</v>
          </cell>
          <cell r="AD299">
            <v>2100.2580000000003</v>
          </cell>
          <cell r="AJ299">
            <v>0</v>
          </cell>
          <cell r="AL299">
            <v>214.654</v>
          </cell>
          <cell r="AP299">
            <v>214.654</v>
          </cell>
          <cell r="AR299">
            <v>23.381</v>
          </cell>
          <cell r="AT299">
            <v>2814.3020144230773</v>
          </cell>
          <cell r="AX299">
            <v>2814.3020144230773</v>
          </cell>
          <cell r="AZ299" t="str">
            <v>office maint.&amp;other</v>
          </cell>
          <cell r="BI299">
            <v>0</v>
          </cell>
          <cell r="BM299">
            <v>401.9325</v>
          </cell>
          <cell r="BO299">
            <v>1153</v>
          </cell>
          <cell r="BQ299">
            <v>9334.0609999999997</v>
          </cell>
          <cell r="BU299">
            <v>9334.0609999999997</v>
          </cell>
          <cell r="BX299">
            <v>-71.5</v>
          </cell>
          <cell r="BZ299">
            <v>1.5489999999999999</v>
          </cell>
          <cell r="CD299">
            <v>9264.11</v>
          </cell>
          <cell r="CJ299">
            <v>0</v>
          </cell>
          <cell r="CL299">
            <v>765</v>
          </cell>
          <cell r="CP299">
            <v>765</v>
          </cell>
          <cell r="CQ299">
            <v>0</v>
          </cell>
          <cell r="CR299">
            <v>83.45</v>
          </cell>
          <cell r="CT299">
            <v>11667.492500000002</v>
          </cell>
          <cell r="CU299">
            <v>0</v>
          </cell>
          <cell r="CX299">
            <v>11667.492500000002</v>
          </cell>
          <cell r="FC299">
            <v>208.125</v>
          </cell>
          <cell r="FF299">
            <v>208.125</v>
          </cell>
          <cell r="FG299">
            <v>632.35749999999996</v>
          </cell>
          <cell r="FH299">
            <v>1208</v>
          </cell>
          <cell r="FI299">
            <v>9883.6530000000002</v>
          </cell>
          <cell r="FK299">
            <v>-68.5</v>
          </cell>
          <cell r="FN299">
            <v>9815.1530000000002</v>
          </cell>
          <cell r="FO299">
            <v>0</v>
          </cell>
          <cell r="FP299">
            <v>824.04</v>
          </cell>
          <cell r="FR299">
            <v>824.04</v>
          </cell>
          <cell r="FS299">
            <v>84.736999999999995</v>
          </cell>
          <cell r="FT299">
            <v>12772.4125</v>
          </cell>
          <cell r="FV299">
            <v>12772.4125</v>
          </cell>
          <cell r="FW299" t="str">
            <v>office maint.&amp;other</v>
          </cell>
          <cell r="FX299">
            <v>9815.1530000000002</v>
          </cell>
          <cell r="FY299">
            <v>824.04</v>
          </cell>
          <cell r="GA299">
            <v>10639.192999999999</v>
          </cell>
          <cell r="GB299">
            <v>10781.859268129885</v>
          </cell>
          <cell r="GC299">
            <v>2133.2195000000011</v>
          </cell>
          <cell r="GD299">
            <v>2161.8249088093817</v>
          </cell>
          <cell r="GE299">
            <v>2133.2195000000011</v>
          </cell>
          <cell r="GF299">
            <v>4.5383943992302136</v>
          </cell>
          <cell r="GG299">
            <v>7683.178266160252</v>
          </cell>
          <cell r="GH299">
            <v>0</v>
          </cell>
        </row>
        <row r="300">
          <cell r="A300" t="str">
            <v>car &amp; travel</v>
          </cell>
          <cell r="C300">
            <v>13.955</v>
          </cell>
          <cell r="I300">
            <v>13.955</v>
          </cell>
          <cell r="M300">
            <v>5.7054086538461535</v>
          </cell>
          <cell r="O300">
            <v>41</v>
          </cell>
          <cell r="Q300">
            <v>209.95699999999999</v>
          </cell>
          <cell r="U300">
            <v>209.95699999999999</v>
          </cell>
          <cell r="X300">
            <v>108</v>
          </cell>
          <cell r="AD300">
            <v>317.95699999999999</v>
          </cell>
          <cell r="AJ300">
            <v>0</v>
          </cell>
          <cell r="AL300">
            <v>2.1539999999999999</v>
          </cell>
          <cell r="AP300">
            <v>2.1539999999999999</v>
          </cell>
          <cell r="AT300">
            <v>380.77140865384615</v>
          </cell>
          <cell r="AX300">
            <v>380.77140865384615</v>
          </cell>
          <cell r="AZ300" t="str">
            <v>car &amp; travel</v>
          </cell>
          <cell r="BC300">
            <v>56.04</v>
          </cell>
          <cell r="BI300">
            <v>56.04</v>
          </cell>
          <cell r="BM300">
            <v>22.380500000000001</v>
          </cell>
          <cell r="BO300">
            <v>155</v>
          </cell>
          <cell r="BQ300">
            <v>762.74599999999998</v>
          </cell>
          <cell r="BU300">
            <v>762.74599999999998</v>
          </cell>
          <cell r="CD300">
            <v>762.74599999999998</v>
          </cell>
          <cell r="CJ300">
            <v>0</v>
          </cell>
          <cell r="CL300">
            <v>8</v>
          </cell>
          <cell r="CP300">
            <v>8</v>
          </cell>
          <cell r="CQ300">
            <v>0</v>
          </cell>
          <cell r="CT300">
            <v>1004.1664999999999</v>
          </cell>
          <cell r="CU300">
            <v>0</v>
          </cell>
          <cell r="CX300">
            <v>1004.1664999999999</v>
          </cell>
          <cell r="FC300">
            <v>56.04</v>
          </cell>
          <cell r="FF300">
            <v>56.04</v>
          </cell>
          <cell r="FG300">
            <v>23.734500000000001</v>
          </cell>
          <cell r="FH300">
            <v>163</v>
          </cell>
          <cell r="FI300">
            <v>846.62400000000002</v>
          </cell>
          <cell r="FK300">
            <v>496.5</v>
          </cell>
          <cell r="FN300">
            <v>1343.124</v>
          </cell>
          <cell r="FO300">
            <v>0</v>
          </cell>
          <cell r="FP300">
            <v>8.26</v>
          </cell>
          <cell r="FR300">
            <v>8.26</v>
          </cell>
          <cell r="FS300">
            <v>0</v>
          </cell>
          <cell r="FT300">
            <v>1594.1585</v>
          </cell>
          <cell r="FV300">
            <v>1594.1585</v>
          </cell>
          <cell r="FW300" t="str">
            <v>car &amp; travel</v>
          </cell>
          <cell r="FX300">
            <v>1343.124</v>
          </cell>
          <cell r="FY300">
            <v>8.26</v>
          </cell>
          <cell r="GA300">
            <v>1351.384</v>
          </cell>
          <cell r="GB300">
            <v>1369.5053849669271</v>
          </cell>
          <cell r="GC300">
            <v>242.77449999999999</v>
          </cell>
          <cell r="GD300">
            <v>246.02998487672878</v>
          </cell>
          <cell r="GE300">
            <v>242.77449999999999</v>
          </cell>
          <cell r="GF300">
            <v>4.1866549424913009</v>
          </cell>
          <cell r="GG300">
            <v>1608.7137005064444</v>
          </cell>
          <cell r="GH300">
            <v>0</v>
          </cell>
        </row>
        <row r="301">
          <cell r="A301" t="str">
            <v>amortization</v>
          </cell>
          <cell r="C301">
            <v>47.606999999999999</v>
          </cell>
          <cell r="G301">
            <v>-44.594999999999999</v>
          </cell>
          <cell r="I301">
            <v>3.0120000000000005</v>
          </cell>
          <cell r="M301" t="str">
            <v xml:space="preserve"> </v>
          </cell>
          <cell r="Q301">
            <v>345.161</v>
          </cell>
          <cell r="U301">
            <v>345.161</v>
          </cell>
          <cell r="W301">
            <v>3013</v>
          </cell>
          <cell r="X301">
            <v>34</v>
          </cell>
          <cell r="AB301">
            <v>-80.430000000000007</v>
          </cell>
          <cell r="AD301">
            <v>3311.7310000000002</v>
          </cell>
          <cell r="AJ301">
            <v>0</v>
          </cell>
          <cell r="AN301">
            <v>44.588000000000001</v>
          </cell>
          <cell r="AP301">
            <v>44.588000000000001</v>
          </cell>
          <cell r="AT301">
            <v>3359.3310000000006</v>
          </cell>
          <cell r="AV301">
            <v>167.05199999999999</v>
          </cell>
          <cell r="AX301">
            <v>3526.3830000000007</v>
          </cell>
          <cell r="AZ301" t="str">
            <v>amortization</v>
          </cell>
          <cell r="BC301">
            <v>117.58499999999999</v>
          </cell>
          <cell r="BG301">
            <v>-112.69</v>
          </cell>
          <cell r="BI301">
            <v>4.8949999999999996</v>
          </cell>
          <cell r="BQ301">
            <v>1139.7090000000001</v>
          </cell>
          <cell r="BU301">
            <v>1139.7090000000001</v>
          </cell>
          <cell r="BW301">
            <v>14599</v>
          </cell>
          <cell r="BX301">
            <v>101.5</v>
          </cell>
          <cell r="CD301">
            <v>15840.209000000001</v>
          </cell>
          <cell r="CH301">
            <v>0</v>
          </cell>
          <cell r="CJ301">
            <v>0</v>
          </cell>
          <cell r="CP301">
            <v>0</v>
          </cell>
          <cell r="CQ301">
            <v>0</v>
          </cell>
          <cell r="CT301">
            <v>15845.104000000001</v>
          </cell>
          <cell r="CU301">
            <v>0</v>
          </cell>
          <cell r="CV301">
            <v>582.15800000000002</v>
          </cell>
          <cell r="CX301">
            <v>16427.262000000002</v>
          </cell>
          <cell r="FC301">
            <v>237.04599999999999</v>
          </cell>
          <cell r="FE301">
            <v>-223.90199999999999</v>
          </cell>
          <cell r="FF301">
            <v>13.144000000000005</v>
          </cell>
          <cell r="FI301">
            <v>1196.809</v>
          </cell>
          <cell r="FJ301">
            <v>11433</v>
          </cell>
          <cell r="FK301">
            <v>206.5</v>
          </cell>
          <cell r="FN301">
            <v>12836.308999999999</v>
          </cell>
          <cell r="FO301">
            <v>0</v>
          </cell>
          <cell r="FR301">
            <v>0</v>
          </cell>
          <cell r="FS301">
            <v>0</v>
          </cell>
          <cell r="FT301">
            <v>12849.453</v>
          </cell>
          <cell r="FU301">
            <v>664.178</v>
          </cell>
          <cell r="FV301">
            <v>13513.630999999999</v>
          </cell>
          <cell r="FW301" t="str">
            <v>amortization</v>
          </cell>
          <cell r="FX301">
            <v>12836.308999999999</v>
          </cell>
          <cell r="FY301">
            <v>0</v>
          </cell>
          <cell r="GA301">
            <v>12836.308999999999</v>
          </cell>
          <cell r="GB301">
            <v>13008.437497113649</v>
          </cell>
          <cell r="GC301">
            <v>677.32200000000012</v>
          </cell>
          <cell r="GD301">
            <v>686.4045499699339</v>
          </cell>
          <cell r="GE301">
            <v>677.32200000000012</v>
          </cell>
          <cell r="GF301">
            <v>3.832150676769936</v>
          </cell>
          <cell r="GG301">
            <v>1738.0468125408231</v>
          </cell>
          <cell r="GH301">
            <v>0</v>
          </cell>
        </row>
        <row r="302">
          <cell r="A302" t="str">
            <v>depreciation</v>
          </cell>
          <cell r="I302">
            <v>0</v>
          </cell>
          <cell r="M302">
            <v>3.0771634615384613</v>
          </cell>
          <cell r="O302">
            <v>193</v>
          </cell>
          <cell r="Q302">
            <v>557.11800000000005</v>
          </cell>
          <cell r="U302">
            <v>557.11800000000005</v>
          </cell>
          <cell r="X302">
            <v>75</v>
          </cell>
          <cell r="Z302">
            <v>0.17299999999999999</v>
          </cell>
          <cell r="AB302">
            <v>80.430000000000007</v>
          </cell>
          <cell r="AD302">
            <v>712.721</v>
          </cell>
          <cell r="AJ302">
            <v>0</v>
          </cell>
          <cell r="AL302">
            <v>51.137999999999998</v>
          </cell>
          <cell r="AP302">
            <v>51.137999999999998</v>
          </cell>
          <cell r="AT302">
            <v>959.93616346153851</v>
          </cell>
          <cell r="AV302">
            <v>0</v>
          </cell>
          <cell r="AX302">
            <v>959.93616346153851</v>
          </cell>
          <cell r="AZ302" t="str">
            <v>depreciation</v>
          </cell>
          <cell r="BI302">
            <v>0</v>
          </cell>
          <cell r="BM302">
            <v>11.743499999999999</v>
          </cell>
          <cell r="BO302">
            <v>265</v>
          </cell>
          <cell r="BQ302">
            <v>1749.434</v>
          </cell>
          <cell r="BU302">
            <v>1749.434</v>
          </cell>
          <cell r="BX302">
            <v>260</v>
          </cell>
          <cell r="BZ302">
            <v>0.62</v>
          </cell>
          <cell r="CD302">
            <v>2010.0539999999999</v>
          </cell>
          <cell r="CJ302">
            <v>0</v>
          </cell>
          <cell r="CL302">
            <v>144</v>
          </cell>
          <cell r="CN302">
            <v>103</v>
          </cell>
          <cell r="CP302">
            <v>247</v>
          </cell>
          <cell r="CQ302">
            <v>0</v>
          </cell>
          <cell r="CT302">
            <v>2533.7975000000001</v>
          </cell>
          <cell r="CU302">
            <v>0</v>
          </cell>
          <cell r="CV302">
            <v>0</v>
          </cell>
          <cell r="CX302">
            <v>2533.7975000000001</v>
          </cell>
          <cell r="FG302">
            <v>12.801</v>
          </cell>
          <cell r="FH302">
            <v>765</v>
          </cell>
          <cell r="FI302">
            <v>2287.357</v>
          </cell>
          <cell r="FK302">
            <v>408</v>
          </cell>
          <cell r="FL302">
            <v>0.68600000000000005</v>
          </cell>
          <cell r="FN302">
            <v>2696.0430000000001</v>
          </cell>
          <cell r="FO302">
            <v>0</v>
          </cell>
          <cell r="FP302">
            <v>200</v>
          </cell>
          <cell r="FQ302">
            <v>194</v>
          </cell>
          <cell r="FR302">
            <v>394</v>
          </cell>
          <cell r="FS302">
            <v>0</v>
          </cell>
          <cell r="FT302">
            <v>3867.8440000000001</v>
          </cell>
          <cell r="FU302">
            <v>0</v>
          </cell>
          <cell r="FV302">
            <v>3867.8440000000001</v>
          </cell>
          <cell r="FW302" t="str">
            <v>depreciation</v>
          </cell>
          <cell r="FX302">
            <v>2696.0430000000001</v>
          </cell>
          <cell r="FY302">
            <v>394</v>
          </cell>
          <cell r="GA302">
            <v>3090.0430000000001</v>
          </cell>
          <cell r="GB302">
            <v>3131.4789343956704</v>
          </cell>
          <cell r="GC302">
            <v>777.80099999999993</v>
          </cell>
          <cell r="GD302">
            <v>788.23092321106424</v>
          </cell>
          <cell r="GE302">
            <v>777.80099999999993</v>
          </cell>
          <cell r="GF302">
            <v>4.0292720987326067</v>
          </cell>
          <cell r="GG302">
            <v>2539.2511655341327</v>
          </cell>
          <cell r="GH302">
            <v>0</v>
          </cell>
        </row>
        <row r="303">
          <cell r="A303" t="str">
            <v>professional fees</v>
          </cell>
          <cell r="C303">
            <v>141.12100000000001</v>
          </cell>
          <cell r="G303">
            <v>0</v>
          </cell>
          <cell r="I303">
            <v>141.12100000000001</v>
          </cell>
          <cell r="M303">
            <v>17.377524038461537</v>
          </cell>
          <cell r="O303">
            <v>113.5</v>
          </cell>
          <cell r="Q303">
            <v>1036.577</v>
          </cell>
          <cell r="U303">
            <v>1036.577</v>
          </cell>
          <cell r="X303">
            <v>106</v>
          </cell>
          <cell r="Z303">
            <v>6.4989999999999997</v>
          </cell>
          <cell r="AD303">
            <v>1149.076</v>
          </cell>
          <cell r="AF303">
            <v>8.9980000000000011</v>
          </cell>
          <cell r="AJ303">
            <v>8.9980000000000011</v>
          </cell>
          <cell r="AL303">
            <v>75.766000000000005</v>
          </cell>
          <cell r="AP303">
            <v>84.76400000000001</v>
          </cell>
          <cell r="AR303">
            <v>38.293999999999997</v>
          </cell>
          <cell r="AT303">
            <v>1544.1325240384617</v>
          </cell>
          <cell r="AV303">
            <v>0</v>
          </cell>
          <cell r="AX303">
            <v>1544.1325240384617</v>
          </cell>
          <cell r="AZ303" t="str">
            <v>professional fees</v>
          </cell>
          <cell r="BC303">
            <v>565.29399999999998</v>
          </cell>
          <cell r="BI303">
            <v>565.29399999999998</v>
          </cell>
          <cell r="BM303">
            <v>68.572500000000005</v>
          </cell>
          <cell r="BO303">
            <v>445.5</v>
          </cell>
          <cell r="BQ303">
            <v>4017.7750000000001</v>
          </cell>
          <cell r="BU303">
            <v>4017.7750000000001</v>
          </cell>
          <cell r="BX303">
            <v>414</v>
          </cell>
          <cell r="BZ303">
            <v>24.5</v>
          </cell>
          <cell r="CD303">
            <v>4456.2749999999996</v>
          </cell>
          <cell r="CF303">
            <v>37.417999999999999</v>
          </cell>
          <cell r="CH303">
            <v>0</v>
          </cell>
          <cell r="CJ303">
            <v>37.417999999999999</v>
          </cell>
          <cell r="CL303">
            <v>313</v>
          </cell>
          <cell r="CP303">
            <v>350.41800000000001</v>
          </cell>
          <cell r="CQ303">
            <v>0</v>
          </cell>
          <cell r="CR303">
            <v>151.845</v>
          </cell>
          <cell r="CT303">
            <v>6037.9044999999996</v>
          </cell>
          <cell r="CU303">
            <v>0</v>
          </cell>
          <cell r="CV303">
            <v>0</v>
          </cell>
          <cell r="CX303">
            <v>6037.9044999999996</v>
          </cell>
          <cell r="FC303">
            <v>568.76400000000001</v>
          </cell>
          <cell r="FE303">
            <v>0</v>
          </cell>
          <cell r="FF303">
            <v>568.76400000000001</v>
          </cell>
          <cell r="FG303">
            <v>72.290499999999994</v>
          </cell>
          <cell r="FH303">
            <v>460</v>
          </cell>
          <cell r="FI303">
            <v>4165.6379999999999</v>
          </cell>
          <cell r="FK303">
            <v>447</v>
          </cell>
          <cell r="FL303">
            <v>25.898</v>
          </cell>
          <cell r="FN303">
            <v>4638.5360000000001</v>
          </cell>
          <cell r="FO303">
            <v>39.358000000000004</v>
          </cell>
          <cell r="FP303">
            <v>290.7</v>
          </cell>
          <cell r="FR303">
            <v>330.05799999999999</v>
          </cell>
          <cell r="FS303">
            <v>158.06300000000002</v>
          </cell>
          <cell r="FT303">
            <v>6227.7115000000003</v>
          </cell>
          <cell r="FU303">
            <v>0</v>
          </cell>
          <cell r="FV303">
            <v>6227.7115000000003</v>
          </cell>
          <cell r="FW303" t="str">
            <v>professional fees</v>
          </cell>
          <cell r="FX303">
            <v>4638.5360000000001</v>
          </cell>
          <cell r="FY303">
            <v>330.05799999999999</v>
          </cell>
          <cell r="GA303">
            <v>4968.5940000000001</v>
          </cell>
          <cell r="GB303">
            <v>5035.2203657245936</v>
          </cell>
          <cell r="GC303">
            <v>1259.1175000000001</v>
          </cell>
          <cell r="GD303">
            <v>1276.0016372519544</v>
          </cell>
          <cell r="GE303">
            <v>1259.1175000000001</v>
          </cell>
          <cell r="GF303">
            <v>4.0331457326682658</v>
          </cell>
          <cell r="GG303">
            <v>3093.5960215545397</v>
          </cell>
          <cell r="GH303">
            <v>0</v>
          </cell>
        </row>
        <row r="304">
          <cell r="A304" t="str">
            <v>other</v>
          </cell>
          <cell r="I304">
            <v>0</v>
          </cell>
          <cell r="U304">
            <v>0</v>
          </cell>
          <cell r="AD304">
            <v>0</v>
          </cell>
          <cell r="AJ304">
            <v>0</v>
          </cell>
          <cell r="AP304">
            <v>0</v>
          </cell>
          <cell r="AT304">
            <v>0</v>
          </cell>
          <cell r="AX304">
            <v>0</v>
          </cell>
          <cell r="AZ304" t="str">
            <v>other</v>
          </cell>
          <cell r="BC304">
            <v>208</v>
          </cell>
          <cell r="BI304">
            <v>208</v>
          </cell>
          <cell r="BM304">
            <v>200.072</v>
          </cell>
          <cell r="BO304">
            <v>1043</v>
          </cell>
          <cell r="BU304">
            <v>0</v>
          </cell>
          <cell r="BX304">
            <v>443</v>
          </cell>
          <cell r="CD304">
            <v>443</v>
          </cell>
          <cell r="CJ304">
            <v>0</v>
          </cell>
          <cell r="CL304">
            <v>22</v>
          </cell>
          <cell r="CP304">
            <v>22</v>
          </cell>
          <cell r="CQ304">
            <v>0</v>
          </cell>
          <cell r="CR304">
            <v>5.7780000000000005</v>
          </cell>
          <cell r="CT304">
            <v>1921.85</v>
          </cell>
          <cell r="CU304">
            <v>0</v>
          </cell>
          <cell r="CX304">
            <v>1921.85</v>
          </cell>
          <cell r="FF304">
            <v>0</v>
          </cell>
          <cell r="FN304">
            <v>0</v>
          </cell>
          <cell r="FO304">
            <v>0</v>
          </cell>
          <cell r="FR304">
            <v>0</v>
          </cell>
          <cell r="FS304">
            <v>5.9809999999999999</v>
          </cell>
          <cell r="FT304">
            <v>5.9809999999999999</v>
          </cell>
          <cell r="FV304">
            <v>5.9809999999999999</v>
          </cell>
          <cell r="FW304" t="str">
            <v>other</v>
          </cell>
          <cell r="FX304">
            <v>0</v>
          </cell>
          <cell r="FY304">
            <v>0</v>
          </cell>
          <cell r="GA304">
            <v>0</v>
          </cell>
          <cell r="GB304">
            <v>0</v>
          </cell>
          <cell r="GC304">
            <v>5.9809999999999999</v>
          </cell>
          <cell r="GD304">
            <v>6.0612022248947683</v>
          </cell>
          <cell r="GE304">
            <v>5.9809999999999999</v>
          </cell>
          <cell r="GF304" t="e">
            <v>#DIV/0!</v>
          </cell>
          <cell r="GG304">
            <v>1949.5964213137113</v>
          </cell>
          <cell r="GH304">
            <v>0</v>
          </cell>
        </row>
        <row r="305">
          <cell r="A305" t="str">
            <v>part.in exp. others</v>
          </cell>
          <cell r="C305">
            <v>0</v>
          </cell>
          <cell r="G305">
            <v>0</v>
          </cell>
          <cell r="I305">
            <v>0</v>
          </cell>
          <cell r="M305" t="str">
            <v xml:space="preserve"> </v>
          </cell>
          <cell r="Q305">
            <v>-1397.8729999999996</v>
          </cell>
          <cell r="S305" t="str">
            <v xml:space="preserve"> </v>
          </cell>
          <cell r="U305">
            <v>-1397.8729999999996</v>
          </cell>
          <cell r="X305">
            <v>643</v>
          </cell>
          <cell r="AD305">
            <v>-754.87299999999959</v>
          </cell>
          <cell r="AJ305">
            <v>0</v>
          </cell>
          <cell r="AP305">
            <v>0</v>
          </cell>
          <cell r="AT305">
            <v>-754.87299999999959</v>
          </cell>
          <cell r="AV305">
            <v>-23.464999999999691</v>
          </cell>
          <cell r="AX305">
            <v>-778.33799999999928</v>
          </cell>
          <cell r="AZ305" t="str">
            <v>part.in exp. others</v>
          </cell>
          <cell r="BQ305">
            <v>-14922.218000000001</v>
          </cell>
          <cell r="BU305">
            <v>-14922.218000000001</v>
          </cell>
          <cell r="BZ305">
            <v>964.30399999999997</v>
          </cell>
          <cell r="CD305">
            <v>-13957.914000000001</v>
          </cell>
          <cell r="CJ305">
            <v>0</v>
          </cell>
          <cell r="CP305">
            <v>0</v>
          </cell>
          <cell r="CQ305">
            <v>0</v>
          </cell>
          <cell r="CT305">
            <v>-13957.914000000001</v>
          </cell>
          <cell r="CU305">
            <v>0</v>
          </cell>
          <cell r="CV305">
            <v>9.0020000000004075</v>
          </cell>
          <cell r="CX305">
            <v>-13948.912</v>
          </cell>
          <cell r="FE305">
            <v>0</v>
          </cell>
          <cell r="FI305">
            <v>-5547.25</v>
          </cell>
          <cell r="FK305">
            <v>2602</v>
          </cell>
          <cell r="FN305">
            <v>-2945.25</v>
          </cell>
          <cell r="FO305">
            <v>0</v>
          </cell>
          <cell r="FS305">
            <v>0</v>
          </cell>
          <cell r="FT305">
            <v>-2945.25</v>
          </cell>
          <cell r="FV305">
            <v>-2945.25</v>
          </cell>
          <cell r="FW305" t="str">
            <v>part.in exp. others</v>
          </cell>
          <cell r="FX305">
            <v>-2945.25</v>
          </cell>
          <cell r="FY305">
            <v>0</v>
          </cell>
          <cell r="GA305">
            <v>-2945.25</v>
          </cell>
          <cell r="GB305">
            <v>-2984.7443325315689</v>
          </cell>
          <cell r="GC305">
            <v>0</v>
          </cell>
          <cell r="GD305">
            <v>0</v>
          </cell>
          <cell r="GE305">
            <v>0</v>
          </cell>
          <cell r="GF305">
            <v>3.7840244212668566</v>
          </cell>
          <cell r="GG305">
            <v>0</v>
          </cell>
          <cell r="GH305">
            <v>0</v>
          </cell>
        </row>
        <row r="306">
          <cell r="C306">
            <v>2269.2870000000003</v>
          </cell>
          <cell r="E306">
            <v>0</v>
          </cell>
          <cell r="G306">
            <v>-44.594999999999999</v>
          </cell>
          <cell r="I306">
            <v>2224.6920000000005</v>
          </cell>
          <cell r="M306">
            <v>227.09435096153848</v>
          </cell>
          <cell r="O306">
            <v>1056</v>
          </cell>
          <cell r="Q306">
            <v>7500.2530000000006</v>
          </cell>
          <cell r="S306">
            <v>0</v>
          </cell>
          <cell r="U306">
            <v>7500.2530000000006</v>
          </cell>
          <cell r="W306">
            <v>3013</v>
          </cell>
          <cell r="X306">
            <v>2235.5</v>
          </cell>
          <cell r="Z306">
            <v>259.73200000000003</v>
          </cell>
          <cell r="AB306">
            <v>0</v>
          </cell>
          <cell r="AD306">
            <v>13008.485000000001</v>
          </cell>
          <cell r="AF306">
            <v>8.9980000000000011</v>
          </cell>
          <cell r="AH306">
            <v>0</v>
          </cell>
          <cell r="AJ306">
            <v>8.9980000000000011</v>
          </cell>
          <cell r="AL306">
            <v>4850.8820000000005</v>
          </cell>
          <cell r="AN306">
            <v>18.484000000000002</v>
          </cell>
          <cell r="AP306">
            <v>4878.3639999999996</v>
          </cell>
          <cell r="AR306">
            <v>69.709999999999994</v>
          </cell>
          <cell r="AT306">
            <v>21464.345350961539</v>
          </cell>
          <cell r="AV306">
            <v>-4522.9339999999993</v>
          </cell>
          <cell r="AX306">
            <v>16941.411350961538</v>
          </cell>
          <cell r="BC306">
            <v>8615.8389999999999</v>
          </cell>
          <cell r="BE306">
            <v>0</v>
          </cell>
          <cell r="BG306">
            <v>-112.69</v>
          </cell>
          <cell r="BI306">
            <v>8503.1490000000013</v>
          </cell>
          <cell r="BM306">
            <v>898.71500000000003</v>
          </cell>
          <cell r="BO306">
            <v>4761</v>
          </cell>
          <cell r="BQ306">
            <v>30692.244000000006</v>
          </cell>
          <cell r="BS306">
            <v>0</v>
          </cell>
          <cell r="BU306">
            <v>30692.244000000006</v>
          </cell>
          <cell r="BW306">
            <v>14599</v>
          </cell>
          <cell r="BX306">
            <v>8826.5</v>
          </cell>
          <cell r="BZ306">
            <v>990.97299999999996</v>
          </cell>
          <cell r="CB306">
            <v>0</v>
          </cell>
          <cell r="CD306">
            <v>55108.717000000004</v>
          </cell>
          <cell r="CF306">
            <v>37.417999999999999</v>
          </cell>
          <cell r="CH306">
            <v>0</v>
          </cell>
          <cell r="CJ306">
            <v>37.417999999999999</v>
          </cell>
          <cell r="CL306">
            <v>19161</v>
          </cell>
          <cell r="CN306">
            <v>-5.5939999999999941</v>
          </cell>
          <cell r="CP306">
            <v>19192.824000000001</v>
          </cell>
          <cell r="CQ306">
            <v>0</v>
          </cell>
          <cell r="CR306">
            <v>271</v>
          </cell>
          <cell r="CT306">
            <v>88735.478000000017</v>
          </cell>
          <cell r="CU306">
            <v>-7.3000000018510036E-2</v>
          </cell>
          <cell r="CV306">
            <v>-29254.676500000001</v>
          </cell>
          <cell r="CX306">
            <v>59480.801500000001</v>
          </cell>
          <cell r="FC306">
            <v>9125.5249999999996</v>
          </cell>
          <cell r="FD306">
            <v>0</v>
          </cell>
          <cell r="FE306">
            <v>-223.90199999999999</v>
          </cell>
          <cell r="FF306">
            <v>8901.6229999999996</v>
          </cell>
          <cell r="FG306">
            <v>944.71249999999998</v>
          </cell>
          <cell r="FH306">
            <v>4355</v>
          </cell>
          <cell r="FI306">
            <v>32445.602999999996</v>
          </cell>
          <cell r="FJ306">
            <v>11433</v>
          </cell>
          <cell r="FK306">
            <v>9534.5</v>
          </cell>
          <cell r="FL306">
            <v>1040.9780000000001</v>
          </cell>
          <cell r="FM306">
            <v>0</v>
          </cell>
          <cell r="FN306">
            <v>54454.080999999998</v>
          </cell>
          <cell r="FO306">
            <v>39.358000000000004</v>
          </cell>
          <cell r="FP306">
            <v>19671</v>
          </cell>
          <cell r="FQ306">
            <v>85.406000000000006</v>
          </cell>
          <cell r="FR306">
            <v>19795.763999999999</v>
          </cell>
          <cell r="FS306">
            <v>280.36200000000002</v>
          </cell>
          <cell r="FT306">
            <v>88731.54250000001</v>
          </cell>
          <cell r="FU306">
            <v>-17744.1669554</v>
          </cell>
          <cell r="FV306">
            <v>70987.3755446</v>
          </cell>
          <cell r="FX306">
            <v>54454.080999999998</v>
          </cell>
          <cell r="FY306">
            <v>19795.763999999999</v>
          </cell>
          <cell r="FZ306">
            <v>-18322.3449554</v>
          </cell>
          <cell r="GA306">
            <v>55927.50004459999</v>
          </cell>
          <cell r="GB306">
            <v>56677.45990689379</v>
          </cell>
          <cell r="GC306">
            <v>15059.875500000002</v>
          </cell>
          <cell r="GD306">
            <v>15261.820914101025</v>
          </cell>
          <cell r="GE306">
            <v>15059.875500000009</v>
          </cell>
          <cell r="GF306">
            <v>4.1901689342175725</v>
          </cell>
          <cell r="GG306">
            <v>52152.090194883647</v>
          </cell>
          <cell r="GH306">
            <v>0</v>
          </cell>
        </row>
        <row r="307">
          <cell r="A307" t="str">
            <v>FINANCING</v>
          </cell>
          <cell r="AT307">
            <v>0</v>
          </cell>
          <cell r="AZ307" t="str">
            <v>FINANCING</v>
          </cell>
          <cell r="CD307">
            <v>0</v>
          </cell>
          <cell r="CQ307">
            <v>0</v>
          </cell>
          <cell r="CR307" t="str">
            <v xml:space="preserve"> </v>
          </cell>
          <cell r="CT307">
            <v>0</v>
          </cell>
          <cell r="CU307">
            <v>0</v>
          </cell>
          <cell r="FS307">
            <v>0</v>
          </cell>
          <cell r="FW307" t="str">
            <v>FINANCING</v>
          </cell>
          <cell r="FX307">
            <v>0</v>
          </cell>
          <cell r="FY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 t="e">
            <v>#DIV/0!</v>
          </cell>
          <cell r="GH307">
            <v>0</v>
          </cell>
        </row>
        <row r="308">
          <cell r="A308" t="str">
            <v>income from others</v>
          </cell>
          <cell r="E308">
            <v>0</v>
          </cell>
          <cell r="G308">
            <v>0</v>
          </cell>
          <cell r="I308">
            <v>0</v>
          </cell>
          <cell r="Q308">
            <v>-264.50800000000004</v>
          </cell>
          <cell r="U308">
            <v>-264.50800000000004</v>
          </cell>
          <cell r="Z308">
            <v>-1.496</v>
          </cell>
          <cell r="AD308">
            <v>-266.00400000000002</v>
          </cell>
          <cell r="AJ308">
            <v>0</v>
          </cell>
          <cell r="AL308">
            <v>107</v>
          </cell>
          <cell r="AP308">
            <v>107</v>
          </cell>
          <cell r="AT308">
            <v>-159.00400000000002</v>
          </cell>
          <cell r="AX308">
            <v>-159.00400000000002</v>
          </cell>
          <cell r="AZ308" t="str">
            <v>income from others</v>
          </cell>
          <cell r="BI308">
            <v>0</v>
          </cell>
          <cell r="BQ308">
            <v>-324.72000000000003</v>
          </cell>
          <cell r="BU308">
            <v>-324.72000000000003</v>
          </cell>
          <cell r="BZ308">
            <v>-5.7670000000000003</v>
          </cell>
          <cell r="CD308">
            <v>-330.48700000000002</v>
          </cell>
          <cell r="CJ308">
            <v>0</v>
          </cell>
          <cell r="CL308">
            <v>-1794</v>
          </cell>
          <cell r="CP308">
            <v>-1794</v>
          </cell>
          <cell r="CQ308">
            <v>0</v>
          </cell>
          <cell r="CT308">
            <v>-2124.4870000000001</v>
          </cell>
          <cell r="CU308">
            <v>0</v>
          </cell>
          <cell r="CV308">
            <v>0</v>
          </cell>
          <cell r="CX308">
            <v>-2124.4870000000001</v>
          </cell>
          <cell r="FE308">
            <v>0</v>
          </cell>
          <cell r="FI308">
            <v>-1019.6020000000001</v>
          </cell>
          <cell r="FL308">
            <v>-24.073</v>
          </cell>
          <cell r="FN308">
            <v>-1043.675</v>
          </cell>
          <cell r="FO308">
            <v>0</v>
          </cell>
          <cell r="FP308">
            <v>-426</v>
          </cell>
          <cell r="FR308">
            <v>-426</v>
          </cell>
          <cell r="FS308">
            <v>0</v>
          </cell>
          <cell r="FT308">
            <v>-1469.675</v>
          </cell>
          <cell r="FU308">
            <v>0</v>
          </cell>
          <cell r="FV308">
            <v>-1469.675</v>
          </cell>
          <cell r="FW308" t="str">
            <v>income from others</v>
          </cell>
          <cell r="FX308">
            <v>-1043.675</v>
          </cell>
          <cell r="FY308">
            <v>-426</v>
          </cell>
          <cell r="GA308">
            <v>-1469.675</v>
          </cell>
          <cell r="GB308">
            <v>-1489.382608238124</v>
          </cell>
          <cell r="GC308">
            <v>0</v>
          </cell>
          <cell r="GD308">
            <v>0</v>
          </cell>
          <cell r="GE308">
            <v>0</v>
          </cell>
          <cell r="GF308">
            <v>9.2430064652461574</v>
          </cell>
          <cell r="GG308">
            <v>-51.734398432397136</v>
          </cell>
          <cell r="GH308">
            <v>0</v>
          </cell>
        </row>
        <row r="309">
          <cell r="A309" t="str">
            <v>Affiliated(Icp&amp;GL)</v>
          </cell>
          <cell r="C309">
            <v>0</v>
          </cell>
          <cell r="E309">
            <v>0</v>
          </cell>
          <cell r="I309">
            <v>0</v>
          </cell>
          <cell r="Q309">
            <v>-24.128</v>
          </cell>
          <cell r="U309">
            <v>-24.128</v>
          </cell>
          <cell r="AD309">
            <v>-24.128</v>
          </cell>
          <cell r="AJ309">
            <v>0</v>
          </cell>
          <cell r="AP309">
            <v>0</v>
          </cell>
          <cell r="AT309">
            <v>-24.128</v>
          </cell>
          <cell r="AV309">
            <v>0</v>
          </cell>
          <cell r="AX309">
            <v>-24.128</v>
          </cell>
          <cell r="AZ309" t="str">
            <v>Affiliated(I.C.P.)</v>
          </cell>
          <cell r="BI309">
            <v>0</v>
          </cell>
          <cell r="BQ309">
            <v>-242.65700000000001</v>
          </cell>
          <cell r="BU309">
            <v>-242.65700000000001</v>
          </cell>
          <cell r="CD309">
            <v>-242.65700000000001</v>
          </cell>
          <cell r="CJ309">
            <v>0</v>
          </cell>
          <cell r="CP309">
            <v>0</v>
          </cell>
          <cell r="CQ309">
            <v>0</v>
          </cell>
          <cell r="CT309">
            <v>-242.65700000000001</v>
          </cell>
          <cell r="CU309">
            <v>0</v>
          </cell>
          <cell r="CV309">
            <v>0</v>
          </cell>
          <cell r="CX309">
            <v>-242.65700000000001</v>
          </cell>
          <cell r="FI309">
            <v>-281.99400000000003</v>
          </cell>
          <cell r="FN309">
            <v>-281.99400000000003</v>
          </cell>
          <cell r="FO309">
            <v>0</v>
          </cell>
          <cell r="FR309">
            <v>0</v>
          </cell>
          <cell r="FS309">
            <v>0</v>
          </cell>
          <cell r="FT309">
            <v>-281.99400000000003</v>
          </cell>
          <cell r="FU309">
            <v>0</v>
          </cell>
          <cell r="FV309">
            <v>-281.99400000000003</v>
          </cell>
          <cell r="FW309" t="str">
            <v>Affiliated(Icp&amp;GL)</v>
          </cell>
          <cell r="FX309">
            <v>-281.99400000000003</v>
          </cell>
          <cell r="FY309">
            <v>0</v>
          </cell>
          <cell r="GA309">
            <v>-281.99400000000003</v>
          </cell>
          <cell r="GB309">
            <v>-285.77539879735417</v>
          </cell>
          <cell r="GC309">
            <v>0</v>
          </cell>
          <cell r="GD309">
            <v>0</v>
          </cell>
          <cell r="GE309">
            <v>0</v>
          </cell>
          <cell r="GF309">
            <v>11.687417108753317</v>
          </cell>
          <cell r="GG309">
            <v>-1551.5159993468324</v>
          </cell>
          <cell r="GH309">
            <v>0</v>
          </cell>
        </row>
        <row r="310">
          <cell r="A310" t="str">
            <v>income tax</v>
          </cell>
          <cell r="C310">
            <v>37.737000000000002</v>
          </cell>
          <cell r="E310">
            <v>0</v>
          </cell>
          <cell r="G310">
            <v>5.3665775279637842</v>
          </cell>
          <cell r="I310">
            <v>43.103577527963786</v>
          </cell>
          <cell r="M310" t="str">
            <v xml:space="preserve"> </v>
          </cell>
          <cell r="U310">
            <v>0</v>
          </cell>
          <cell r="X310">
            <v>4</v>
          </cell>
          <cell r="Z310">
            <v>-1</v>
          </cell>
          <cell r="AD310">
            <v>3</v>
          </cell>
          <cell r="AJ310">
            <v>0</v>
          </cell>
          <cell r="AL310">
            <v>-54</v>
          </cell>
          <cell r="AP310">
            <v>-54</v>
          </cell>
          <cell r="AT310">
            <v>-7.8964224720362139</v>
          </cell>
          <cell r="AV310">
            <v>0</v>
          </cell>
          <cell r="AX310">
            <v>-7.8964224720362139</v>
          </cell>
          <cell r="AZ310" t="str">
            <v>income tax</v>
          </cell>
          <cell r="BC310">
            <v>-29.710999999999999</v>
          </cell>
          <cell r="BE310">
            <v>0</v>
          </cell>
          <cell r="BG310">
            <v>-2095.827593584715</v>
          </cell>
          <cell r="BI310">
            <v>-2125.5385935847148</v>
          </cell>
          <cell r="BU310">
            <v>0</v>
          </cell>
          <cell r="CD310">
            <v>0</v>
          </cell>
          <cell r="CJ310">
            <v>0</v>
          </cell>
          <cell r="CL310">
            <v>-220</v>
          </cell>
          <cell r="CP310">
            <v>-220</v>
          </cell>
          <cell r="CQ310">
            <v>0</v>
          </cell>
          <cell r="CT310">
            <v>-2345.5385935847148</v>
          </cell>
          <cell r="CU310">
            <v>0</v>
          </cell>
          <cell r="CV310">
            <v>0</v>
          </cell>
          <cell r="CX310">
            <v>-2345.5385935847148</v>
          </cell>
          <cell r="FC310">
            <v>-32.189</v>
          </cell>
          <cell r="FE310">
            <v>-1179.2836854547563</v>
          </cell>
          <cell r="FF310">
            <v>-1211.4726854547564</v>
          </cell>
          <cell r="FN310">
            <v>0</v>
          </cell>
          <cell r="FO310">
            <v>0</v>
          </cell>
          <cell r="FP310">
            <v>-220</v>
          </cell>
          <cell r="FR310">
            <v>-220</v>
          </cell>
          <cell r="FS310">
            <v>0</v>
          </cell>
          <cell r="FT310">
            <v>-1431.4726854547564</v>
          </cell>
          <cell r="FU310">
            <v>0</v>
          </cell>
          <cell r="FV310">
            <v>-1431.4726854547564</v>
          </cell>
          <cell r="FW310" t="str">
            <v>income tax</v>
          </cell>
          <cell r="FX310">
            <v>0</v>
          </cell>
          <cell r="FY310">
            <v>-220</v>
          </cell>
          <cell r="GA310">
            <v>-220</v>
          </cell>
          <cell r="GB310">
            <v>-222.95009019843653</v>
          </cell>
          <cell r="GC310">
            <v>-1211.4726854547564</v>
          </cell>
          <cell r="GD310">
            <v>-1227.7179295230915</v>
          </cell>
          <cell r="GE310">
            <v>-1211.4726854547564</v>
          </cell>
          <cell r="GF310">
            <v>181.28116758241649</v>
          </cell>
          <cell r="GG310">
            <v>0</v>
          </cell>
          <cell r="GH310">
            <v>0</v>
          </cell>
        </row>
        <row r="311">
          <cell r="A311" t="str">
            <v>capital notes/loans</v>
          </cell>
          <cell r="C311">
            <v>0</v>
          </cell>
          <cell r="E311">
            <v>0</v>
          </cell>
          <cell r="G311">
            <v>0</v>
          </cell>
          <cell r="I311">
            <v>0</v>
          </cell>
          <cell r="M311" t="str">
            <v xml:space="preserve"> </v>
          </cell>
          <cell r="U311">
            <v>0</v>
          </cell>
          <cell r="AD311">
            <v>0</v>
          </cell>
          <cell r="AJ311">
            <v>0</v>
          </cell>
          <cell r="AL311">
            <v>-1749</v>
          </cell>
          <cell r="AP311">
            <v>-1749</v>
          </cell>
          <cell r="AT311">
            <v>-1749</v>
          </cell>
          <cell r="AV311">
            <v>0</v>
          </cell>
          <cell r="AX311">
            <v>-1749</v>
          </cell>
          <cell r="AZ311" t="str">
            <v>capital notes/loans</v>
          </cell>
          <cell r="BI311">
            <v>0</v>
          </cell>
          <cell r="BU311">
            <v>0</v>
          </cell>
          <cell r="CD311">
            <v>0</v>
          </cell>
          <cell r="CJ311">
            <v>0</v>
          </cell>
          <cell r="CL311">
            <v>14758</v>
          </cell>
          <cell r="CP311">
            <v>14758</v>
          </cell>
          <cell r="CQ311">
            <v>0</v>
          </cell>
          <cell r="CT311">
            <v>14758</v>
          </cell>
          <cell r="CU311">
            <v>0</v>
          </cell>
          <cell r="CV311">
            <v>0</v>
          </cell>
          <cell r="CX311">
            <v>14758</v>
          </cell>
          <cell r="FE311">
            <v>0</v>
          </cell>
          <cell r="FN311">
            <v>0</v>
          </cell>
          <cell r="FO311">
            <v>0</v>
          </cell>
          <cell r="FP311">
            <v>4993</v>
          </cell>
          <cell r="FR311">
            <v>4993</v>
          </cell>
          <cell r="FS311">
            <v>0</v>
          </cell>
          <cell r="FT311">
            <v>4993</v>
          </cell>
          <cell r="FU311">
            <v>0</v>
          </cell>
          <cell r="FV311">
            <v>4993</v>
          </cell>
          <cell r="FW311" t="str">
            <v>capital notes/loans</v>
          </cell>
          <cell r="FX311">
            <v>0</v>
          </cell>
          <cell r="FY311">
            <v>4993</v>
          </cell>
          <cell r="GA311">
            <v>4993</v>
          </cell>
          <cell r="GB311">
            <v>5059.9536380036079</v>
          </cell>
          <cell r="GC311">
            <v>0</v>
          </cell>
          <cell r="GD311">
            <v>0</v>
          </cell>
          <cell r="GE311">
            <v>0</v>
          </cell>
          <cell r="GF311">
            <v>-2.854774156660949</v>
          </cell>
          <cell r="GG311">
            <v>0</v>
          </cell>
          <cell r="GH311">
            <v>0</v>
          </cell>
        </row>
        <row r="312">
          <cell r="A312" t="str">
            <v>aurec\stlm\dapim+other</v>
          </cell>
          <cell r="C312">
            <v>-3875.116</v>
          </cell>
          <cell r="E312">
            <v>-794.78599999999994</v>
          </cell>
          <cell r="G312">
            <v>2308.62806</v>
          </cell>
          <cell r="I312">
            <v>-2361.27394</v>
          </cell>
          <cell r="M312" t="str">
            <v xml:space="preserve"> </v>
          </cell>
          <cell r="Q312">
            <v>85.874000000000009</v>
          </cell>
          <cell r="S312">
            <v>202.167</v>
          </cell>
          <cell r="U312">
            <v>288.041</v>
          </cell>
          <cell r="Z312">
            <v>-130.46600000000001</v>
          </cell>
          <cell r="AD312">
            <v>157.57499999999999</v>
          </cell>
          <cell r="AF312">
            <v>-11.190999999999999</v>
          </cell>
          <cell r="AJ312">
            <v>-11.190999999999999</v>
          </cell>
          <cell r="AL312">
            <v>133.61799999999999</v>
          </cell>
          <cell r="AP312">
            <v>122.42699999999999</v>
          </cell>
          <cell r="AR312">
            <v>-987.38</v>
          </cell>
          <cell r="AT312">
            <v>-3068.6519400000002</v>
          </cell>
          <cell r="AV312">
            <v>0</v>
          </cell>
          <cell r="AX312">
            <v>-3068.6519400000002</v>
          </cell>
          <cell r="AZ312" t="str">
            <v>aurec\stlm\dapim+other</v>
          </cell>
          <cell r="BC312">
            <v>-10439.168129999998</v>
          </cell>
          <cell r="BE312">
            <v>-5917.6279999999997</v>
          </cell>
          <cell r="BG312">
            <v>-6192.7148700000034</v>
          </cell>
          <cell r="BI312">
            <v>-22549.511000000002</v>
          </cell>
          <cell r="BM312">
            <v>0</v>
          </cell>
          <cell r="BQ312">
            <v>30873.603999999999</v>
          </cell>
          <cell r="BU312">
            <v>30873.603999999999</v>
          </cell>
          <cell r="BZ312">
            <v>501.17500000000001</v>
          </cell>
          <cell r="CD312">
            <v>31374.778999999999</v>
          </cell>
          <cell r="CF312">
            <v>194.21100000000004</v>
          </cell>
          <cell r="CJ312">
            <v>194.21100000000004</v>
          </cell>
          <cell r="CL312">
            <v>-1716</v>
          </cell>
          <cell r="CP312">
            <v>-1521.789</v>
          </cell>
          <cell r="CQ312">
            <v>0</v>
          </cell>
          <cell r="CR312">
            <v>9093.4089999999997</v>
          </cell>
          <cell r="CT312">
            <v>16396.887999999992</v>
          </cell>
          <cell r="CU312">
            <v>0</v>
          </cell>
          <cell r="CV312">
            <v>0</v>
          </cell>
          <cell r="CX312">
            <v>16396.887999999992</v>
          </cell>
          <cell r="FC312">
            <v>-19199</v>
          </cell>
          <cell r="FD312">
            <v>-643</v>
          </cell>
          <cell r="FE312">
            <v>2939</v>
          </cell>
          <cell r="FF312">
            <v>-16903</v>
          </cell>
          <cell r="FI312">
            <v>16970.569000000003</v>
          </cell>
          <cell r="FL312">
            <v>-11</v>
          </cell>
          <cell r="FN312">
            <v>16959.569000000003</v>
          </cell>
          <cell r="FO312">
            <v>75.816000000000003</v>
          </cell>
          <cell r="FP312">
            <v>-651.26199999999994</v>
          </cell>
          <cell r="FR312">
            <v>-575.44599999999991</v>
          </cell>
          <cell r="FS312">
            <v>2432.1190000000001</v>
          </cell>
          <cell r="FT312">
            <v>1913.2420000000034</v>
          </cell>
          <cell r="FU312">
            <v>0</v>
          </cell>
          <cell r="FV312">
            <v>1913.2420000000034</v>
          </cell>
          <cell r="FW312" t="str">
            <v>aurec\stlm\dapim+other</v>
          </cell>
          <cell r="FX312">
            <v>16959.569000000003</v>
          </cell>
          <cell r="FY312">
            <v>-575.44599999999991</v>
          </cell>
          <cell r="GA312">
            <v>16384.123000000003</v>
          </cell>
          <cell r="GB312">
            <v>16603.825912146724</v>
          </cell>
          <cell r="GC312">
            <v>-14470.880999999999</v>
          </cell>
          <cell r="GD312">
            <v>-14664.928291822009</v>
          </cell>
          <cell r="GE312">
            <v>-14470.880999999999</v>
          </cell>
          <cell r="GF312">
            <v>-0.62347963777214932</v>
          </cell>
          <cell r="GG312">
            <v>7349.9809777922928</v>
          </cell>
          <cell r="GH312">
            <v>0</v>
          </cell>
        </row>
        <row r="313">
          <cell r="A313" t="str">
            <v>capitalization</v>
          </cell>
          <cell r="C313">
            <v>0</v>
          </cell>
          <cell r="G313">
            <v>0</v>
          </cell>
          <cell r="I313">
            <v>0</v>
          </cell>
          <cell r="M313" t="str">
            <v xml:space="preserve"> </v>
          </cell>
          <cell r="U313">
            <v>0</v>
          </cell>
          <cell r="AD313">
            <v>0</v>
          </cell>
          <cell r="AJ313">
            <v>0</v>
          </cell>
          <cell r="AP313">
            <v>0</v>
          </cell>
          <cell r="AT313">
            <v>0</v>
          </cell>
          <cell r="AV313">
            <v>0</v>
          </cell>
          <cell r="AX313">
            <v>0</v>
          </cell>
          <cell r="AZ313" t="str">
            <v>capitalization</v>
          </cell>
          <cell r="BI313">
            <v>0</v>
          </cell>
          <cell r="BU313">
            <v>0</v>
          </cell>
          <cell r="CD313">
            <v>0</v>
          </cell>
          <cell r="CH313">
            <v>0</v>
          </cell>
          <cell r="CJ313">
            <v>0</v>
          </cell>
          <cell r="CP313">
            <v>0</v>
          </cell>
          <cell r="CQ313">
            <v>0</v>
          </cell>
          <cell r="CR313">
            <v>0</v>
          </cell>
          <cell r="CT313">
            <v>0</v>
          </cell>
          <cell r="CU313">
            <v>0</v>
          </cell>
          <cell r="CV313">
            <v>0</v>
          </cell>
          <cell r="CX313">
            <v>0</v>
          </cell>
          <cell r="FE313">
            <v>0</v>
          </cell>
          <cell r="FN313">
            <v>0</v>
          </cell>
          <cell r="FO313">
            <v>0</v>
          </cell>
          <cell r="FR313">
            <v>0</v>
          </cell>
          <cell r="FS313">
            <v>0</v>
          </cell>
          <cell r="FT313">
            <v>0</v>
          </cell>
          <cell r="FU313">
            <v>0</v>
          </cell>
          <cell r="FV313">
            <v>0</v>
          </cell>
          <cell r="FW313" t="str">
            <v>capitalization</v>
          </cell>
          <cell r="FX313">
            <v>0</v>
          </cell>
          <cell r="FY313">
            <v>0</v>
          </cell>
          <cell r="GA313">
            <v>0</v>
          </cell>
          <cell r="GB313">
            <v>0</v>
          </cell>
          <cell r="GC313">
            <v>0</v>
          </cell>
          <cell r="GD313">
            <v>0</v>
          </cell>
          <cell r="GE313">
            <v>0</v>
          </cell>
          <cell r="GF313" t="e">
            <v>#DIV/0!</v>
          </cell>
          <cell r="GG313">
            <v>0</v>
          </cell>
          <cell r="GH313">
            <v>0</v>
          </cell>
        </row>
        <row r="314">
          <cell r="A314" t="str">
            <v>expenses(customs&amp;other</v>
          </cell>
          <cell r="B314" t="str">
            <v>PLUG</v>
          </cell>
          <cell r="E314">
            <v>0</v>
          </cell>
          <cell r="G314">
            <v>0</v>
          </cell>
          <cell r="I314">
            <v>0</v>
          </cell>
          <cell r="M314">
            <v>29.911000000000001</v>
          </cell>
          <cell r="Q314">
            <v>52.155000000000001</v>
          </cell>
          <cell r="U314">
            <v>52.155000000000001</v>
          </cell>
          <cell r="AD314">
            <v>52.155000000000001</v>
          </cell>
          <cell r="AJ314">
            <v>0</v>
          </cell>
          <cell r="AN314">
            <v>0</v>
          </cell>
          <cell r="AP314">
            <v>0</v>
          </cell>
          <cell r="AT314">
            <v>82.066000000000003</v>
          </cell>
          <cell r="AV314">
            <v>0</v>
          </cell>
          <cell r="AX314">
            <v>82.066000000000003</v>
          </cell>
          <cell r="AZ314" t="str">
            <v>expenses(customs&amp;other</v>
          </cell>
          <cell r="BI314">
            <v>0</v>
          </cell>
          <cell r="BQ314">
            <v>-3</v>
          </cell>
          <cell r="BU314">
            <v>-3</v>
          </cell>
          <cell r="CD314">
            <v>-3</v>
          </cell>
          <cell r="CH314">
            <v>0</v>
          </cell>
          <cell r="CJ314">
            <v>0</v>
          </cell>
          <cell r="CL314">
            <v>0</v>
          </cell>
          <cell r="CN314">
            <v>0</v>
          </cell>
          <cell r="CP314">
            <v>0</v>
          </cell>
          <cell r="CQ314">
            <v>0</v>
          </cell>
          <cell r="CR314">
            <v>-628.35400000000004</v>
          </cell>
          <cell r="CT314">
            <v>-631.35400000000004</v>
          </cell>
          <cell r="CU314">
            <v>0</v>
          </cell>
          <cell r="CV314">
            <v>0</v>
          </cell>
          <cell r="CX314">
            <v>-631.35400000000004</v>
          </cell>
          <cell r="FG314">
            <v>124.428</v>
          </cell>
          <cell r="FI314">
            <v>-6.9939999999999998</v>
          </cell>
          <cell r="FN314">
            <v>-6.9939999999999998</v>
          </cell>
          <cell r="FO314">
            <v>0</v>
          </cell>
          <cell r="FQ314">
            <v>0</v>
          </cell>
          <cell r="FR314">
            <v>0</v>
          </cell>
          <cell r="FS314">
            <v>-240.66200000000001</v>
          </cell>
          <cell r="FT314">
            <v>-123.22800000000001</v>
          </cell>
          <cell r="FU314">
            <v>0</v>
          </cell>
          <cell r="FV314">
            <v>-123.22800000000001</v>
          </cell>
          <cell r="FW314" t="str">
            <v>expenses(customs&amp;other)</v>
          </cell>
          <cell r="FX314">
            <v>-6.9939999999999998</v>
          </cell>
          <cell r="FY314">
            <v>0</v>
          </cell>
          <cell r="GA314">
            <v>-6.9939999999999998</v>
          </cell>
          <cell r="GB314">
            <v>-7.0877860493084786</v>
          </cell>
          <cell r="GC314">
            <v>-116.23400000000001</v>
          </cell>
          <cell r="GD314">
            <v>-117.79263992784125</v>
          </cell>
          <cell r="GE314">
            <v>-116.23400000000001</v>
          </cell>
          <cell r="GF314">
            <v>-1.5015719055394439</v>
          </cell>
          <cell r="GG314">
            <v>10171.941296481245</v>
          </cell>
          <cell r="GH314">
            <v>0</v>
          </cell>
        </row>
        <row r="315">
          <cell r="A315" t="str">
            <v>expenses-banks,net</v>
          </cell>
          <cell r="C315">
            <v>-372.26099999999997</v>
          </cell>
          <cell r="E315">
            <v>0</v>
          </cell>
          <cell r="G315">
            <v>0</v>
          </cell>
          <cell r="I315">
            <v>-372.26099999999997</v>
          </cell>
          <cell r="M315" t="str">
            <v xml:space="preserve"> </v>
          </cell>
          <cell r="O315">
            <v>469.5</v>
          </cell>
          <cell r="Q315">
            <v>-277.75800000000004</v>
          </cell>
          <cell r="U315">
            <v>-277.75800000000004</v>
          </cell>
          <cell r="X315">
            <v>-558</v>
          </cell>
          <cell r="Z315">
            <v>26.71</v>
          </cell>
          <cell r="AD315">
            <v>-809.048</v>
          </cell>
          <cell r="AF315">
            <v>4.5979999999999999</v>
          </cell>
          <cell r="AJ315">
            <v>4.5979999999999999</v>
          </cell>
          <cell r="AL315">
            <v>25</v>
          </cell>
          <cell r="AP315">
            <v>29.597999999999999</v>
          </cell>
          <cell r="AR315">
            <v>-31</v>
          </cell>
          <cell r="AT315">
            <v>-713.21100000000001</v>
          </cell>
          <cell r="AV315">
            <v>0</v>
          </cell>
          <cell r="AX315">
            <v>-713.21100000000001</v>
          </cell>
          <cell r="AZ315" t="str">
            <v>expenses-banks,net</v>
          </cell>
          <cell r="BC315">
            <v>4698.7640000000001</v>
          </cell>
          <cell r="BE315">
            <v>0</v>
          </cell>
          <cell r="BG315">
            <v>0</v>
          </cell>
          <cell r="BI315">
            <v>4698.7640000000001</v>
          </cell>
          <cell r="BO315">
            <v>1581.2249999999999</v>
          </cell>
          <cell r="BQ315">
            <v>23681.727000000003</v>
          </cell>
          <cell r="BU315">
            <v>23681.727000000003</v>
          </cell>
          <cell r="BX315">
            <v>3345.5</v>
          </cell>
          <cell r="BZ315">
            <v>-205.262</v>
          </cell>
          <cell r="CD315">
            <v>26821.965000000004</v>
          </cell>
          <cell r="CF315">
            <v>8.4320000000000004</v>
          </cell>
          <cell r="CH315">
            <v>0</v>
          </cell>
          <cell r="CJ315">
            <v>8.4320000000000004</v>
          </cell>
          <cell r="CL315">
            <v>93</v>
          </cell>
          <cell r="CP315">
            <v>101.432</v>
          </cell>
          <cell r="CQ315">
            <v>0</v>
          </cell>
          <cell r="CR315">
            <v>-107.104</v>
          </cell>
          <cell r="CT315">
            <v>33096.282000000007</v>
          </cell>
          <cell r="CU315">
            <v>0</v>
          </cell>
          <cell r="CV315">
            <v>0</v>
          </cell>
          <cell r="CX315">
            <v>33096.282000000007</v>
          </cell>
          <cell r="FC315">
            <v>1653</v>
          </cell>
          <cell r="FD315">
            <v>-2</v>
          </cell>
          <cell r="FE315">
            <v>0</v>
          </cell>
          <cell r="FF315">
            <v>1651</v>
          </cell>
          <cell r="FH315">
            <v>1823.5</v>
          </cell>
          <cell r="FI315">
            <v>10220.337</v>
          </cell>
          <cell r="FK315">
            <v>504.5</v>
          </cell>
          <cell r="FL315">
            <v>-64.048000000000002</v>
          </cell>
          <cell r="FN315">
            <v>10660.788999999999</v>
          </cell>
          <cell r="FO315">
            <v>12.9</v>
          </cell>
          <cell r="FP315">
            <v>98</v>
          </cell>
          <cell r="FR315">
            <v>110.9</v>
          </cell>
          <cell r="FS315">
            <v>-88.51</v>
          </cell>
          <cell r="FT315">
            <v>14157.678999999998</v>
          </cell>
          <cell r="FU315">
            <v>0</v>
          </cell>
          <cell r="FV315">
            <v>14157.678999999998</v>
          </cell>
          <cell r="FW315" t="str">
            <v>expenses-banks,net</v>
          </cell>
          <cell r="FX315">
            <v>10660.788999999999</v>
          </cell>
          <cell r="FY315">
            <v>110.9</v>
          </cell>
          <cell r="GA315">
            <v>10771.688999999998</v>
          </cell>
          <cell r="GB315">
            <v>10916.131973361393</v>
          </cell>
          <cell r="GC315">
            <v>3385.99</v>
          </cell>
          <cell r="GD315">
            <v>3431.3944359591096</v>
          </cell>
          <cell r="GE315">
            <v>3385.99</v>
          </cell>
          <cell r="GF315">
            <v>-19.850617839601462</v>
          </cell>
          <cell r="GG315">
            <v>480.39301502286099</v>
          </cell>
          <cell r="GH315">
            <v>0</v>
          </cell>
        </row>
        <row r="316">
          <cell r="C316">
            <v>-4209.6400000000003</v>
          </cell>
          <cell r="E316">
            <v>-794.78599999999994</v>
          </cell>
          <cell r="G316">
            <v>2313.9946375279637</v>
          </cell>
          <cell r="I316">
            <v>-2690.4313624720362</v>
          </cell>
          <cell r="M316">
            <v>29.911000000000001</v>
          </cell>
          <cell r="O316">
            <v>469.5</v>
          </cell>
          <cell r="Q316">
            <v>-428.36500000000001</v>
          </cell>
          <cell r="S316">
            <v>202.167</v>
          </cell>
          <cell r="U316">
            <v>-226.19800000000006</v>
          </cell>
          <cell r="W316">
            <v>0</v>
          </cell>
          <cell r="X316">
            <v>-554</v>
          </cell>
          <cell r="Z316">
            <v>-106.25200000000001</v>
          </cell>
          <cell r="AB316">
            <v>0</v>
          </cell>
          <cell r="AD316">
            <v>-886.45</v>
          </cell>
          <cell r="AF316">
            <v>-6.5929999999999991</v>
          </cell>
          <cell r="AH316">
            <v>0</v>
          </cell>
          <cell r="AJ316">
            <v>-6.5929999999999991</v>
          </cell>
          <cell r="AL316">
            <v>-1537.3820000000001</v>
          </cell>
          <cell r="AN316">
            <v>0</v>
          </cell>
          <cell r="AP316">
            <v>-1543.9749999999999</v>
          </cell>
          <cell r="AR316">
            <v>-1018.38</v>
          </cell>
          <cell r="AT316">
            <v>-5639.8253624720364</v>
          </cell>
          <cell r="AV316">
            <v>0</v>
          </cell>
          <cell r="AX316">
            <v>-5639.8253624720364</v>
          </cell>
          <cell r="BC316">
            <v>-5770.1151299999974</v>
          </cell>
          <cell r="BE316">
            <v>-5917.6279999999997</v>
          </cell>
          <cell r="BG316">
            <v>-8288.5424635847194</v>
          </cell>
          <cell r="BI316">
            <v>-19976.285593584718</v>
          </cell>
          <cell r="BM316">
            <v>0</v>
          </cell>
          <cell r="BO316">
            <v>1581.2249999999999</v>
          </cell>
          <cell r="BQ316">
            <v>53984.953999999998</v>
          </cell>
          <cell r="BS316">
            <v>0</v>
          </cell>
          <cell r="BU316">
            <v>53984.953999999998</v>
          </cell>
          <cell r="BW316">
            <v>0</v>
          </cell>
          <cell r="BX316">
            <v>3345.5</v>
          </cell>
          <cell r="BZ316">
            <v>290.14600000000002</v>
          </cell>
          <cell r="CB316">
            <v>0</v>
          </cell>
          <cell r="CD316">
            <v>57620.6</v>
          </cell>
          <cell r="CF316">
            <v>202.64300000000003</v>
          </cell>
          <cell r="CH316">
            <v>0</v>
          </cell>
          <cell r="CJ316">
            <v>202.64300000000003</v>
          </cell>
          <cell r="CL316">
            <v>11121</v>
          </cell>
          <cell r="CN316">
            <v>0</v>
          </cell>
          <cell r="CP316">
            <v>11323.643</v>
          </cell>
          <cell r="CQ316">
            <v>0</v>
          </cell>
          <cell r="CR316">
            <v>8358</v>
          </cell>
          <cell r="CT316">
            <v>58907.133406415283</v>
          </cell>
          <cell r="CU316">
            <v>4.8999999999068677E-2</v>
          </cell>
          <cell r="CV316">
            <v>0</v>
          </cell>
          <cell r="CX316">
            <v>58907.133406415283</v>
          </cell>
          <cell r="FC316">
            <v>-17578.188999999998</v>
          </cell>
          <cell r="FD316">
            <v>-645</v>
          </cell>
          <cell r="FE316">
            <v>1759.7163145452437</v>
          </cell>
          <cell r="FF316">
            <v>-16463.472685454755</v>
          </cell>
          <cell r="FG316">
            <v>124.428</v>
          </cell>
          <cell r="FH316">
            <v>1823.5</v>
          </cell>
          <cell r="FI316">
            <v>25882.316000000003</v>
          </cell>
          <cell r="FJ316">
            <v>0</v>
          </cell>
          <cell r="FK316">
            <v>504.5</v>
          </cell>
          <cell r="FL316">
            <v>-99.121000000000009</v>
          </cell>
          <cell r="FM316">
            <v>0</v>
          </cell>
          <cell r="FN316">
            <v>26287.695</v>
          </cell>
          <cell r="FO316">
            <v>88.716000000000008</v>
          </cell>
          <cell r="FP316">
            <v>3793.7380000000003</v>
          </cell>
          <cell r="FQ316">
            <v>0</v>
          </cell>
          <cell r="FR316">
            <v>3882.4540000000002</v>
          </cell>
          <cell r="FS316">
            <v>2102.9470000000001</v>
          </cell>
          <cell r="FT316">
            <v>17757.551314545246</v>
          </cell>
          <cell r="FU316">
            <v>0</v>
          </cell>
          <cell r="FV316">
            <v>17757.551314545246</v>
          </cell>
          <cell r="FX316">
            <v>26287.695</v>
          </cell>
          <cell r="FY316">
            <v>3882.4540000000002</v>
          </cell>
          <cell r="FZ316">
            <v>0</v>
          </cell>
          <cell r="GA316">
            <v>30170.149000000001</v>
          </cell>
          <cell r="GB316">
            <v>30574.7156402285</v>
          </cell>
          <cell r="GC316">
            <v>-12412.597685454757</v>
          </cell>
          <cell r="GD316">
            <v>-12579.04442531383</v>
          </cell>
          <cell r="GE316">
            <v>-12412.597685454755</v>
          </cell>
          <cell r="GF316">
            <v>-3.1485994996770241</v>
          </cell>
          <cell r="GG316">
            <v>16399.06489151717</v>
          </cell>
          <cell r="GH316">
            <v>0</v>
          </cell>
        </row>
        <row r="317">
          <cell r="A317" t="str">
            <v>CAPITAL GAINS</v>
          </cell>
          <cell r="E317">
            <v>-0.75</v>
          </cell>
          <cell r="I317">
            <v>-0.75</v>
          </cell>
          <cell r="O317">
            <v>-13.5</v>
          </cell>
          <cell r="Q317">
            <v>-2.747000000000007</v>
          </cell>
          <cell r="U317">
            <v>-2.747000000000007</v>
          </cell>
          <cell r="X317">
            <v>5</v>
          </cell>
          <cell r="AD317">
            <v>2.252999999999993</v>
          </cell>
          <cell r="AJ317">
            <v>0</v>
          </cell>
          <cell r="AL317">
            <v>-18.626999999999999</v>
          </cell>
          <cell r="AP317">
            <v>-18.626999999999999</v>
          </cell>
          <cell r="AT317">
            <v>-30.624000000000006</v>
          </cell>
          <cell r="AV317">
            <v>0</v>
          </cell>
          <cell r="AX317">
            <v>-30.624000000000006</v>
          </cell>
          <cell r="AZ317" t="str">
            <v>CAPITAL GAINS</v>
          </cell>
          <cell r="BE317">
            <v>-194.22300000000001</v>
          </cell>
          <cell r="BI317">
            <v>-194.22300000000001</v>
          </cell>
          <cell r="BQ317">
            <v>37.99799999999999</v>
          </cell>
          <cell r="BS317">
            <v>-571</v>
          </cell>
          <cell r="BU317">
            <v>-533.00199999999995</v>
          </cell>
          <cell r="BX317">
            <v>-18</v>
          </cell>
          <cell r="BZ317">
            <v>0</v>
          </cell>
          <cell r="CD317">
            <v>-551.00199999999995</v>
          </cell>
          <cell r="CF317">
            <v>0</v>
          </cell>
          <cell r="CJ317">
            <v>0</v>
          </cell>
          <cell r="CL317">
            <v>-104</v>
          </cell>
          <cell r="CP317">
            <v>-104</v>
          </cell>
          <cell r="CQ317">
            <v>0</v>
          </cell>
          <cell r="CT317">
            <v>-849.22500000000002</v>
          </cell>
          <cell r="CU317">
            <v>0</v>
          </cell>
          <cell r="CX317">
            <v>-849.22500000000002</v>
          </cell>
          <cell r="FD317">
            <v>18.3702288</v>
          </cell>
          <cell r="FF317">
            <v>18.3702288</v>
          </cell>
          <cell r="FH317">
            <v>-53.5</v>
          </cell>
          <cell r="FI317">
            <v>-100.605</v>
          </cell>
          <cell r="FK317">
            <v>18.5</v>
          </cell>
          <cell r="FN317">
            <v>-82.105000000000004</v>
          </cell>
          <cell r="FO317">
            <v>0</v>
          </cell>
          <cell r="FR317">
            <v>0</v>
          </cell>
          <cell r="FS317">
            <v>0</v>
          </cell>
          <cell r="FT317">
            <v>-117.23477119999995</v>
          </cell>
          <cell r="FV317">
            <v>-117.23477119999995</v>
          </cell>
          <cell r="FW317" t="str">
            <v>CAPITAL GAINS</v>
          </cell>
          <cell r="FX317">
            <v>-82.105000000000004</v>
          </cell>
          <cell r="FY317">
            <v>0</v>
          </cell>
          <cell r="GA317">
            <v>-82.105000000000004</v>
          </cell>
          <cell r="GB317">
            <v>-83.205987071557374</v>
          </cell>
          <cell r="GC317">
            <v>-35.129771199999993</v>
          </cell>
          <cell r="GD317">
            <v>-35.600843898592892</v>
          </cell>
          <cell r="GE317">
            <v>-35.129771199999993</v>
          </cell>
          <cell r="GF317">
            <v>3.8281991640543342</v>
          </cell>
          <cell r="GG317">
            <v>865.63440561724371</v>
          </cell>
          <cell r="GH317">
            <v>0</v>
          </cell>
        </row>
        <row r="318">
          <cell r="A318" t="str">
            <v>OTHER INCOME</v>
          </cell>
          <cell r="U318">
            <v>0</v>
          </cell>
          <cell r="AD318">
            <v>0</v>
          </cell>
          <cell r="AJ318">
            <v>0</v>
          </cell>
          <cell r="AT318">
            <v>0</v>
          </cell>
          <cell r="AX318">
            <v>0</v>
          </cell>
          <cell r="BO318">
            <v>-59</v>
          </cell>
          <cell r="CD318">
            <v>0</v>
          </cell>
          <cell r="CQ318">
            <v>0</v>
          </cell>
          <cell r="CT318">
            <v>-59</v>
          </cell>
          <cell r="CU318">
            <v>0</v>
          </cell>
          <cell r="CX318">
            <v>-59</v>
          </cell>
          <cell r="FS318">
            <v>0</v>
          </cell>
          <cell r="FT318">
            <v>0</v>
          </cell>
          <cell r="FW318" t="str">
            <v>OTHER INCOME</v>
          </cell>
          <cell r="FX318">
            <v>0</v>
          </cell>
          <cell r="FY318">
            <v>0</v>
          </cell>
          <cell r="GA318">
            <v>0</v>
          </cell>
          <cell r="GB318">
            <v>0</v>
          </cell>
          <cell r="GC318">
            <v>0</v>
          </cell>
          <cell r="GD318">
            <v>0</v>
          </cell>
          <cell r="GE318">
            <v>0</v>
          </cell>
          <cell r="GF318" t="e">
            <v>#DIV/0!</v>
          </cell>
          <cell r="GG318">
            <v>0</v>
          </cell>
          <cell r="GH318">
            <v>0</v>
          </cell>
        </row>
        <row r="319">
          <cell r="A319" t="str">
            <v>profit BEF. TAXES</v>
          </cell>
          <cell r="C319">
            <v>-5248.3209999999999</v>
          </cell>
          <cell r="E319">
            <v>-900.26299999999992</v>
          </cell>
          <cell r="G319">
            <v>1259.7846375279639</v>
          </cell>
          <cell r="I319">
            <v>-4888.7993624720366</v>
          </cell>
          <cell r="K319">
            <v>0</v>
          </cell>
          <cell r="M319">
            <v>-243.03250961538447</v>
          </cell>
          <cell r="O319">
            <v>-107</v>
          </cell>
          <cell r="Q319">
            <v>-26938.115999999998</v>
          </cell>
          <cell r="S319">
            <v>202.167</v>
          </cell>
          <cell r="U319">
            <v>-26735.949000000004</v>
          </cell>
          <cell r="W319">
            <v>3013</v>
          </cell>
          <cell r="X319">
            <v>-4400</v>
          </cell>
          <cell r="Z319">
            <v>-384.02600000000001</v>
          </cell>
          <cell r="AD319">
            <v>-28506.97500000002</v>
          </cell>
          <cell r="AF319">
            <v>-23.698999999999998</v>
          </cell>
          <cell r="AH319">
            <v>0</v>
          </cell>
          <cell r="AJ319">
            <v>-23.698999999999998</v>
          </cell>
          <cell r="AL319">
            <v>-17988.302999999996</v>
          </cell>
          <cell r="AN319">
            <v>44.588000000000001</v>
          </cell>
          <cell r="AP319">
            <v>-17967.413999999997</v>
          </cell>
          <cell r="AR319">
            <v>-1446.8339999999998</v>
          </cell>
          <cell r="AT319">
            <v>-53160.054872087465</v>
          </cell>
          <cell r="AV319">
            <v>167.0520000000015</v>
          </cell>
          <cell r="AX319">
            <v>-52993.002872087418</v>
          </cell>
          <cell r="AZ319" t="str">
            <v>profit BEF. TAXES</v>
          </cell>
          <cell r="BC319">
            <v>-10903.969129999998</v>
          </cell>
          <cell r="BE319">
            <v>-6478.8509999999997</v>
          </cell>
          <cell r="BG319">
            <v>-12601.23246358472</v>
          </cell>
          <cell r="BI319">
            <v>-29984.052593584722</v>
          </cell>
          <cell r="BM319">
            <v>-1033.9669999999996</v>
          </cell>
          <cell r="BO319">
            <v>-2148.2750000000001</v>
          </cell>
          <cell r="BQ319">
            <v>-49583.34</v>
          </cell>
          <cell r="BS319">
            <v>-571</v>
          </cell>
          <cell r="BU319">
            <v>-50154.34</v>
          </cell>
          <cell r="BW319">
            <v>14599</v>
          </cell>
          <cell r="BX319">
            <v>-14707</v>
          </cell>
          <cell r="BZ319">
            <v>-849.06600000000117</v>
          </cell>
          <cell r="CB319">
            <v>0</v>
          </cell>
          <cell r="CD319">
            <v>-51111.40600000001</v>
          </cell>
          <cell r="CF319">
            <v>131.46700000000004</v>
          </cell>
          <cell r="CH319">
            <v>0</v>
          </cell>
          <cell r="CJ319">
            <v>131.46700000000004</v>
          </cell>
          <cell r="CL319">
            <v>-53148</v>
          </cell>
          <cell r="CN319">
            <v>103</v>
          </cell>
          <cell r="CP319">
            <v>-52913.532999999996</v>
          </cell>
          <cell r="CQ319">
            <v>0</v>
          </cell>
          <cell r="CR319">
            <v>6482.66</v>
          </cell>
          <cell r="CT319">
            <v>-130708.7555935847</v>
          </cell>
          <cell r="CU319">
            <v>0.18199999997159466</v>
          </cell>
          <cell r="CV319">
            <v>582.15800000001036</v>
          </cell>
          <cell r="CX319">
            <v>-130126.59759358468</v>
          </cell>
          <cell r="FC319">
            <v>-26403.41</v>
          </cell>
          <cell r="FD319">
            <v>-1023.9667266</v>
          </cell>
          <cell r="FE319">
            <v>1535.8143145452436</v>
          </cell>
          <cell r="FF319">
            <v>-25891.562412054755</v>
          </cell>
          <cell r="FG319">
            <v>-1009.8980000000006</v>
          </cell>
          <cell r="FH319">
            <v>-1131</v>
          </cell>
          <cell r="FI319">
            <v>-70147.220999999932</v>
          </cell>
          <cell r="FJ319">
            <v>11433</v>
          </cell>
          <cell r="FK319">
            <v>-14668.5</v>
          </cell>
          <cell r="FL319">
            <v>-1178.8139999999994</v>
          </cell>
          <cell r="FM319">
            <v>0</v>
          </cell>
          <cell r="FN319">
            <v>-74561.535000000018</v>
          </cell>
          <cell r="FO319">
            <v>19.48</v>
          </cell>
          <cell r="FP319">
            <v>-57002.262000000002</v>
          </cell>
          <cell r="FQ319">
            <v>194</v>
          </cell>
          <cell r="FR319">
            <v>-56788.782000000007</v>
          </cell>
          <cell r="FS319">
            <v>141.00399999999991</v>
          </cell>
          <cell r="FT319">
            <v>-159241.77341205467</v>
          </cell>
          <cell r="FU319">
            <v>664.17799999999988</v>
          </cell>
          <cell r="FV319">
            <v>-158577.59541205465</v>
          </cell>
          <cell r="FW319" t="str">
            <v>profit BEF. TAXES</v>
          </cell>
          <cell r="FX319">
            <v>-74561.535000000018</v>
          </cell>
          <cell r="FY319">
            <v>-56788.782000000007</v>
          </cell>
          <cell r="FZ319">
            <v>-0.43684500000017579</v>
          </cell>
          <cell r="GA319">
            <v>-131350.75384499994</v>
          </cell>
          <cell r="GB319">
            <v>-133112.10189716073</v>
          </cell>
          <cell r="GC319">
            <v>-27226.841567054751</v>
          </cell>
          <cell r="GD319">
            <v>-27591.939923606355</v>
          </cell>
          <cell r="GE319">
            <v>-27226.841567054711</v>
          </cell>
          <cell r="GF319">
            <v>2.9924251659190455</v>
          </cell>
          <cell r="GG319">
            <v>-137078.72350524145</v>
          </cell>
          <cell r="GH319">
            <v>0</v>
          </cell>
        </row>
        <row r="320">
          <cell r="A320" t="str">
            <v>TAXES</v>
          </cell>
          <cell r="AZ320" t="str">
            <v>TAXES</v>
          </cell>
          <cell r="CD320">
            <v>0</v>
          </cell>
          <cell r="CQ320">
            <v>0</v>
          </cell>
          <cell r="CU320">
            <v>0</v>
          </cell>
          <cell r="FW320" t="str">
            <v>TAXES</v>
          </cell>
          <cell r="FX320">
            <v>0</v>
          </cell>
          <cell r="FY320">
            <v>0</v>
          </cell>
          <cell r="GA320">
            <v>0</v>
          </cell>
          <cell r="GB320">
            <v>0</v>
          </cell>
          <cell r="GC320">
            <v>0</v>
          </cell>
          <cell r="GD320">
            <v>0</v>
          </cell>
          <cell r="GE320">
            <v>0</v>
          </cell>
          <cell r="GF320" t="e">
            <v>#DIV/0!</v>
          </cell>
          <cell r="GH320">
            <v>0</v>
          </cell>
        </row>
        <row r="321">
          <cell r="A321" t="str">
            <v>current taxes</v>
          </cell>
          <cell r="C321">
            <v>0</v>
          </cell>
          <cell r="G321">
            <v>5024.8173076923076</v>
          </cell>
          <cell r="I321">
            <v>5024.8173076923076</v>
          </cell>
          <cell r="O321">
            <v>138.5</v>
          </cell>
          <cell r="X321">
            <v>984</v>
          </cell>
          <cell r="Z321">
            <v>96.777692307692305</v>
          </cell>
          <cell r="AD321">
            <v>1080.7776923076924</v>
          </cell>
          <cell r="AL321">
            <v>5504</v>
          </cell>
          <cell r="AP321">
            <v>5504</v>
          </cell>
          <cell r="AT321">
            <v>11748.095000000001</v>
          </cell>
          <cell r="AX321">
            <v>11748.095000000001</v>
          </cell>
          <cell r="AZ321" t="str">
            <v>current taxes</v>
          </cell>
          <cell r="BA321" t="str">
            <v>=-'ני"ע 2'!BO28-'ני"ע 2'!BO22-'ני"ע 2'!BO18</v>
          </cell>
          <cell r="BG321">
            <v>20714.29</v>
          </cell>
          <cell r="BI321">
            <v>20714.29</v>
          </cell>
          <cell r="BO321">
            <v>462</v>
          </cell>
          <cell r="BX321">
            <v>3833</v>
          </cell>
          <cell r="BZ321">
            <v>379.947</v>
          </cell>
          <cell r="CD321">
            <v>4212.9470000000001</v>
          </cell>
          <cell r="CL321">
            <v>19761</v>
          </cell>
          <cell r="CP321">
            <v>19761</v>
          </cell>
          <cell r="CQ321">
            <v>0</v>
          </cell>
          <cell r="CT321">
            <v>45150.237000000001</v>
          </cell>
          <cell r="CU321">
            <v>0</v>
          </cell>
          <cell r="CX321">
            <v>45150.237000000001</v>
          </cell>
          <cell r="FC321">
            <v>1040.6279999999999</v>
          </cell>
          <cell r="FE321">
            <v>20714.29</v>
          </cell>
          <cell r="FF321">
            <v>21754.918000000001</v>
          </cell>
          <cell r="FH321">
            <v>528</v>
          </cell>
          <cell r="FK321">
            <v>4582.5</v>
          </cell>
          <cell r="FL321">
            <v>391</v>
          </cell>
          <cell r="FN321">
            <v>4973.5</v>
          </cell>
          <cell r="FP321">
            <v>19980</v>
          </cell>
          <cell r="FR321">
            <v>19980</v>
          </cell>
          <cell r="FS321">
            <v>0</v>
          </cell>
          <cell r="FT321">
            <v>47236.418000000005</v>
          </cell>
          <cell r="FV321">
            <v>47236.418000000005</v>
          </cell>
          <cell r="FW321" t="str">
            <v>current taxes</v>
          </cell>
          <cell r="FX321">
            <v>4973.5</v>
          </cell>
          <cell r="FY321">
            <v>19980</v>
          </cell>
          <cell r="GA321">
            <v>24953.5</v>
          </cell>
          <cell r="GB321">
            <v>25288.113980757669</v>
          </cell>
          <cell r="GC321">
            <v>22282.918000000005</v>
          </cell>
          <cell r="GD321">
            <v>22581.720809019847</v>
          </cell>
          <cell r="GE321">
            <v>22282.918000000005</v>
          </cell>
          <cell r="GF321">
            <v>4.0207725592957839</v>
          </cell>
          <cell r="GG321">
            <v>40991.492295231874</v>
          </cell>
          <cell r="GH321">
            <v>0</v>
          </cell>
        </row>
        <row r="322">
          <cell r="FE322">
            <v>-946.06590812995842</v>
          </cell>
          <cell r="FF322">
            <v>-946.06590812995842</v>
          </cell>
          <cell r="FT322">
            <v>-946.06590812995842</v>
          </cell>
          <cell r="FV322">
            <v>-946.06590812995842</v>
          </cell>
          <cell r="FX322">
            <v>0</v>
          </cell>
          <cell r="FY322">
            <v>0</v>
          </cell>
          <cell r="GA322">
            <v>0</v>
          </cell>
          <cell r="GB322">
            <v>0</v>
          </cell>
          <cell r="GC322">
            <v>-946.06590812995842</v>
          </cell>
          <cell r="GD322">
            <v>-958.75217977836371</v>
          </cell>
          <cell r="GE322">
            <v>-946.06590812995842</v>
          </cell>
          <cell r="GF322" t="e">
            <v>#DIV/0!</v>
          </cell>
        </row>
        <row r="323">
          <cell r="A323" t="str">
            <v>deferred taxes</v>
          </cell>
          <cell r="G323">
            <v>1706.8080782126697</v>
          </cell>
          <cell r="I323">
            <v>1706.8080782126697</v>
          </cell>
          <cell r="O323">
            <v>56</v>
          </cell>
          <cell r="X323">
            <v>747.5</v>
          </cell>
          <cell r="Z323">
            <v>51</v>
          </cell>
          <cell r="AD323">
            <v>798.5</v>
          </cell>
          <cell r="AL323">
            <v>1725</v>
          </cell>
          <cell r="AP323">
            <v>1725</v>
          </cell>
          <cell r="AT323">
            <v>4286.3080782126699</v>
          </cell>
          <cell r="AX323">
            <v>4286.3080782126699</v>
          </cell>
          <cell r="AZ323" t="str">
            <v>deferred taxes</v>
          </cell>
          <cell r="BI323">
            <v>0</v>
          </cell>
          <cell r="BO323">
            <v>-572</v>
          </cell>
          <cell r="BX323">
            <v>353.5</v>
          </cell>
          <cell r="BZ323">
            <v>-146</v>
          </cell>
          <cell r="CD323">
            <v>207.5</v>
          </cell>
          <cell r="CL323">
            <v>0</v>
          </cell>
          <cell r="CP323">
            <v>0</v>
          </cell>
          <cell r="CQ323">
            <v>0</v>
          </cell>
          <cell r="CT323">
            <v>-364.5</v>
          </cell>
          <cell r="CU323">
            <v>0</v>
          </cell>
          <cell r="CX323">
            <v>-364.5</v>
          </cell>
          <cell r="FE323">
            <v>1121.7408198399999</v>
          </cell>
          <cell r="FF323">
            <v>1121.7408198399999</v>
          </cell>
          <cell r="FH323">
            <v>84</v>
          </cell>
          <cell r="FL323">
            <v>7</v>
          </cell>
          <cell r="FN323">
            <v>7</v>
          </cell>
          <cell r="FP323">
            <v>731</v>
          </cell>
          <cell r="FR323">
            <v>731</v>
          </cell>
          <cell r="FS323">
            <v>0</v>
          </cell>
          <cell r="FT323">
            <v>1943.7408198399999</v>
          </cell>
          <cell r="FV323">
            <v>1943.7408198399999</v>
          </cell>
          <cell r="FW323" t="str">
            <v>deferred taxes</v>
          </cell>
          <cell r="FX323">
            <v>7</v>
          </cell>
          <cell r="FY323">
            <v>731</v>
          </cell>
          <cell r="FZ323">
            <v>18203</v>
          </cell>
          <cell r="GA323">
            <v>18941</v>
          </cell>
          <cell r="GB323">
            <v>19194.989356584483</v>
          </cell>
          <cell r="GC323">
            <v>-16997.259180159999</v>
          </cell>
          <cell r="GD323">
            <v>-17225.183942467618</v>
          </cell>
          <cell r="GE323">
            <v>-16997.259180159999</v>
          </cell>
          <cell r="GF323">
            <v>0.45347669471544666</v>
          </cell>
          <cell r="GG323">
            <v>2407.3610904884972</v>
          </cell>
          <cell r="GH323">
            <v>0</v>
          </cell>
        </row>
        <row r="324">
          <cell r="A324" t="str">
            <v>Total Taxes</v>
          </cell>
          <cell r="C324">
            <v>0</v>
          </cell>
          <cell r="E324">
            <v>0</v>
          </cell>
          <cell r="G324">
            <v>6731.6253859049775</v>
          </cell>
          <cell r="I324">
            <v>6731.6253859049775</v>
          </cell>
          <cell r="O324">
            <v>194.5</v>
          </cell>
          <cell r="Q324">
            <v>0</v>
          </cell>
          <cell r="S324">
            <v>0</v>
          </cell>
          <cell r="U324">
            <v>0</v>
          </cell>
          <cell r="W324">
            <v>0</v>
          </cell>
          <cell r="X324">
            <v>1732.5</v>
          </cell>
          <cell r="Z324">
            <v>147.77769230769229</v>
          </cell>
          <cell r="AB324">
            <v>0</v>
          </cell>
          <cell r="AD324">
            <v>1879.2776923076924</v>
          </cell>
          <cell r="AF324">
            <v>0</v>
          </cell>
          <cell r="AJ324">
            <v>0</v>
          </cell>
          <cell r="AL324">
            <v>7229</v>
          </cell>
          <cell r="AP324">
            <v>7229</v>
          </cell>
          <cell r="AT324">
            <v>16034.403078212672</v>
          </cell>
          <cell r="AX324">
            <v>16034.403078212672</v>
          </cell>
          <cell r="AZ324" t="str">
            <v>Total Taxes</v>
          </cell>
          <cell r="BC324">
            <v>0</v>
          </cell>
          <cell r="BG324">
            <v>20714.29</v>
          </cell>
          <cell r="BI324">
            <v>20714.29</v>
          </cell>
          <cell r="BM324">
            <v>0</v>
          </cell>
          <cell r="BO324">
            <v>-110</v>
          </cell>
          <cell r="BQ324">
            <v>0</v>
          </cell>
          <cell r="BS324">
            <v>0</v>
          </cell>
          <cell r="BU324">
            <v>0</v>
          </cell>
          <cell r="BW324">
            <v>0</v>
          </cell>
          <cell r="BX324">
            <v>4186.5</v>
          </cell>
          <cell r="BZ324">
            <v>233.947</v>
          </cell>
          <cell r="CB324">
            <v>0</v>
          </cell>
          <cell r="CD324">
            <v>4420.4470000000001</v>
          </cell>
          <cell r="CF324">
            <v>0</v>
          </cell>
          <cell r="CH324">
            <v>0</v>
          </cell>
          <cell r="CJ324">
            <v>0</v>
          </cell>
          <cell r="CL324">
            <v>19761</v>
          </cell>
          <cell r="CN324">
            <v>0</v>
          </cell>
          <cell r="CP324">
            <v>19761</v>
          </cell>
          <cell r="CQ324">
            <v>0</v>
          </cell>
          <cell r="CR324">
            <v>0</v>
          </cell>
          <cell r="CT324">
            <v>44785.737000000001</v>
          </cell>
          <cell r="CU324">
            <v>0</v>
          </cell>
          <cell r="CV324">
            <v>0</v>
          </cell>
          <cell r="CX324">
            <v>44785.737000000001</v>
          </cell>
          <cell r="FC324">
            <v>1040.6279999999999</v>
          </cell>
          <cell r="FD324">
            <v>0</v>
          </cell>
          <cell r="FE324">
            <v>20889.964911710042</v>
          </cell>
          <cell r="FF324">
            <v>21930.592911710042</v>
          </cell>
          <cell r="FG324">
            <v>0</v>
          </cell>
          <cell r="FH324">
            <v>612</v>
          </cell>
          <cell r="FI324">
            <v>0</v>
          </cell>
          <cell r="FJ324">
            <v>0</v>
          </cell>
          <cell r="FK324">
            <v>4582.5</v>
          </cell>
          <cell r="FL324">
            <v>398</v>
          </cell>
          <cell r="FM324">
            <v>0</v>
          </cell>
          <cell r="FN324">
            <v>4980.5</v>
          </cell>
          <cell r="FO324">
            <v>0</v>
          </cell>
          <cell r="FP324">
            <v>20711</v>
          </cell>
          <cell r="FQ324">
            <v>0</v>
          </cell>
          <cell r="FR324">
            <v>20711</v>
          </cell>
          <cell r="FS324">
            <v>0</v>
          </cell>
          <cell r="FT324">
            <v>48234.092911710046</v>
          </cell>
          <cell r="FU324">
            <v>0</v>
          </cell>
          <cell r="FV324">
            <v>48234.092911710046</v>
          </cell>
          <cell r="FW324" t="str">
            <v>Total Taxes</v>
          </cell>
          <cell r="FX324">
            <v>4980.5</v>
          </cell>
          <cell r="FY324">
            <v>20711</v>
          </cell>
          <cell r="FZ324">
            <v>18203</v>
          </cell>
          <cell r="GA324">
            <v>43894.5</v>
          </cell>
          <cell r="GB324">
            <v>52229.220466626575</v>
          </cell>
          <cell r="GC324">
            <v>4339.5929117100459</v>
          </cell>
          <cell r="GD324">
            <v>4499.5593761304517</v>
          </cell>
          <cell r="GE324">
            <v>4339.5929117100459</v>
          </cell>
          <cell r="GF324">
            <v>3.008162678487849</v>
          </cell>
          <cell r="GG324">
            <v>43398.803937654775</v>
          </cell>
          <cell r="GH324">
            <v>0</v>
          </cell>
        </row>
        <row r="325">
          <cell r="AD325">
            <v>0</v>
          </cell>
          <cell r="AT325">
            <v>0</v>
          </cell>
          <cell r="CD325">
            <v>0</v>
          </cell>
          <cell r="CQ325">
            <v>0</v>
          </cell>
          <cell r="CT325">
            <v>0</v>
          </cell>
          <cell r="CU325">
            <v>0</v>
          </cell>
          <cell r="FN325">
            <v>0</v>
          </cell>
          <cell r="FS325">
            <v>0</v>
          </cell>
          <cell r="FX325">
            <v>0</v>
          </cell>
          <cell r="FY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 t="e">
            <v>#DIV/0!</v>
          </cell>
          <cell r="GH325">
            <v>0</v>
          </cell>
        </row>
        <row r="326">
          <cell r="A326" t="str">
            <v xml:space="preserve">MIN.INT.IN P.RESULTS </v>
          </cell>
          <cell r="I326">
            <v>0</v>
          </cell>
          <cell r="O326">
            <v>-20</v>
          </cell>
          <cell r="U326">
            <v>0</v>
          </cell>
          <cell r="AB326">
            <v>71</v>
          </cell>
          <cell r="AD326">
            <v>71</v>
          </cell>
          <cell r="AH326">
            <v>0</v>
          </cell>
          <cell r="AJ326">
            <v>0</v>
          </cell>
          <cell r="AL326">
            <v>0</v>
          </cell>
          <cell r="AN326">
            <v>3502</v>
          </cell>
          <cell r="AP326">
            <v>3502</v>
          </cell>
          <cell r="AT326">
            <v>3553</v>
          </cell>
          <cell r="AV326">
            <v>10596</v>
          </cell>
          <cell r="AX326">
            <v>14149</v>
          </cell>
          <cell r="AZ326" t="str">
            <v xml:space="preserve">MIN.INT.IN P.RESULTS </v>
          </cell>
          <cell r="BI326">
            <v>0</v>
          </cell>
          <cell r="BO326">
            <v>-85.5</v>
          </cell>
          <cell r="BU326">
            <v>0</v>
          </cell>
          <cell r="CB326">
            <v>185</v>
          </cell>
          <cell r="CD326">
            <v>185</v>
          </cell>
          <cell r="CH326">
            <v>0</v>
          </cell>
          <cell r="CJ326">
            <v>0</v>
          </cell>
          <cell r="CL326">
            <v>0</v>
          </cell>
          <cell r="CN326">
            <v>10867</v>
          </cell>
          <cell r="CP326">
            <v>10867</v>
          </cell>
          <cell r="CQ326">
            <v>0</v>
          </cell>
          <cell r="CT326">
            <v>10966.5</v>
          </cell>
          <cell r="CU326">
            <v>0</v>
          </cell>
          <cell r="CV326">
            <v>18799</v>
          </cell>
          <cell r="CX326">
            <v>29765.5</v>
          </cell>
          <cell r="FH326">
            <v>-84</v>
          </cell>
          <cell r="FM326">
            <v>235</v>
          </cell>
          <cell r="FN326">
            <v>235</v>
          </cell>
          <cell r="FO326">
            <v>0</v>
          </cell>
          <cell r="FP326">
            <v>0</v>
          </cell>
          <cell r="FQ326">
            <v>11813</v>
          </cell>
          <cell r="FR326">
            <v>11813</v>
          </cell>
          <cell r="FS326">
            <v>0</v>
          </cell>
          <cell r="FT326">
            <v>11964</v>
          </cell>
          <cell r="FU326">
            <v>27632.611900000007</v>
          </cell>
          <cell r="FV326">
            <v>39596.611900000004</v>
          </cell>
          <cell r="FW326" t="str">
            <v xml:space="preserve">MIN.INT.IN P.RESULTS </v>
          </cell>
          <cell r="FX326">
            <v>235</v>
          </cell>
          <cell r="FY326">
            <v>11813</v>
          </cell>
          <cell r="FZ326">
            <v>27674.913100000009</v>
          </cell>
          <cell r="GA326">
            <v>39722.913100000005</v>
          </cell>
          <cell r="GB326">
            <v>40255.577539043894</v>
          </cell>
          <cell r="GC326">
            <v>-126.3012000000017</v>
          </cell>
          <cell r="GD326">
            <v>-127.99483605532343</v>
          </cell>
          <cell r="GE326">
            <v>-126.3012000000017</v>
          </cell>
          <cell r="GF326">
            <v>2.7985449077673334</v>
          </cell>
          <cell r="GG326">
            <v>38553.507049408297</v>
          </cell>
          <cell r="GH326">
            <v>0</v>
          </cell>
        </row>
        <row r="327">
          <cell r="A327" t="str">
            <v>PROVISION for losses on other investments</v>
          </cell>
          <cell r="E327">
            <v>0</v>
          </cell>
          <cell r="G327">
            <v>0</v>
          </cell>
          <cell r="I327">
            <v>0</v>
          </cell>
          <cell r="M327">
            <v>0</v>
          </cell>
          <cell r="AT327">
            <v>0</v>
          </cell>
          <cell r="AX327">
            <v>0</v>
          </cell>
          <cell r="AZ327" t="str">
            <v>PROVISION for losses on other investments</v>
          </cell>
          <cell r="BG327">
            <v>0</v>
          </cell>
          <cell r="BI327">
            <v>0</v>
          </cell>
          <cell r="CD327">
            <v>0</v>
          </cell>
          <cell r="CQ327">
            <v>0</v>
          </cell>
          <cell r="CT327">
            <v>0</v>
          </cell>
          <cell r="CU327">
            <v>0</v>
          </cell>
          <cell r="CX327">
            <v>0</v>
          </cell>
          <cell r="FG327">
            <v>0</v>
          </cell>
          <cell r="FS327">
            <v>0</v>
          </cell>
          <cell r="FT327">
            <v>0</v>
          </cell>
          <cell r="FV327">
            <v>0</v>
          </cell>
          <cell r="FW327" t="str">
            <v>PROVISION for losses on other investments</v>
          </cell>
          <cell r="FX327">
            <v>0</v>
          </cell>
          <cell r="FY327">
            <v>0</v>
          </cell>
          <cell r="GA327">
            <v>0</v>
          </cell>
          <cell r="GB327">
            <v>0</v>
          </cell>
          <cell r="GC327">
            <v>0</v>
          </cell>
          <cell r="GD327">
            <v>0</v>
          </cell>
          <cell r="GE327">
            <v>0</v>
          </cell>
          <cell r="GF327" t="e">
            <v>#DIV/0!</v>
          </cell>
          <cell r="GG327">
            <v>0</v>
          </cell>
          <cell r="GH327">
            <v>0</v>
          </cell>
        </row>
        <row r="328">
          <cell r="A328" t="str">
            <v>EQUITY profit</v>
          </cell>
          <cell r="C328">
            <v>-14585.843999999999</v>
          </cell>
          <cell r="G328">
            <v>-4394.7905096153845</v>
          </cell>
          <cell r="I328">
            <v>-18980.634509615382</v>
          </cell>
          <cell r="M328">
            <v>0</v>
          </cell>
          <cell r="Q328">
            <v>916.93718461538447</v>
          </cell>
          <cell r="U328">
            <v>916.93718461538447</v>
          </cell>
          <cell r="W328">
            <v>-598</v>
          </cell>
          <cell r="X328">
            <v>253</v>
          </cell>
          <cell r="AB328">
            <v>165</v>
          </cell>
          <cell r="AD328">
            <v>736.93718461538447</v>
          </cell>
          <cell r="AF328">
            <v>44.587999999999994</v>
          </cell>
          <cell r="AH328">
            <v>-7257</v>
          </cell>
          <cell r="AJ328">
            <v>-7212.4120000000003</v>
          </cell>
          <cell r="AL328">
            <v>0</v>
          </cell>
          <cell r="AN328">
            <v>7212.4120000000003</v>
          </cell>
          <cell r="AP328">
            <v>0</v>
          </cell>
          <cell r="AT328">
            <v>-18243.697324999997</v>
          </cell>
          <cell r="AV328">
            <v>23915.480509615383</v>
          </cell>
          <cell r="AX328">
            <v>5671.7831846153858</v>
          </cell>
          <cell r="AZ328" t="str">
            <v>EQUITY profit</v>
          </cell>
          <cell r="BC328">
            <v>-21103.220999999998</v>
          </cell>
          <cell r="BE328">
            <v>0</v>
          </cell>
          <cell r="BG328">
            <v>7606.4459999999999</v>
          </cell>
          <cell r="BI328">
            <v>-13496.774999999998</v>
          </cell>
          <cell r="BQ328">
            <v>6114.8050000000003</v>
          </cell>
          <cell r="BS328">
            <v>571</v>
          </cell>
          <cell r="BU328">
            <v>6685.8050000000003</v>
          </cell>
          <cell r="BW328">
            <v>-5272.5</v>
          </cell>
          <cell r="BX328">
            <v>1194</v>
          </cell>
          <cell r="CB328">
            <v>436</v>
          </cell>
          <cell r="CD328">
            <v>3043.3050000000003</v>
          </cell>
          <cell r="CF328">
            <v>103.188</v>
          </cell>
          <cell r="CH328">
            <v>-22520.205999999998</v>
          </cell>
          <cell r="CJ328">
            <v>-22417.018</v>
          </cell>
          <cell r="CN328">
            <v>22417.205999999998</v>
          </cell>
          <cell r="CP328">
            <v>0.18799999999828287</v>
          </cell>
          <cell r="CQ328">
            <v>0</v>
          </cell>
          <cell r="CR328">
            <v>0</v>
          </cell>
          <cell r="CT328">
            <v>-10453.281999999999</v>
          </cell>
          <cell r="CU328">
            <v>0</v>
          </cell>
          <cell r="CV328">
            <v>43266.383999999998</v>
          </cell>
          <cell r="CX328">
            <v>32813.101999999999</v>
          </cell>
          <cell r="FC328">
            <v>-36973.22</v>
          </cell>
          <cell r="FD328">
            <v>0</v>
          </cell>
          <cell r="FE328">
            <v>224.10099999999937</v>
          </cell>
          <cell r="FF328">
            <v>-36749.118999999992</v>
          </cell>
          <cell r="FG328">
            <v>0</v>
          </cell>
          <cell r="FI328">
            <v>5559.44</v>
          </cell>
          <cell r="FJ328">
            <v>-4409</v>
          </cell>
          <cell r="FK328">
            <v>3062</v>
          </cell>
          <cell r="FM328">
            <v>546</v>
          </cell>
          <cell r="FN328">
            <v>4758.4399999999996</v>
          </cell>
          <cell r="FO328">
            <v>-24283.595218999999</v>
          </cell>
          <cell r="FP328">
            <v>0</v>
          </cell>
          <cell r="FQ328">
            <v>24283.595218999999</v>
          </cell>
          <cell r="FR328">
            <v>0</v>
          </cell>
          <cell r="FS328">
            <v>0</v>
          </cell>
          <cell r="FT328">
            <v>-31990.678999999993</v>
          </cell>
          <cell r="FU328">
            <v>62028.164600000004</v>
          </cell>
          <cell r="FV328">
            <v>30037.485600000011</v>
          </cell>
          <cell r="FW328" t="str">
            <v>EQUITY profit</v>
          </cell>
          <cell r="FX328">
            <v>4758.4399999999996</v>
          </cell>
          <cell r="FY328">
            <v>0</v>
          </cell>
          <cell r="GA328">
            <v>4758.4399999999996</v>
          </cell>
          <cell r="GB328">
            <v>4822.2483054720369</v>
          </cell>
          <cell r="GC328">
            <v>25279.045600000012</v>
          </cell>
          <cell r="GD328">
            <v>25618.024984774514</v>
          </cell>
          <cell r="GE328">
            <v>25279.045600000012</v>
          </cell>
          <cell r="GF328">
            <v>5.2959509597398178</v>
          </cell>
          <cell r="GG328">
            <v>31858.839444541212</v>
          </cell>
          <cell r="GH328">
            <v>0</v>
          </cell>
        </row>
        <row r="329">
          <cell r="A329" t="str">
            <v>profit FOR THE PERIOD</v>
          </cell>
          <cell r="C329">
            <v>-19834.165000000001</v>
          </cell>
          <cell r="E329">
            <v>-900.26299999999992</v>
          </cell>
          <cell r="G329">
            <v>3596.6195138175572</v>
          </cell>
          <cell r="I329">
            <v>-17137.808486182439</v>
          </cell>
          <cell r="M329">
            <v>-243.03250961538447</v>
          </cell>
          <cell r="O329">
            <v>67.5</v>
          </cell>
          <cell r="Q329">
            <v>-26021.178815384614</v>
          </cell>
          <cell r="S329">
            <v>202.167</v>
          </cell>
          <cell r="U329">
            <v>-25819.01181538462</v>
          </cell>
          <cell r="W329">
            <v>2415</v>
          </cell>
          <cell r="X329">
            <v>-2414.5</v>
          </cell>
          <cell r="Z329">
            <v>-236.24830769230772</v>
          </cell>
          <cell r="AB329">
            <v>236</v>
          </cell>
          <cell r="AD329">
            <v>-25819.760123076943</v>
          </cell>
          <cell r="AF329">
            <v>20.888999999999996</v>
          </cell>
          <cell r="AH329">
            <v>-7257</v>
          </cell>
          <cell r="AJ329">
            <v>-7236.1109999999999</v>
          </cell>
          <cell r="AL329">
            <v>-10759.302999999996</v>
          </cell>
          <cell r="AN329">
            <v>10759</v>
          </cell>
          <cell r="AP329">
            <v>-7236.413999999997</v>
          </cell>
          <cell r="AR329">
            <v>-1446.8339999999998</v>
          </cell>
          <cell r="AT329">
            <v>-51816.349118874787</v>
          </cell>
          <cell r="AV329">
            <v>34678.532509615383</v>
          </cell>
          <cell r="AX329">
            <v>-17137.81660925936</v>
          </cell>
          <cell r="AZ329" t="str">
            <v>profit FOR THE PERIOD</v>
          </cell>
          <cell r="BC329">
            <v>-32007.190129999995</v>
          </cell>
          <cell r="BE329">
            <v>-6478.8509999999997</v>
          </cell>
          <cell r="BG329">
            <v>15719.503536415281</v>
          </cell>
          <cell r="BI329">
            <v>-22766.537593584719</v>
          </cell>
          <cell r="BM329">
            <v>-1033.9669999999996</v>
          </cell>
          <cell r="BO329">
            <v>-2343.7750000000001</v>
          </cell>
          <cell r="BQ329">
            <v>-43468.535000000011</v>
          </cell>
          <cell r="BS329">
            <v>0</v>
          </cell>
          <cell r="BU329">
            <v>-43468.535000000011</v>
          </cell>
          <cell r="BW329">
            <v>9326.5</v>
          </cell>
          <cell r="BX329">
            <v>-9326.5</v>
          </cell>
          <cell r="BZ329">
            <v>-615.11900000000117</v>
          </cell>
          <cell r="CB329">
            <v>621</v>
          </cell>
          <cell r="CD329">
            <v>-43462.65400000001</v>
          </cell>
          <cell r="CF329">
            <v>234.655</v>
          </cell>
          <cell r="CH329">
            <v>-22520.205999999998</v>
          </cell>
          <cell r="CJ329">
            <v>-22285.550999999999</v>
          </cell>
          <cell r="CL329">
            <v>-33387</v>
          </cell>
          <cell r="CN329">
            <v>33387.205999999998</v>
          </cell>
          <cell r="CP329">
            <v>-22285.344999999998</v>
          </cell>
          <cell r="CQ329">
            <v>0</v>
          </cell>
          <cell r="CR329">
            <v>6482.66</v>
          </cell>
          <cell r="CT329">
            <v>-85409.800593584718</v>
          </cell>
          <cell r="CU329">
            <v>0.18200000000069849</v>
          </cell>
          <cell r="CV329">
            <v>62647.542000000009</v>
          </cell>
          <cell r="CX329">
            <v>-22762.258593584687</v>
          </cell>
          <cell r="FC329">
            <v>-62336.001999999993</v>
          </cell>
          <cell r="FD329">
            <v>-1023.9667266</v>
          </cell>
          <cell r="FE329">
            <v>22649.880226255285</v>
          </cell>
          <cell r="FF329">
            <v>-40710.088500344704</v>
          </cell>
          <cell r="FG329">
            <v>-1009.8980000000006</v>
          </cell>
          <cell r="FH329">
            <v>-603</v>
          </cell>
          <cell r="FI329">
            <v>-64587.78099999993</v>
          </cell>
          <cell r="FJ329">
            <v>7024</v>
          </cell>
          <cell r="FK329">
            <v>-7024</v>
          </cell>
          <cell r="FL329">
            <v>-780.8139999999994</v>
          </cell>
          <cell r="FM329">
            <v>781</v>
          </cell>
          <cell r="FN329">
            <v>-64587.595000000016</v>
          </cell>
          <cell r="FO329">
            <v>-24264.115218999999</v>
          </cell>
          <cell r="FP329">
            <v>-36291.262000000002</v>
          </cell>
          <cell r="FQ329">
            <v>36290.595218999995</v>
          </cell>
          <cell r="FR329">
            <v>-24264.782000000007</v>
          </cell>
          <cell r="FS329">
            <v>141.00399999999991</v>
          </cell>
          <cell r="FT329">
            <v>-131034.35950034461</v>
          </cell>
          <cell r="FU329">
            <v>90324.954500000007</v>
          </cell>
          <cell r="FV329">
            <v>-40709.405000344588</v>
          </cell>
          <cell r="FW329" t="str">
            <v>profit FOR THE PERIOD</v>
          </cell>
          <cell r="FX329">
            <v>-64587.595000000016</v>
          </cell>
          <cell r="FY329">
            <v>-24264.782000000007</v>
          </cell>
          <cell r="FZ329">
            <v>45877.476255000001</v>
          </cell>
          <cell r="GA329">
            <v>-42974.900744999934</v>
          </cell>
          <cell r="GB329">
            <v>-43551.172715302695</v>
          </cell>
          <cell r="GC329">
            <v>2265.4957446553053</v>
          </cell>
          <cell r="GD329">
            <v>2295.8749118867022</v>
          </cell>
          <cell r="GE329">
            <v>2265.4957446553453</v>
          </cell>
          <cell r="GF329">
            <v>2.3754137372639277</v>
          </cell>
          <cell r="GG329">
            <v>-23267.573073637159</v>
          </cell>
          <cell r="GH329">
            <v>0</v>
          </cell>
        </row>
        <row r="330">
          <cell r="A330" t="str">
            <v>DIVIDEND</v>
          </cell>
          <cell r="E330">
            <v>0</v>
          </cell>
          <cell r="G330">
            <v>0</v>
          </cell>
          <cell r="I330">
            <v>0</v>
          </cell>
          <cell r="O330">
            <v>0</v>
          </cell>
          <cell r="Q330">
            <v>0</v>
          </cell>
          <cell r="S330">
            <v>0</v>
          </cell>
          <cell r="U330">
            <v>0</v>
          </cell>
          <cell r="AD330">
            <v>0</v>
          </cell>
          <cell r="AH330">
            <v>4927.4849999999997</v>
          </cell>
          <cell r="AJ330">
            <v>4927.4849999999997</v>
          </cell>
          <cell r="AL330">
            <v>7305.3890000000001</v>
          </cell>
          <cell r="AN330">
            <v>-7305.3890000000001</v>
          </cell>
          <cell r="AP330">
            <v>4927.4849999999997</v>
          </cell>
          <cell r="AR330">
            <v>0</v>
          </cell>
          <cell r="AT330">
            <v>4927.4849999999997</v>
          </cell>
          <cell r="AV330">
            <v>-4927.4849999999997</v>
          </cell>
          <cell r="AX330">
            <v>0</v>
          </cell>
          <cell r="AZ330" t="str">
            <v>DIVIDEND</v>
          </cell>
          <cell r="BC330">
            <v>0</v>
          </cell>
          <cell r="BE330">
            <v>0</v>
          </cell>
          <cell r="BG330">
            <v>0</v>
          </cell>
          <cell r="BI330">
            <v>0</v>
          </cell>
          <cell r="BO330">
            <v>0</v>
          </cell>
          <cell r="BQ330">
            <v>0</v>
          </cell>
          <cell r="BS330">
            <v>0</v>
          </cell>
          <cell r="BU330">
            <v>0</v>
          </cell>
          <cell r="CB330">
            <v>0</v>
          </cell>
          <cell r="CD330">
            <v>0</v>
          </cell>
          <cell r="CH330">
            <v>20572</v>
          </cell>
          <cell r="CJ330">
            <v>20572</v>
          </cell>
          <cell r="CL330">
            <v>30500</v>
          </cell>
          <cell r="CN330">
            <v>-30500</v>
          </cell>
          <cell r="CP330">
            <v>20572</v>
          </cell>
          <cell r="CQ330">
            <v>0</v>
          </cell>
          <cell r="CR330">
            <v>0</v>
          </cell>
          <cell r="CT330">
            <v>20572</v>
          </cell>
          <cell r="CU330">
            <v>0</v>
          </cell>
          <cell r="CV330">
            <v>-20572</v>
          </cell>
          <cell r="CX330">
            <v>0</v>
          </cell>
          <cell r="FC330">
            <v>0</v>
          </cell>
          <cell r="FE330">
            <v>0</v>
          </cell>
          <cell r="FO330">
            <v>20572</v>
          </cell>
          <cell r="FP330">
            <v>30500</v>
          </cell>
          <cell r="FQ330">
            <v>-30500</v>
          </cell>
          <cell r="FR330">
            <v>20572</v>
          </cell>
          <cell r="FS330">
            <v>0</v>
          </cell>
          <cell r="FT330">
            <v>20572</v>
          </cell>
          <cell r="FU330">
            <v>-20572</v>
          </cell>
          <cell r="FV330">
            <v>0</v>
          </cell>
          <cell r="FW330" t="str">
            <v>DIVIDEND</v>
          </cell>
          <cell r="FX330">
            <v>0</v>
          </cell>
          <cell r="FY330">
            <v>20572</v>
          </cell>
          <cell r="GA330">
            <v>20572</v>
          </cell>
          <cell r="GB330">
            <v>20847.860252555623</v>
          </cell>
          <cell r="GC330">
            <v>0</v>
          </cell>
          <cell r="GD330">
            <v>0</v>
          </cell>
          <cell r="GE330">
            <v>-20572</v>
          </cell>
          <cell r="GF330" t="e">
            <v>#DIV/0!</v>
          </cell>
          <cell r="GG330">
            <v>105316.38551992163</v>
          </cell>
          <cell r="GH330">
            <v>0</v>
          </cell>
        </row>
        <row r="331">
          <cell r="A331" t="str">
            <v>profit AT BEG.OF PERIOD</v>
          </cell>
          <cell r="C331">
            <v>-4484.8019999999997</v>
          </cell>
          <cell r="E331">
            <v>-17308.024000000001</v>
          </cell>
          <cell r="G331">
            <v>0</v>
          </cell>
          <cell r="I331">
            <v>-21792.826000000001</v>
          </cell>
          <cell r="O331">
            <v>-1047</v>
          </cell>
          <cell r="Q331">
            <v>-48335</v>
          </cell>
          <cell r="U331">
            <v>-48335</v>
          </cell>
          <cell r="W331">
            <v>-1982</v>
          </cell>
          <cell r="X331">
            <v>1982</v>
          </cell>
          <cell r="Z331">
            <v>-171</v>
          </cell>
          <cell r="AB331">
            <v>171</v>
          </cell>
          <cell r="AD331">
            <v>-48335</v>
          </cell>
          <cell r="AF331">
            <v>-8383.8230000000003</v>
          </cell>
          <cell r="AH331">
            <v>0</v>
          </cell>
          <cell r="AJ331">
            <v>-8383.8230000000003</v>
          </cell>
          <cell r="AL331">
            <v>-12707</v>
          </cell>
          <cell r="AN331">
            <v>12707</v>
          </cell>
          <cell r="AP331">
            <v>-8383.8230000000003</v>
          </cell>
          <cell r="AR331">
            <v>355.00665158371038</v>
          </cell>
          <cell r="AT331">
            <v>-79203.642348416295</v>
          </cell>
          <cell r="AV331">
            <v>57410.816348416294</v>
          </cell>
          <cell r="AX331">
            <v>-21792.826000000001</v>
          </cell>
          <cell r="AZ331" t="str">
            <v>profit AT BEG.OF PERIOD</v>
          </cell>
          <cell r="BC331">
            <v>34143.971000000005</v>
          </cell>
          <cell r="BE331">
            <v>-60928.79</v>
          </cell>
          <cell r="BI331">
            <v>-26784.818999999996</v>
          </cell>
          <cell r="BO331">
            <v>-3193</v>
          </cell>
          <cell r="BQ331">
            <v>-142662</v>
          </cell>
          <cell r="BS331">
            <v>0</v>
          </cell>
          <cell r="BU331">
            <v>-142662</v>
          </cell>
          <cell r="BW331">
            <v>-25785</v>
          </cell>
          <cell r="BX331">
            <v>25785</v>
          </cell>
          <cell r="BZ331">
            <v>-147</v>
          </cell>
          <cell r="CB331">
            <v>147</v>
          </cell>
          <cell r="CD331">
            <v>-142662</v>
          </cell>
          <cell r="CF331">
            <v>-4038.6370000000002</v>
          </cell>
          <cell r="CH331">
            <v>0</v>
          </cell>
          <cell r="CJ331">
            <v>-4038.6370000000002</v>
          </cell>
          <cell r="CL331">
            <v>-7289</v>
          </cell>
          <cell r="CN331">
            <v>7289</v>
          </cell>
          <cell r="CP331">
            <v>-4038.6370000000002</v>
          </cell>
          <cell r="CQ331">
            <v>0</v>
          </cell>
          <cell r="CR331">
            <v>2845.42</v>
          </cell>
          <cell r="CT331">
            <v>-173833.03599999996</v>
          </cell>
          <cell r="CU331">
            <v>0</v>
          </cell>
          <cell r="CV331">
            <v>147048.217</v>
          </cell>
          <cell r="CX331">
            <v>-26784.818999999959</v>
          </cell>
          <cell r="FC331">
            <v>-32416.619000000006</v>
          </cell>
          <cell r="FD331">
            <v>-66383.893745399997</v>
          </cell>
          <cell r="FE331">
            <v>-214</v>
          </cell>
          <cell r="FF331">
            <v>-99014.512745400003</v>
          </cell>
          <cell r="FH331">
            <v>-4184</v>
          </cell>
          <cell r="FI331">
            <v>-196454.8</v>
          </cell>
          <cell r="FJ331">
            <v>-6854</v>
          </cell>
          <cell r="FK331">
            <v>6854</v>
          </cell>
          <cell r="FL331">
            <v>-623</v>
          </cell>
          <cell r="FM331">
            <v>623</v>
          </cell>
          <cell r="FN331">
            <v>-196454.8</v>
          </cell>
          <cell r="FO331">
            <v>-41473.955999999998</v>
          </cell>
          <cell r="FP331">
            <v>-62401</v>
          </cell>
          <cell r="FQ331">
            <v>62401</v>
          </cell>
          <cell r="FR331">
            <v>-41473.955999999998</v>
          </cell>
          <cell r="FS331">
            <v>3004.0590000000002</v>
          </cell>
          <cell r="FT331">
            <v>-338123.2097454</v>
          </cell>
          <cell r="FU331">
            <v>239108.69699999999</v>
          </cell>
          <cell r="FV331">
            <v>-99014.512745400018</v>
          </cell>
          <cell r="FW331" t="str">
            <v>profit AT BEG.OF PERIOD</v>
          </cell>
          <cell r="FX331">
            <v>-196454.8</v>
          </cell>
          <cell r="FY331">
            <v>-41473.955999999998</v>
          </cell>
          <cell r="GA331">
            <v>-237928.75599999999</v>
          </cell>
          <cell r="GB331">
            <v>-241119.26186818996</v>
          </cell>
          <cell r="GC331">
            <v>-99014.512745400018</v>
          </cell>
          <cell r="GD331">
            <v>-100342.24794336899</v>
          </cell>
          <cell r="GE331">
            <v>138914.24325459998</v>
          </cell>
          <cell r="GF331">
            <v>4.5434452945845578</v>
          </cell>
          <cell r="GG331">
            <v>-181066.42999538328</v>
          </cell>
          <cell r="GH331">
            <v>0</v>
          </cell>
        </row>
        <row r="332">
          <cell r="A332" t="str">
            <v>Discontinued operation</v>
          </cell>
          <cell r="FZ332">
            <v>-45877.913100000005</v>
          </cell>
          <cell r="GA332">
            <v>-45877.913100000005</v>
          </cell>
          <cell r="GB332">
            <v>-46493.113017095609</v>
          </cell>
          <cell r="GC332">
            <v>-42974.900744999934</v>
          </cell>
          <cell r="GD332">
            <v>-43551.172715302695</v>
          </cell>
        </row>
        <row r="333">
          <cell r="A333" t="str">
            <v>(PROF)LOSS AT END OF PERIOD</v>
          </cell>
          <cell r="B333">
            <v>0</v>
          </cell>
          <cell r="C333">
            <v>-24318.967000000001</v>
          </cell>
          <cell r="D333">
            <v>0</v>
          </cell>
          <cell r="E333">
            <v>-18208.287</v>
          </cell>
          <cell r="F333">
            <v>0</v>
          </cell>
          <cell r="G333">
            <v>3596.6195138175572</v>
          </cell>
          <cell r="H333">
            <v>0</v>
          </cell>
          <cell r="I333">
            <v>-38930.63448618244</v>
          </cell>
          <cell r="J333">
            <v>0</v>
          </cell>
          <cell r="K333">
            <v>0</v>
          </cell>
          <cell r="L333">
            <v>0</v>
          </cell>
          <cell r="M333">
            <v>-243.03250961538447</v>
          </cell>
          <cell r="N333">
            <v>0</v>
          </cell>
          <cell r="O333">
            <v>-979.5</v>
          </cell>
          <cell r="P333">
            <v>0</v>
          </cell>
          <cell r="Q333">
            <v>-74356.178815384614</v>
          </cell>
          <cell r="R333">
            <v>0</v>
          </cell>
          <cell r="S333">
            <v>202.167</v>
          </cell>
          <cell r="T333">
            <v>0</v>
          </cell>
          <cell r="U333">
            <v>-74154.011815384612</v>
          </cell>
          <cell r="V333">
            <v>0</v>
          </cell>
          <cell r="W333">
            <v>433</v>
          </cell>
          <cell r="X333">
            <v>-432.5</v>
          </cell>
          <cell r="Y333">
            <v>0</v>
          </cell>
          <cell r="Z333">
            <v>-407.24830769230772</v>
          </cell>
          <cell r="AA333">
            <v>0</v>
          </cell>
          <cell r="AB333">
            <v>407</v>
          </cell>
          <cell r="AC333">
            <v>0</v>
          </cell>
          <cell r="AD333">
            <v>-74154.760123076936</v>
          </cell>
          <cell r="AE333">
            <v>0</v>
          </cell>
          <cell r="AF333">
            <v>-8362.9340000000011</v>
          </cell>
          <cell r="AG333">
            <v>0</v>
          </cell>
          <cell r="AH333">
            <v>-2329.5149999999999</v>
          </cell>
          <cell r="AI333">
            <v>0</v>
          </cell>
          <cell r="AJ333">
            <v>-10692.449000000001</v>
          </cell>
          <cell r="AK333">
            <v>0</v>
          </cell>
          <cell r="AL333">
            <v>-16160.913999999997</v>
          </cell>
          <cell r="AM333">
            <v>0</v>
          </cell>
          <cell r="AN333">
            <v>16160.611000000001</v>
          </cell>
          <cell r="AO333">
            <v>0</v>
          </cell>
          <cell r="AP333">
            <v>-10692.751999999997</v>
          </cell>
          <cell r="AQ333">
            <v>0</v>
          </cell>
          <cell r="AR333">
            <v>-1091.8273484162894</v>
          </cell>
          <cell r="AS333">
            <v>0</v>
          </cell>
          <cell r="AT333">
            <v>-126092.50646729108</v>
          </cell>
          <cell r="AU333">
            <v>0</v>
          </cell>
          <cell r="AV333">
            <v>87161.863858031677</v>
          </cell>
          <cell r="AW333">
            <v>0</v>
          </cell>
          <cell r="AX333">
            <v>-38930.642609259361</v>
          </cell>
          <cell r="AZ333">
            <v>0</v>
          </cell>
          <cell r="BA333">
            <v>0</v>
          </cell>
          <cell r="BB333">
            <v>0</v>
          </cell>
          <cell r="BC333">
            <v>2136.7808700000096</v>
          </cell>
          <cell r="BD333">
            <v>0</v>
          </cell>
          <cell r="BE333">
            <v>-67407.641000000003</v>
          </cell>
          <cell r="BF333">
            <v>0</v>
          </cell>
          <cell r="BG333">
            <v>15719.503536415281</v>
          </cell>
          <cell r="BH333">
            <v>0</v>
          </cell>
          <cell r="BI333">
            <v>-49551.356593584715</v>
          </cell>
          <cell r="BJ333">
            <v>0</v>
          </cell>
          <cell r="BK333">
            <v>0</v>
          </cell>
          <cell r="BL333">
            <v>0</v>
          </cell>
          <cell r="BM333">
            <v>-1033.9669999999996</v>
          </cell>
          <cell r="BN333">
            <v>0</v>
          </cell>
          <cell r="BO333">
            <v>-5536.7749999999996</v>
          </cell>
          <cell r="BP333">
            <v>0</v>
          </cell>
          <cell r="BQ333">
            <v>-186130.535</v>
          </cell>
          <cell r="BR333">
            <v>0</v>
          </cell>
          <cell r="BS333">
            <v>0</v>
          </cell>
          <cell r="BT333">
            <v>0</v>
          </cell>
          <cell r="BU333">
            <v>-186130.535</v>
          </cell>
          <cell r="BV333">
            <v>0</v>
          </cell>
          <cell r="BW333">
            <v>-16458.5</v>
          </cell>
          <cell r="BX333">
            <v>16458.5</v>
          </cell>
          <cell r="BY333">
            <v>0</v>
          </cell>
          <cell r="BZ333">
            <v>-762.11900000000117</v>
          </cell>
          <cell r="CA333">
            <v>0</v>
          </cell>
          <cell r="CB333">
            <v>768</v>
          </cell>
          <cell r="CC333">
            <v>0</v>
          </cell>
          <cell r="CD333">
            <v>-186124.65400000001</v>
          </cell>
          <cell r="CE333">
            <v>0</v>
          </cell>
          <cell r="CF333">
            <v>-3803.982</v>
          </cell>
          <cell r="CG333">
            <v>0</v>
          </cell>
          <cell r="CH333">
            <v>-1948.2059999999983</v>
          </cell>
          <cell r="CI333">
            <v>0</v>
          </cell>
          <cell r="CJ333">
            <v>-5752.1879999999983</v>
          </cell>
          <cell r="CK333">
            <v>0</v>
          </cell>
          <cell r="CL333">
            <v>-10176</v>
          </cell>
          <cell r="CM333">
            <v>0</v>
          </cell>
          <cell r="CN333">
            <v>10176.205999999998</v>
          </cell>
          <cell r="CO333">
            <v>0</v>
          </cell>
          <cell r="CP333">
            <v>-5751.9819999999963</v>
          </cell>
          <cell r="CQ333">
            <v>0</v>
          </cell>
          <cell r="CR333">
            <v>9328.08</v>
          </cell>
          <cell r="CS333">
            <v>0</v>
          </cell>
          <cell r="CT333">
            <v>-238670.83659358468</v>
          </cell>
          <cell r="CU333">
            <v>0.18200000000069849</v>
          </cell>
          <cell r="CV333">
            <v>189123.75900000002</v>
          </cell>
          <cell r="CW333">
            <v>0</v>
          </cell>
          <cell r="CX333">
            <v>-49547.077593584647</v>
          </cell>
          <cell r="FC333">
            <v>-94752.620999999999</v>
          </cell>
          <cell r="FD333">
            <v>-67407.860472</v>
          </cell>
          <cell r="FE333">
            <v>22435.880226255285</v>
          </cell>
          <cell r="FF333">
            <v>-139724.60124574471</v>
          </cell>
          <cell r="FG333">
            <v>-1009.8980000000006</v>
          </cell>
          <cell r="FH333">
            <v>-4787</v>
          </cell>
          <cell r="FI333">
            <v>-261042.58099999992</v>
          </cell>
          <cell r="FJ333">
            <v>170</v>
          </cell>
          <cell r="FK333">
            <v>-170</v>
          </cell>
          <cell r="FL333">
            <v>-1403.8139999999994</v>
          </cell>
          <cell r="FM333">
            <v>1404</v>
          </cell>
          <cell r="FN333">
            <v>-261042.39500000002</v>
          </cell>
          <cell r="FO333">
            <v>-45166.071219000005</v>
          </cell>
          <cell r="FP333">
            <v>-68192.262000000002</v>
          </cell>
          <cell r="FQ333">
            <v>68191.595218999995</v>
          </cell>
          <cell r="FR333">
            <v>-45166.738000000012</v>
          </cell>
          <cell r="FS333">
            <v>3145.0630000000001</v>
          </cell>
          <cell r="FT333">
            <v>-448585.56924574461</v>
          </cell>
          <cell r="FU333">
            <v>308861.65149999998</v>
          </cell>
          <cell r="FV333">
            <v>-139723.91774574461</v>
          </cell>
          <cell r="FW333">
            <v>0</v>
          </cell>
          <cell r="FX333">
            <v>-261042.39500000002</v>
          </cell>
          <cell r="FY333">
            <v>-45166.738000000012</v>
          </cell>
          <cell r="FZ333">
            <v>-0.43684500000381377</v>
          </cell>
          <cell r="GA333">
            <v>-306209.56984499993</v>
          </cell>
          <cell r="GB333">
            <v>-310315.6873480326</v>
          </cell>
          <cell r="GC333">
            <v>-139723.91774574463</v>
          </cell>
          <cell r="GD333">
            <v>-141597.54574678498</v>
          </cell>
          <cell r="GE333">
            <v>120607.73899925532</v>
          </cell>
          <cell r="GF333" t="e">
            <v>#DIV/0!</v>
          </cell>
          <cell r="GG333">
            <v>-99017.617549098795</v>
          </cell>
          <cell r="GH333">
            <v>0</v>
          </cell>
        </row>
        <row r="334">
          <cell r="BG334">
            <v>507.01699999999983</v>
          </cell>
          <cell r="BI334">
            <v>1027.0169999999998</v>
          </cell>
          <cell r="BU334">
            <v>-915.53500000001077</v>
          </cell>
          <cell r="CQ334">
            <v>0</v>
          </cell>
          <cell r="CR334">
            <v>4537.8620000000001</v>
          </cell>
          <cell r="CT334">
            <v>0.18199999997159466</v>
          </cell>
        </row>
        <row r="335">
          <cell r="E335" t="str">
            <v xml:space="preserve">     טל"כ=&gt;</v>
          </cell>
          <cell r="I335">
            <v>0</v>
          </cell>
          <cell r="U335">
            <v>0</v>
          </cell>
          <cell r="AD335">
            <v>1.0000000000145519</v>
          </cell>
          <cell r="AJ335">
            <v>0</v>
          </cell>
          <cell r="AP335">
            <v>0</v>
          </cell>
          <cell r="AT335">
            <v>3.2514435588382185E-11</v>
          </cell>
          <cell r="AX335">
            <v>-8.1230769210378639E-3</v>
          </cell>
          <cell r="BE335" t="str">
            <v xml:space="preserve">     טל"כ=&gt;</v>
          </cell>
          <cell r="BG335">
            <v>-16287.686593584715</v>
          </cell>
          <cell r="BK335">
            <v>1033.9590000000001</v>
          </cell>
          <cell r="BU335">
            <v>-146169</v>
          </cell>
          <cell r="BZ335">
            <v>-212.1</v>
          </cell>
          <cell r="CQ335">
            <v>0</v>
          </cell>
          <cell r="CR335" t="str">
            <v xml:space="preserve"> </v>
          </cell>
          <cell r="CX335">
            <v>4.2790000000677537</v>
          </cell>
        </row>
        <row r="336">
          <cell r="B336" t="str">
            <v>{r 4}+{l 4}-{l 2}~{D}{l 4}</v>
          </cell>
          <cell r="M336" t="str">
            <v>\h</v>
          </cell>
          <cell r="U336" t="str">
            <v>/RV{ESC}{R 3}~~{R}/RV{ESC}{R 3}~~{R 2}+{l 3}+{L 6}~{R}+{L 3}+{L 6}~{D}{L 4}</v>
          </cell>
          <cell r="BQ336" t="str">
            <v xml:space="preserve"> </v>
          </cell>
          <cell r="BU336">
            <v>-139155</v>
          </cell>
          <cell r="BZ336">
            <v>4413.1000000000004</v>
          </cell>
          <cell r="CQ336">
            <v>0</v>
          </cell>
          <cell r="CR336" t="str">
            <v xml:space="preserve"> </v>
          </cell>
        </row>
        <row r="423">
          <cell r="A423" t="str">
            <v>RIVON-ALIS MEUCHAD</v>
          </cell>
          <cell r="AL423" t="str">
            <v>RIVON-ALIS</v>
          </cell>
        </row>
        <row r="424">
          <cell r="C424" t="str">
            <v>1-9/98</v>
          </cell>
          <cell r="E424" t="str">
            <v>1-9/98</v>
          </cell>
          <cell r="G424" t="str">
            <v>1-9/98</v>
          </cell>
          <cell r="I424" t="str">
            <v>10-12/97</v>
          </cell>
          <cell r="M424" t="str">
            <v>10-12/97</v>
          </cell>
          <cell r="Q424" t="str">
            <v>10-12/97</v>
          </cell>
          <cell r="S424" t="str">
            <v>10/97-9/98</v>
          </cell>
          <cell r="U424" t="str">
            <v>10/97-9/98</v>
          </cell>
          <cell r="Z424" t="str">
            <v>10/97-9/98</v>
          </cell>
          <cell r="AB424" t="str">
            <v>10/97-9/98</v>
          </cell>
          <cell r="AD424" t="str">
            <v>1-9/98</v>
          </cell>
          <cell r="AF424" t="str">
            <v>10/97-9/98</v>
          </cell>
          <cell r="AH424" t="str">
            <v>10/97-9/98</v>
          </cell>
          <cell r="AJ424" t="str">
            <v>10/97-9/98</v>
          </cell>
          <cell r="AL424" t="str">
            <v>10/97-9/98</v>
          </cell>
          <cell r="AR424" t="str">
            <v>TOTAL      A.L.I.S.</v>
          </cell>
          <cell r="AV424" t="str">
            <v>CONSOLIDATED</v>
          </cell>
        </row>
        <row r="425">
          <cell r="A425">
            <v>36661.599853703701</v>
          </cell>
          <cell r="C425" t="str">
            <v>A.C.T.V.</v>
          </cell>
          <cell r="E425" t="str">
            <v>A.L.I.S</v>
          </cell>
          <cell r="G425" t="str">
            <v>TOTAL</v>
          </cell>
          <cell r="I425" t="str">
            <v>A.C.T.V.</v>
          </cell>
          <cell r="M425" t="str">
            <v>A.L.I.S</v>
          </cell>
          <cell r="Q425" t="str">
            <v>TOTAL</v>
          </cell>
          <cell r="S425" t="str">
            <v>A.C.T.V.</v>
          </cell>
          <cell r="U425" t="str">
            <v>A.L.I.S</v>
          </cell>
          <cell r="Z425" t="str">
            <v>TOTAL</v>
          </cell>
          <cell r="AB425" t="str">
            <v>Pnai Plus</v>
          </cell>
          <cell r="AD425" t="str">
            <v>נטקום</v>
          </cell>
          <cell r="AF425" t="str">
            <v>G.C.&amp; CO.</v>
          </cell>
          <cell r="AH425" t="str">
            <v>S.S.C.</v>
          </cell>
          <cell r="AJ425" t="str">
            <v>MERCAZ</v>
          </cell>
          <cell r="AL425" t="str">
            <v>TOTAL</v>
          </cell>
          <cell r="AN425">
            <v>36661.599853703701</v>
          </cell>
          <cell r="AR425" t="str">
            <v>1-9/98</v>
          </cell>
          <cell r="AT425" t="str">
            <v>10-12/97</v>
          </cell>
          <cell r="AV425" t="str">
            <v>10/97-9/98</v>
          </cell>
          <cell r="AX425" t="str">
            <v>Check</v>
          </cell>
        </row>
        <row r="426">
          <cell r="A426">
            <v>36661.599853703701</v>
          </cell>
          <cell r="AN426">
            <v>36661.599853703701</v>
          </cell>
        </row>
        <row r="427">
          <cell r="A427" t="str">
            <v>INCOME</v>
          </cell>
          <cell r="C427" t="str">
            <v>000$</v>
          </cell>
          <cell r="E427" t="str">
            <v>000$</v>
          </cell>
          <cell r="G427" t="str">
            <v>000$</v>
          </cell>
          <cell r="I427" t="str">
            <v>000$</v>
          </cell>
          <cell r="M427" t="str">
            <v>000$</v>
          </cell>
          <cell r="Q427" t="str">
            <v>000$</v>
          </cell>
          <cell r="S427" t="str">
            <v>000$</v>
          </cell>
          <cell r="U427" t="str">
            <v>000$</v>
          </cell>
          <cell r="Z427" t="str">
            <v>000$</v>
          </cell>
          <cell r="AB427" t="str">
            <v>000$</v>
          </cell>
          <cell r="AD427" t="str">
            <v>000$</v>
          </cell>
          <cell r="AF427" t="str">
            <v>000$</v>
          </cell>
          <cell r="AH427" t="str">
            <v>000$</v>
          </cell>
          <cell r="AJ427" t="str">
            <v>000$</v>
          </cell>
          <cell r="AL427" t="str">
            <v>000$</v>
          </cell>
          <cell r="AN427" t="str">
            <v>INCOME</v>
          </cell>
          <cell r="AR427" t="str">
            <v>000$</v>
          </cell>
          <cell r="AT427" t="str">
            <v>000$</v>
          </cell>
          <cell r="AV427" t="str">
            <v>000$</v>
          </cell>
        </row>
        <row r="428">
          <cell r="A428" t="str">
            <v>subscribership fees</v>
          </cell>
          <cell r="C428">
            <v>0</v>
          </cell>
          <cell r="E428">
            <v>0</v>
          </cell>
          <cell r="G428">
            <v>0</v>
          </cell>
          <cell r="I428">
            <v>0</v>
          </cell>
          <cell r="M428">
            <v>0</v>
          </cell>
          <cell r="Q428">
            <v>0</v>
          </cell>
          <cell r="S428">
            <v>0</v>
          </cell>
          <cell r="U428">
            <v>0</v>
          </cell>
          <cell r="Z428">
            <v>0</v>
          </cell>
          <cell r="AB428">
            <v>0</v>
          </cell>
          <cell r="AD428">
            <v>0</v>
          </cell>
          <cell r="AF428">
            <v>0</v>
          </cell>
          <cell r="AH428">
            <v>0</v>
          </cell>
          <cell r="AJ428">
            <v>0</v>
          </cell>
          <cell r="AL428">
            <v>0</v>
          </cell>
          <cell r="AN428" t="str">
            <v>subscribership fees</v>
          </cell>
          <cell r="AR428">
            <v>-134757.45000000001</v>
          </cell>
          <cell r="AT428">
            <v>-27217</v>
          </cell>
          <cell r="AV428">
            <v>-161974.45000000001</v>
          </cell>
        </row>
        <row r="429">
          <cell r="A429" t="str">
            <v>installation</v>
          </cell>
          <cell r="C429">
            <v>0</v>
          </cell>
          <cell r="E429">
            <v>0</v>
          </cell>
          <cell r="G429">
            <v>0</v>
          </cell>
          <cell r="I429">
            <v>0</v>
          </cell>
          <cell r="M429">
            <v>0</v>
          </cell>
          <cell r="Q429">
            <v>0</v>
          </cell>
          <cell r="S429">
            <v>0</v>
          </cell>
          <cell r="U429">
            <v>0</v>
          </cell>
          <cell r="Z429">
            <v>0</v>
          </cell>
          <cell r="AB429">
            <v>0</v>
          </cell>
          <cell r="AD429">
            <v>0</v>
          </cell>
          <cell r="AF429">
            <v>0</v>
          </cell>
          <cell r="AH429">
            <v>0</v>
          </cell>
          <cell r="AJ429">
            <v>0</v>
          </cell>
          <cell r="AL429">
            <v>0</v>
          </cell>
          <cell r="AN429" t="str">
            <v>installation</v>
          </cell>
          <cell r="AR429">
            <v>-4511.7450000000008</v>
          </cell>
          <cell r="AT429">
            <v>-2388</v>
          </cell>
          <cell r="AV429">
            <v>-6899.7450000000008</v>
          </cell>
        </row>
        <row r="430">
          <cell r="A430" t="str">
            <v>deposits</v>
          </cell>
          <cell r="C430">
            <v>0</v>
          </cell>
          <cell r="E430">
            <v>0</v>
          </cell>
          <cell r="G430">
            <v>0</v>
          </cell>
          <cell r="I430">
            <v>0</v>
          </cell>
          <cell r="M430">
            <v>0</v>
          </cell>
          <cell r="Q430">
            <v>0</v>
          </cell>
          <cell r="S430">
            <v>0</v>
          </cell>
          <cell r="U430">
            <v>0</v>
          </cell>
          <cell r="Z430">
            <v>0</v>
          </cell>
          <cell r="AB430">
            <v>0</v>
          </cell>
          <cell r="AD430">
            <v>0</v>
          </cell>
          <cell r="AF430">
            <v>0</v>
          </cell>
          <cell r="AH430">
            <v>0</v>
          </cell>
          <cell r="AJ430">
            <v>0</v>
          </cell>
          <cell r="AL430">
            <v>0</v>
          </cell>
          <cell r="AN430" t="str">
            <v>deposits</v>
          </cell>
          <cell r="AR430">
            <v>0</v>
          </cell>
          <cell r="AT430">
            <v>-1771</v>
          </cell>
          <cell r="AV430">
            <v>-1771</v>
          </cell>
        </row>
        <row r="431">
          <cell r="A431" t="str">
            <v>management fees-from GC&amp;co</v>
          </cell>
          <cell r="C431">
            <v>-3399.067</v>
          </cell>
          <cell r="E431">
            <v>0</v>
          </cell>
          <cell r="G431">
            <v>-3399.067</v>
          </cell>
          <cell r="I431">
            <v>-639</v>
          </cell>
          <cell r="M431">
            <v>0</v>
          </cell>
          <cell r="Q431">
            <v>-639</v>
          </cell>
          <cell r="S431">
            <v>-4038.067</v>
          </cell>
          <cell r="U431">
            <v>0</v>
          </cell>
          <cell r="Z431">
            <v>-4038.067</v>
          </cell>
          <cell r="AB431">
            <v>0</v>
          </cell>
          <cell r="AD431">
            <v>0</v>
          </cell>
          <cell r="AF431">
            <v>0</v>
          </cell>
          <cell r="AH431">
            <v>0</v>
          </cell>
          <cell r="AJ431">
            <v>0</v>
          </cell>
          <cell r="AL431">
            <v>-4038.067</v>
          </cell>
          <cell r="AN431" t="str">
            <v>management fees</v>
          </cell>
          <cell r="AR431">
            <v>0</v>
          </cell>
          <cell r="AT431">
            <v>0</v>
          </cell>
          <cell r="AV431">
            <v>0</v>
          </cell>
        </row>
        <row r="432">
          <cell r="A432" t="str">
            <v>management fees-from others</v>
          </cell>
          <cell r="C432">
            <v>-909.452</v>
          </cell>
          <cell r="E432">
            <v>-104.727</v>
          </cell>
          <cell r="G432">
            <v>-1014.179</v>
          </cell>
          <cell r="I432">
            <v>-240</v>
          </cell>
          <cell r="M432">
            <v>0</v>
          </cell>
          <cell r="Q432">
            <v>-240</v>
          </cell>
          <cell r="S432">
            <v>-1149.452</v>
          </cell>
          <cell r="U432">
            <v>-104.727</v>
          </cell>
          <cell r="Z432">
            <v>-1254.1790000000001</v>
          </cell>
          <cell r="AB432">
            <v>0</v>
          </cell>
          <cell r="AD432">
            <v>0</v>
          </cell>
          <cell r="AF432">
            <v>0</v>
          </cell>
          <cell r="AH432">
            <v>0</v>
          </cell>
          <cell r="AJ432">
            <v>0</v>
          </cell>
          <cell r="AL432">
            <v>-1254.1790000000001</v>
          </cell>
          <cell r="AN432" t="str">
            <v>management fees</v>
          </cell>
          <cell r="AR432">
            <v>0</v>
          </cell>
          <cell r="AT432">
            <v>0</v>
          </cell>
          <cell r="AV432">
            <v>0</v>
          </cell>
        </row>
        <row r="433">
          <cell r="A433" t="str">
            <v>other</v>
          </cell>
          <cell r="C433">
            <v>0</v>
          </cell>
          <cell r="E433">
            <v>0</v>
          </cell>
          <cell r="G433">
            <v>0</v>
          </cell>
          <cell r="I433">
            <v>0</v>
          </cell>
          <cell r="M433">
            <v>0</v>
          </cell>
          <cell r="Q433">
            <v>0</v>
          </cell>
          <cell r="S433">
            <v>0</v>
          </cell>
          <cell r="U433">
            <v>0</v>
          </cell>
          <cell r="Z433">
            <v>0</v>
          </cell>
          <cell r="AB433">
            <v>0</v>
          </cell>
          <cell r="AD433">
            <v>-12206</v>
          </cell>
          <cell r="AF433">
            <v>0</v>
          </cell>
          <cell r="AH433">
            <v>0</v>
          </cell>
          <cell r="AJ433">
            <v>0</v>
          </cell>
          <cell r="AL433">
            <v>-12206</v>
          </cell>
          <cell r="AN433" t="str">
            <v>other</v>
          </cell>
          <cell r="AR433">
            <v>-12206</v>
          </cell>
          <cell r="AT433">
            <v>-5539</v>
          </cell>
          <cell r="AV433">
            <v>-17745</v>
          </cell>
        </row>
        <row r="434">
          <cell r="A434" t="str">
            <v>other</v>
          </cell>
          <cell r="AD434">
            <v>0</v>
          </cell>
          <cell r="AL434">
            <v>0</v>
          </cell>
          <cell r="AN434" t="str">
            <v>other</v>
          </cell>
          <cell r="AR434">
            <v>-809.81699999999989</v>
          </cell>
          <cell r="AT434">
            <v>-303</v>
          </cell>
          <cell r="AV434">
            <v>-1112.817</v>
          </cell>
        </row>
        <row r="435">
          <cell r="A435" t="str">
            <v>services</v>
          </cell>
          <cell r="C435">
            <v>0</v>
          </cell>
          <cell r="E435">
            <v>0</v>
          </cell>
          <cell r="G435">
            <v>0</v>
          </cell>
          <cell r="I435">
            <v>0</v>
          </cell>
          <cell r="M435">
            <v>-600</v>
          </cell>
          <cell r="Q435">
            <v>-600</v>
          </cell>
          <cell r="S435">
            <v>0</v>
          </cell>
          <cell r="U435">
            <v>-600</v>
          </cell>
          <cell r="Z435">
            <v>-600</v>
          </cell>
          <cell r="AB435">
            <v>0</v>
          </cell>
          <cell r="AD435">
            <v>0</v>
          </cell>
          <cell r="AF435">
            <v>0</v>
          </cell>
          <cell r="AJ435">
            <v>0</v>
          </cell>
          <cell r="AL435">
            <v>-600</v>
          </cell>
          <cell r="AN435" t="str">
            <v>services</v>
          </cell>
          <cell r="AR435">
            <v>-335.60650000000004</v>
          </cell>
          <cell r="AT435">
            <v>-563</v>
          </cell>
          <cell r="AV435">
            <v>-898.6065000000001</v>
          </cell>
        </row>
        <row r="436">
          <cell r="C436">
            <v>-4308.5190000000002</v>
          </cell>
          <cell r="E436">
            <v>-104.727</v>
          </cell>
          <cell r="G436">
            <v>-4413.2460000000001</v>
          </cell>
          <cell r="I436">
            <v>-879</v>
          </cell>
          <cell r="M436">
            <v>-600</v>
          </cell>
          <cell r="Q436">
            <v>-1479</v>
          </cell>
          <cell r="S436">
            <v>-5187.5190000000002</v>
          </cell>
          <cell r="U436">
            <v>-704.72699999999998</v>
          </cell>
          <cell r="Z436">
            <v>-5892.2460000000001</v>
          </cell>
          <cell r="AB436">
            <v>0</v>
          </cell>
          <cell r="AD436">
            <v>-12206</v>
          </cell>
          <cell r="AF436">
            <v>0</v>
          </cell>
          <cell r="AH436">
            <v>0</v>
          </cell>
          <cell r="AJ436">
            <v>0</v>
          </cell>
          <cell r="AL436">
            <v>-18098.245999999999</v>
          </cell>
          <cell r="AR436">
            <v>-155540.94890865387</v>
          </cell>
          <cell r="AT436">
            <v>-37781</v>
          </cell>
          <cell r="AV436">
            <v>-190401.61850000001</v>
          </cell>
          <cell r="AX436">
            <v>-2920.3304086538556</v>
          </cell>
        </row>
        <row r="438">
          <cell r="A438" t="str">
            <v>OPERATING EXP.</v>
          </cell>
          <cell r="AN438" t="str">
            <v>OPERATING EXP.</v>
          </cell>
        </row>
        <row r="439">
          <cell r="A439" t="str">
            <v>salaries</v>
          </cell>
          <cell r="C439">
            <v>0</v>
          </cell>
          <cell r="E439">
            <v>0</v>
          </cell>
          <cell r="G439">
            <v>0</v>
          </cell>
          <cell r="I439">
            <v>0</v>
          </cell>
          <cell r="M439">
            <v>0</v>
          </cell>
          <cell r="Q439">
            <v>0</v>
          </cell>
          <cell r="S439">
            <v>0</v>
          </cell>
          <cell r="U439">
            <v>0</v>
          </cell>
          <cell r="Z439">
            <v>0</v>
          </cell>
          <cell r="AB439">
            <v>0</v>
          </cell>
          <cell r="AD439">
            <v>8538</v>
          </cell>
          <cell r="AF439">
            <v>0</v>
          </cell>
          <cell r="AH439">
            <v>0</v>
          </cell>
          <cell r="AJ439">
            <v>0</v>
          </cell>
          <cell r="AL439">
            <v>8538</v>
          </cell>
          <cell r="AN439" t="str">
            <v>salaries</v>
          </cell>
          <cell r="AR439">
            <v>8593.4211682692294</v>
          </cell>
          <cell r="AT439">
            <v>2098</v>
          </cell>
          <cell r="AV439">
            <v>10691.421168269229</v>
          </cell>
        </row>
        <row r="440">
          <cell r="A440" t="str">
            <v>purchases</v>
          </cell>
          <cell r="AD440">
            <v>0</v>
          </cell>
          <cell r="AL440">
            <v>0</v>
          </cell>
          <cell r="AN440" t="str">
            <v>purchases</v>
          </cell>
          <cell r="AR440">
            <v>8538</v>
          </cell>
          <cell r="AT440">
            <v>4629</v>
          </cell>
          <cell r="AV440">
            <v>13167</v>
          </cell>
        </row>
        <row r="441">
          <cell r="A441" t="str">
            <v>capitalization sal.</v>
          </cell>
          <cell r="C441">
            <v>-9.7430000000000003</v>
          </cell>
          <cell r="E441">
            <v>0</v>
          </cell>
          <cell r="G441">
            <v>-9.7430000000000003</v>
          </cell>
          <cell r="I441">
            <v>-39</v>
          </cell>
          <cell r="M441">
            <v>0</v>
          </cell>
          <cell r="Q441">
            <v>-39</v>
          </cell>
          <cell r="S441">
            <v>-48.743000000000002</v>
          </cell>
          <cell r="U441">
            <v>0</v>
          </cell>
          <cell r="Z441">
            <v>-48.743000000000002</v>
          </cell>
          <cell r="AB441">
            <v>0</v>
          </cell>
          <cell r="AD441">
            <v>0</v>
          </cell>
          <cell r="AF441">
            <v>0</v>
          </cell>
          <cell r="AH441">
            <v>0</v>
          </cell>
          <cell r="AJ441">
            <v>0</v>
          </cell>
          <cell r="AL441">
            <v>-48.743000000000002</v>
          </cell>
          <cell r="AN441" t="str">
            <v>capitalization sal.</v>
          </cell>
          <cell r="AR441">
            <v>-9.7430000000000003</v>
          </cell>
          <cell r="AT441">
            <v>-39</v>
          </cell>
          <cell r="AV441">
            <v>-48.743000000000002</v>
          </cell>
        </row>
        <row r="442">
          <cell r="A442" t="str">
            <v>consulting</v>
          </cell>
          <cell r="C442">
            <v>0</v>
          </cell>
          <cell r="E442">
            <v>0</v>
          </cell>
          <cell r="G442">
            <v>0</v>
          </cell>
          <cell r="I442">
            <v>0</v>
          </cell>
          <cell r="M442">
            <v>0</v>
          </cell>
          <cell r="Q442">
            <v>0</v>
          </cell>
          <cell r="S442">
            <v>0</v>
          </cell>
          <cell r="U442">
            <v>0</v>
          </cell>
          <cell r="Z442">
            <v>0</v>
          </cell>
          <cell r="AB442">
            <v>0</v>
          </cell>
          <cell r="AD442">
            <v>0</v>
          </cell>
          <cell r="AF442">
            <v>0</v>
          </cell>
          <cell r="AH442">
            <v>0</v>
          </cell>
          <cell r="AJ442">
            <v>0</v>
          </cell>
          <cell r="AL442">
            <v>0</v>
          </cell>
          <cell r="AN442" t="str">
            <v>consulting</v>
          </cell>
          <cell r="AR442">
            <v>22.762</v>
          </cell>
          <cell r="AT442">
            <v>11</v>
          </cell>
          <cell r="AV442">
            <v>33.762</v>
          </cell>
        </row>
        <row r="443">
          <cell r="A443" t="str">
            <v>FRANCHISE EXP&amp;ROYALTIES</v>
          </cell>
          <cell r="C443">
            <v>0</v>
          </cell>
          <cell r="E443">
            <v>0</v>
          </cell>
          <cell r="G443">
            <v>0</v>
          </cell>
          <cell r="I443">
            <v>0</v>
          </cell>
          <cell r="M443">
            <v>0</v>
          </cell>
          <cell r="Q443">
            <v>0</v>
          </cell>
          <cell r="S443">
            <v>0</v>
          </cell>
          <cell r="U443">
            <v>0</v>
          </cell>
          <cell r="Z443">
            <v>0</v>
          </cell>
          <cell r="AB443">
            <v>0</v>
          </cell>
          <cell r="AD443">
            <v>0</v>
          </cell>
          <cell r="AF443">
            <v>0</v>
          </cell>
          <cell r="AH443">
            <v>0</v>
          </cell>
          <cell r="AJ443">
            <v>0</v>
          </cell>
          <cell r="AL443">
            <v>0</v>
          </cell>
          <cell r="AN443" t="str">
            <v>bidding</v>
          </cell>
          <cell r="AR443">
            <v>9742.8120000000017</v>
          </cell>
          <cell r="AT443">
            <v>2099</v>
          </cell>
          <cell r="AV443">
            <v>11841.812000000002</v>
          </cell>
        </row>
        <row r="444">
          <cell r="A444" t="str">
            <v>car &amp; travel</v>
          </cell>
          <cell r="C444">
            <v>0</v>
          </cell>
          <cell r="E444">
            <v>0</v>
          </cell>
          <cell r="G444">
            <v>0</v>
          </cell>
          <cell r="I444">
            <v>0</v>
          </cell>
          <cell r="M444">
            <v>0</v>
          </cell>
          <cell r="Q444">
            <v>0</v>
          </cell>
          <cell r="S444">
            <v>0</v>
          </cell>
          <cell r="U444">
            <v>0</v>
          </cell>
          <cell r="Z444">
            <v>0</v>
          </cell>
          <cell r="AB444">
            <v>0</v>
          </cell>
          <cell r="AD444">
            <v>0</v>
          </cell>
          <cell r="AF444">
            <v>0</v>
          </cell>
          <cell r="AH444">
            <v>0</v>
          </cell>
          <cell r="AJ444">
            <v>0</v>
          </cell>
          <cell r="AL444">
            <v>0</v>
          </cell>
          <cell r="AN444" t="str">
            <v>planning</v>
          </cell>
          <cell r="AR444">
            <v>1272.9879999999998</v>
          </cell>
          <cell r="AT444">
            <v>344</v>
          </cell>
          <cell r="AV444">
            <v>1616.9879999999998</v>
          </cell>
        </row>
        <row r="445">
          <cell r="A445" t="str">
            <v>programming</v>
          </cell>
          <cell r="C445">
            <v>0</v>
          </cell>
          <cell r="E445">
            <v>0</v>
          </cell>
          <cell r="G445">
            <v>0</v>
          </cell>
          <cell r="I445">
            <v>0</v>
          </cell>
          <cell r="M445">
            <v>0</v>
          </cell>
          <cell r="Q445">
            <v>0</v>
          </cell>
          <cell r="S445">
            <v>0</v>
          </cell>
          <cell r="U445">
            <v>0</v>
          </cell>
          <cell r="Z445">
            <v>0</v>
          </cell>
          <cell r="AB445">
            <v>0</v>
          </cell>
          <cell r="AD445" t="e">
            <v>#REF!</v>
          </cell>
          <cell r="AF445">
            <v>0</v>
          </cell>
          <cell r="AH445">
            <v>0</v>
          </cell>
          <cell r="AJ445">
            <v>0</v>
          </cell>
          <cell r="AL445" t="e">
            <v>#REF!</v>
          </cell>
          <cell r="AN445" t="str">
            <v>programming</v>
          </cell>
          <cell r="AR445">
            <v>20627.863000000001</v>
          </cell>
          <cell r="AT445">
            <v>3736</v>
          </cell>
          <cell r="AV445">
            <v>24363.863000000001</v>
          </cell>
        </row>
        <row r="446">
          <cell r="AD446">
            <v>0</v>
          </cell>
          <cell r="AL446">
            <v>0</v>
          </cell>
          <cell r="AN446" t="str">
            <v>cost of publication</v>
          </cell>
          <cell r="AT446">
            <v>1907</v>
          </cell>
          <cell r="AV446">
            <v>1907</v>
          </cell>
        </row>
        <row r="447">
          <cell r="A447" t="str">
            <v>rent&amp;maint.-(head-end)</v>
          </cell>
          <cell r="C447">
            <v>0</v>
          </cell>
          <cell r="E447">
            <v>0</v>
          </cell>
          <cell r="G447">
            <v>0</v>
          </cell>
          <cell r="I447">
            <v>0</v>
          </cell>
          <cell r="M447">
            <v>0</v>
          </cell>
          <cell r="Q447">
            <v>0</v>
          </cell>
          <cell r="S447">
            <v>0</v>
          </cell>
          <cell r="U447">
            <v>0</v>
          </cell>
          <cell r="Z447">
            <v>0</v>
          </cell>
          <cell r="AB447">
            <v>0</v>
          </cell>
          <cell r="AD447">
            <v>0</v>
          </cell>
          <cell r="AF447">
            <v>0</v>
          </cell>
          <cell r="AH447">
            <v>0</v>
          </cell>
          <cell r="AJ447">
            <v>0</v>
          </cell>
          <cell r="AL447">
            <v>0</v>
          </cell>
          <cell r="AN447" t="str">
            <v>maintanence (head-end&amp;distr.)</v>
          </cell>
          <cell r="AR447">
            <v>5928.5914999999995</v>
          </cell>
          <cell r="AT447">
            <v>-21</v>
          </cell>
          <cell r="AV447">
            <v>5907.5914999999995</v>
          </cell>
        </row>
        <row r="448">
          <cell r="A448" t="str">
            <v>rent&amp;maint.-(network)</v>
          </cell>
          <cell r="C448">
            <v>0</v>
          </cell>
          <cell r="E448">
            <v>0</v>
          </cell>
          <cell r="G448">
            <v>0</v>
          </cell>
          <cell r="I448">
            <v>0</v>
          </cell>
          <cell r="M448">
            <v>0</v>
          </cell>
          <cell r="Q448">
            <v>0</v>
          </cell>
          <cell r="S448">
            <v>0</v>
          </cell>
          <cell r="U448">
            <v>0</v>
          </cell>
          <cell r="Z448">
            <v>0</v>
          </cell>
          <cell r="AB448">
            <v>0</v>
          </cell>
          <cell r="AD448">
            <v>0</v>
          </cell>
          <cell r="AF448">
            <v>0</v>
          </cell>
          <cell r="AH448">
            <v>0</v>
          </cell>
          <cell r="AJ448">
            <v>0</v>
          </cell>
          <cell r="AL448">
            <v>0</v>
          </cell>
          <cell r="AR448">
            <v>4708.0169999999998</v>
          </cell>
          <cell r="AT448">
            <v>1643</v>
          </cell>
          <cell r="AV448">
            <v>6351.0169999999998</v>
          </cell>
        </row>
        <row r="449">
          <cell r="A449" t="str">
            <v>amortization</v>
          </cell>
          <cell r="C449">
            <v>0</v>
          </cell>
          <cell r="E449">
            <v>0</v>
          </cell>
          <cell r="G449">
            <v>0</v>
          </cell>
          <cell r="I449">
            <v>2</v>
          </cell>
          <cell r="M449">
            <v>0</v>
          </cell>
          <cell r="Q449">
            <v>2</v>
          </cell>
          <cell r="S449">
            <v>2</v>
          </cell>
          <cell r="U449">
            <v>0</v>
          </cell>
          <cell r="Z449">
            <v>2</v>
          </cell>
          <cell r="AB449">
            <v>0</v>
          </cell>
          <cell r="AD449">
            <v>0</v>
          </cell>
          <cell r="AF449">
            <v>0</v>
          </cell>
          <cell r="AH449">
            <v>0</v>
          </cell>
          <cell r="AJ449">
            <v>0</v>
          </cell>
          <cell r="AL449">
            <v>2</v>
          </cell>
          <cell r="AN449" t="str">
            <v>amortization</v>
          </cell>
          <cell r="AR449">
            <v>64.872000000000014</v>
          </cell>
          <cell r="AT449">
            <v>118</v>
          </cell>
          <cell r="AV449">
            <v>182.87200000000001</v>
          </cell>
        </row>
        <row r="450">
          <cell r="A450" t="str">
            <v>depreciation</v>
          </cell>
          <cell r="C450">
            <v>0</v>
          </cell>
          <cell r="E450">
            <v>0</v>
          </cell>
          <cell r="G450">
            <v>0</v>
          </cell>
          <cell r="I450">
            <v>0</v>
          </cell>
          <cell r="M450">
            <v>0</v>
          </cell>
          <cell r="Q450">
            <v>0</v>
          </cell>
          <cell r="S450">
            <v>0</v>
          </cell>
          <cell r="U450">
            <v>0</v>
          </cell>
          <cell r="Z450">
            <v>0</v>
          </cell>
          <cell r="AB450">
            <v>0</v>
          </cell>
          <cell r="AD450">
            <v>0</v>
          </cell>
          <cell r="AF450">
            <v>0</v>
          </cell>
          <cell r="AH450">
            <v>0</v>
          </cell>
          <cell r="AJ450">
            <v>0</v>
          </cell>
          <cell r="AL450">
            <v>0</v>
          </cell>
          <cell r="AN450" t="str">
            <v>depreciation</v>
          </cell>
          <cell r="AR450">
            <v>21122.614000000001</v>
          </cell>
          <cell r="AT450">
            <v>4792</v>
          </cell>
          <cell r="AV450">
            <v>25914.614000000001</v>
          </cell>
        </row>
        <row r="451">
          <cell r="A451" t="str">
            <v>abandonment of subscribers</v>
          </cell>
          <cell r="C451">
            <v>0</v>
          </cell>
          <cell r="E451">
            <v>0</v>
          </cell>
          <cell r="G451">
            <v>0</v>
          </cell>
          <cell r="I451">
            <v>0</v>
          </cell>
          <cell r="M451">
            <v>0</v>
          </cell>
          <cell r="Q451">
            <v>0</v>
          </cell>
          <cell r="S451">
            <v>0</v>
          </cell>
          <cell r="U451">
            <v>0</v>
          </cell>
          <cell r="Z451">
            <v>0</v>
          </cell>
          <cell r="AB451">
            <v>0</v>
          </cell>
          <cell r="AD451">
            <v>0</v>
          </cell>
          <cell r="AF451">
            <v>0</v>
          </cell>
          <cell r="AH451">
            <v>0</v>
          </cell>
          <cell r="AJ451">
            <v>0</v>
          </cell>
          <cell r="AL451">
            <v>0</v>
          </cell>
          <cell r="AN451" t="str">
            <v>abandonment of subscribers</v>
          </cell>
          <cell r="AR451">
            <v>569.93299999999999</v>
          </cell>
          <cell r="AT451">
            <v>639</v>
          </cell>
          <cell r="AV451">
            <v>1208.933</v>
          </cell>
        </row>
        <row r="452">
          <cell r="A452" t="str">
            <v>capit.fraction</v>
          </cell>
          <cell r="C452">
            <v>0</v>
          </cell>
          <cell r="E452">
            <v>0</v>
          </cell>
          <cell r="G452">
            <v>0</v>
          </cell>
          <cell r="I452">
            <v>0</v>
          </cell>
          <cell r="M452">
            <v>0</v>
          </cell>
          <cell r="Q452">
            <v>0</v>
          </cell>
          <cell r="S452">
            <v>0</v>
          </cell>
          <cell r="U452">
            <v>0</v>
          </cell>
          <cell r="Z452">
            <v>0</v>
          </cell>
          <cell r="AB452">
            <v>0</v>
          </cell>
          <cell r="AD452">
            <v>0</v>
          </cell>
          <cell r="AF452">
            <v>0</v>
          </cell>
          <cell r="AH452">
            <v>0</v>
          </cell>
          <cell r="AJ452">
            <v>0</v>
          </cell>
          <cell r="AL452">
            <v>0</v>
          </cell>
          <cell r="AN452" t="str">
            <v>capit.fraction</v>
          </cell>
          <cell r="AR452">
            <v>0</v>
          </cell>
          <cell r="AT452">
            <v>-12</v>
          </cell>
          <cell r="AV452">
            <v>-12</v>
          </cell>
        </row>
        <row r="453">
          <cell r="A453" t="str">
            <v>part.in exp.</v>
          </cell>
          <cell r="C453">
            <v>0</v>
          </cell>
          <cell r="E453">
            <v>0</v>
          </cell>
          <cell r="G453">
            <v>0</v>
          </cell>
          <cell r="I453">
            <v>0</v>
          </cell>
          <cell r="M453">
            <v>0</v>
          </cell>
          <cell r="Q453">
            <v>0</v>
          </cell>
          <cell r="S453">
            <v>0</v>
          </cell>
          <cell r="U453">
            <v>0</v>
          </cell>
          <cell r="Z453">
            <v>0</v>
          </cell>
          <cell r="AB453">
            <v>0</v>
          </cell>
          <cell r="AF453">
            <v>0</v>
          </cell>
          <cell r="AH453">
            <v>0</v>
          </cell>
          <cell r="AJ453">
            <v>0</v>
          </cell>
          <cell r="AL453">
            <v>0</v>
          </cell>
          <cell r="AN453" t="str">
            <v>other</v>
          </cell>
          <cell r="AR453">
            <v>0</v>
          </cell>
          <cell r="AT453">
            <v>0</v>
          </cell>
          <cell r="AV453">
            <v>0</v>
          </cell>
        </row>
        <row r="454">
          <cell r="C454">
            <v>-9.7430000000000003</v>
          </cell>
          <cell r="E454">
            <v>0</v>
          </cell>
          <cell r="G454">
            <v>-9.7430000000000003</v>
          </cell>
          <cell r="I454">
            <v>-37</v>
          </cell>
          <cell r="M454">
            <v>0</v>
          </cell>
          <cell r="Q454">
            <v>-37</v>
          </cell>
          <cell r="S454">
            <v>-46.743000000000002</v>
          </cell>
          <cell r="U454">
            <v>0</v>
          </cell>
          <cell r="Z454">
            <v>-46.743000000000002</v>
          </cell>
          <cell r="AB454">
            <v>0</v>
          </cell>
          <cell r="AD454" t="e">
            <v>#REF!</v>
          </cell>
          <cell r="AF454">
            <v>0</v>
          </cell>
          <cell r="AH454">
            <v>0</v>
          </cell>
          <cell r="AJ454">
            <v>0</v>
          </cell>
          <cell r="AL454" t="e">
            <v>#REF!</v>
          </cell>
          <cell r="AR454">
            <v>81182.130668269252</v>
          </cell>
          <cell r="AT454">
            <v>21944</v>
          </cell>
          <cell r="AV454">
            <v>103126.13066826922</v>
          </cell>
          <cell r="AX454">
            <v>0</v>
          </cell>
        </row>
        <row r="456">
          <cell r="A456" t="str">
            <v>OPER. profit(PROFIT)</v>
          </cell>
          <cell r="C456">
            <v>-4318.2620000000006</v>
          </cell>
          <cell r="E456">
            <v>-104.727</v>
          </cell>
          <cell r="G456">
            <v>-4422.9890000000005</v>
          </cell>
          <cell r="I456">
            <v>-916</v>
          </cell>
          <cell r="M456">
            <v>-600</v>
          </cell>
          <cell r="Q456">
            <v>-1516</v>
          </cell>
          <cell r="S456">
            <v>-5234.2620000000006</v>
          </cell>
          <cell r="U456">
            <v>-704.72699999999998</v>
          </cell>
          <cell r="Z456">
            <v>-5938.9890000000005</v>
          </cell>
          <cell r="AB456">
            <v>0</v>
          </cell>
          <cell r="AD456" t="e">
            <v>#REF!</v>
          </cell>
          <cell r="AF456">
            <v>0</v>
          </cell>
          <cell r="AH456">
            <v>0</v>
          </cell>
          <cell r="AJ456">
            <v>0</v>
          </cell>
          <cell r="AL456" t="e">
            <v>#REF!</v>
          </cell>
          <cell r="AN456" t="str">
            <v>OPER. LOSS(PROFIT)</v>
          </cell>
          <cell r="AR456">
            <v>-74358.818240384615</v>
          </cell>
          <cell r="AT456">
            <v>-15837</v>
          </cell>
          <cell r="AV456">
            <v>-87275.487831730788</v>
          </cell>
        </row>
        <row r="458">
          <cell r="A458" t="str">
            <v>MARKETING</v>
          </cell>
          <cell r="AN458" t="str">
            <v>MARKETING</v>
          </cell>
        </row>
        <row r="459">
          <cell r="A459" t="str">
            <v>salaries</v>
          </cell>
          <cell r="C459">
            <v>0</v>
          </cell>
          <cell r="E459">
            <v>0</v>
          </cell>
          <cell r="G459">
            <v>0</v>
          </cell>
          <cell r="I459">
            <v>-85</v>
          </cell>
          <cell r="M459">
            <v>392</v>
          </cell>
          <cell r="Q459">
            <v>307</v>
          </cell>
          <cell r="S459">
            <v>-85</v>
          </cell>
          <cell r="U459">
            <v>392</v>
          </cell>
          <cell r="Z459">
            <v>307</v>
          </cell>
          <cell r="AB459">
            <v>0</v>
          </cell>
          <cell r="AD459">
            <v>1387</v>
          </cell>
          <cell r="AF459">
            <v>0</v>
          </cell>
          <cell r="AH459">
            <v>0</v>
          </cell>
          <cell r="AJ459">
            <v>0</v>
          </cell>
          <cell r="AL459">
            <v>1694</v>
          </cell>
          <cell r="AN459" t="str">
            <v>salaries</v>
          </cell>
          <cell r="AR459">
            <v>5330.4089999999997</v>
          </cell>
          <cell r="AT459">
            <v>1421</v>
          </cell>
          <cell r="AV459">
            <v>6751.4089999999997</v>
          </cell>
        </row>
        <row r="460">
          <cell r="A460" t="str">
            <v>part.in exp.</v>
          </cell>
          <cell r="C460">
            <v>0</v>
          </cell>
          <cell r="E460">
            <v>0</v>
          </cell>
          <cell r="G460">
            <v>0</v>
          </cell>
          <cell r="I460">
            <v>0</v>
          </cell>
          <cell r="M460">
            <v>0</v>
          </cell>
          <cell r="Q460">
            <v>0</v>
          </cell>
          <cell r="S460">
            <v>0</v>
          </cell>
          <cell r="U460">
            <v>0</v>
          </cell>
          <cell r="Z460">
            <v>0</v>
          </cell>
          <cell r="AB460">
            <v>0</v>
          </cell>
          <cell r="AD460">
            <v>0</v>
          </cell>
          <cell r="AF460">
            <v>0</v>
          </cell>
          <cell r="AH460">
            <v>0</v>
          </cell>
          <cell r="AJ460">
            <v>0</v>
          </cell>
          <cell r="AL460">
            <v>0</v>
          </cell>
          <cell r="AN460" t="str">
            <v>part.in exp.</v>
          </cell>
          <cell r="AR460">
            <v>0</v>
          </cell>
          <cell r="AT460">
            <v>0</v>
          </cell>
          <cell r="AV460">
            <v>0</v>
          </cell>
        </row>
        <row r="461">
          <cell r="A461" t="str">
            <v>bad debts</v>
          </cell>
          <cell r="C461">
            <v>0</v>
          </cell>
          <cell r="E461">
            <v>0</v>
          </cell>
          <cell r="G461">
            <v>0</v>
          </cell>
          <cell r="I461">
            <v>0</v>
          </cell>
          <cell r="M461">
            <v>0</v>
          </cell>
          <cell r="Q461">
            <v>0</v>
          </cell>
          <cell r="S461">
            <v>0</v>
          </cell>
          <cell r="U461">
            <v>0</v>
          </cell>
          <cell r="Z461">
            <v>0</v>
          </cell>
          <cell r="AB461">
            <v>0</v>
          </cell>
          <cell r="AD461">
            <v>0</v>
          </cell>
          <cell r="AF461">
            <v>0</v>
          </cell>
          <cell r="AH461">
            <v>0</v>
          </cell>
          <cell r="AJ461">
            <v>0</v>
          </cell>
          <cell r="AL461">
            <v>0</v>
          </cell>
          <cell r="AN461" t="str">
            <v>bad debts</v>
          </cell>
          <cell r="AR461">
            <v>608.56181730769231</v>
          </cell>
          <cell r="AT461">
            <v>92</v>
          </cell>
          <cell r="AV461">
            <v>700.56181730769231</v>
          </cell>
        </row>
        <row r="462">
          <cell r="A462" t="str">
            <v>office maint.</v>
          </cell>
          <cell r="C462">
            <v>0</v>
          </cell>
          <cell r="E462">
            <v>0</v>
          </cell>
          <cell r="G462">
            <v>0</v>
          </cell>
          <cell r="I462">
            <v>0</v>
          </cell>
          <cell r="M462">
            <v>80</v>
          </cell>
          <cell r="Q462">
            <v>80</v>
          </cell>
          <cell r="S462">
            <v>0</v>
          </cell>
          <cell r="U462">
            <v>80</v>
          </cell>
          <cell r="Z462">
            <v>80</v>
          </cell>
          <cell r="AB462">
            <v>0</v>
          </cell>
          <cell r="AD462">
            <v>0</v>
          </cell>
          <cell r="AF462">
            <v>0</v>
          </cell>
          <cell r="AH462">
            <v>0</v>
          </cell>
          <cell r="AJ462">
            <v>0</v>
          </cell>
          <cell r="AL462">
            <v>80</v>
          </cell>
          <cell r="AN462" t="str">
            <v>office maint.</v>
          </cell>
          <cell r="AR462">
            <v>90.584999999999994</v>
          </cell>
          <cell r="AT462">
            <v>268</v>
          </cell>
          <cell r="AV462">
            <v>358.58499999999998</v>
          </cell>
        </row>
        <row r="463">
          <cell r="A463" t="str">
            <v>car &amp; travel</v>
          </cell>
          <cell r="C463">
            <v>0</v>
          </cell>
          <cell r="E463">
            <v>0</v>
          </cell>
          <cell r="G463">
            <v>0</v>
          </cell>
          <cell r="I463">
            <v>85</v>
          </cell>
          <cell r="M463">
            <v>-55</v>
          </cell>
          <cell r="Q463">
            <v>30</v>
          </cell>
          <cell r="S463">
            <v>85</v>
          </cell>
          <cell r="U463">
            <v>-55</v>
          </cell>
          <cell r="Z463">
            <v>30</v>
          </cell>
          <cell r="AB463">
            <v>0</v>
          </cell>
          <cell r="AD463">
            <v>126.5</v>
          </cell>
          <cell r="AF463">
            <v>0</v>
          </cell>
          <cell r="AH463">
            <v>0</v>
          </cell>
          <cell r="AJ463">
            <v>0</v>
          </cell>
          <cell r="AL463">
            <v>156.5</v>
          </cell>
          <cell r="AN463" t="str">
            <v>car &amp; travel</v>
          </cell>
          <cell r="AR463">
            <v>174.1</v>
          </cell>
          <cell r="AT463">
            <v>87</v>
          </cell>
          <cell r="AV463">
            <v>261.10000000000002</v>
          </cell>
        </row>
        <row r="464">
          <cell r="A464" t="str">
            <v>amortization</v>
          </cell>
          <cell r="C464">
            <v>0</v>
          </cell>
          <cell r="E464">
            <v>0</v>
          </cell>
          <cell r="G464">
            <v>0</v>
          </cell>
          <cell r="I464">
            <v>0</v>
          </cell>
          <cell r="M464">
            <v>0</v>
          </cell>
          <cell r="Q464">
            <v>0</v>
          </cell>
          <cell r="S464">
            <v>0</v>
          </cell>
          <cell r="U464">
            <v>0</v>
          </cell>
          <cell r="Z464">
            <v>0</v>
          </cell>
          <cell r="AB464">
            <v>0</v>
          </cell>
          <cell r="AD464">
            <v>0</v>
          </cell>
          <cell r="AF464">
            <v>0</v>
          </cell>
          <cell r="AH464">
            <v>0</v>
          </cell>
          <cell r="AJ464">
            <v>0</v>
          </cell>
          <cell r="AL464">
            <v>0</v>
          </cell>
          <cell r="AN464" t="str">
            <v>amortization</v>
          </cell>
          <cell r="AR464">
            <v>0.89900000000000002</v>
          </cell>
          <cell r="AT464">
            <v>5</v>
          </cell>
          <cell r="AV464">
            <v>5.899</v>
          </cell>
        </row>
        <row r="465">
          <cell r="A465" t="str">
            <v>advertizment</v>
          </cell>
          <cell r="C465">
            <v>0.67900000000000005</v>
          </cell>
          <cell r="E465">
            <v>0</v>
          </cell>
          <cell r="G465">
            <v>0.67900000000000005</v>
          </cell>
          <cell r="I465">
            <v>0</v>
          </cell>
          <cell r="M465">
            <v>25</v>
          </cell>
          <cell r="Q465">
            <v>25</v>
          </cell>
          <cell r="S465">
            <v>0.67900000000000005</v>
          </cell>
          <cell r="U465">
            <v>25</v>
          </cell>
          <cell r="Z465">
            <v>25.678999999999998</v>
          </cell>
          <cell r="AB465">
            <v>0</v>
          </cell>
          <cell r="AD465">
            <v>231.5</v>
          </cell>
          <cell r="AF465">
            <v>0</v>
          </cell>
          <cell r="AH465">
            <v>0</v>
          </cell>
          <cell r="AJ465">
            <v>0</v>
          </cell>
          <cell r="AL465">
            <v>257.17899999999997</v>
          </cell>
          <cell r="AN465" t="str">
            <v>advertizment</v>
          </cell>
          <cell r="AR465">
            <v>1567.4035624999999</v>
          </cell>
          <cell r="AT465">
            <v>35</v>
          </cell>
          <cell r="AV465">
            <v>1602.4035624999999</v>
          </cell>
        </row>
        <row r="466">
          <cell r="C466">
            <v>0.67900000000000005</v>
          </cell>
          <cell r="E466">
            <v>0</v>
          </cell>
          <cell r="G466">
            <v>0.67900000000000005</v>
          </cell>
          <cell r="I466">
            <v>0</v>
          </cell>
          <cell r="M466">
            <v>442</v>
          </cell>
          <cell r="Q466">
            <v>442</v>
          </cell>
          <cell r="S466">
            <v>0.67900000000000005</v>
          </cell>
          <cell r="U466">
            <v>442</v>
          </cell>
          <cell r="Z466">
            <v>442.67899999999997</v>
          </cell>
          <cell r="AB466">
            <v>0</v>
          </cell>
          <cell r="AD466">
            <v>1745</v>
          </cell>
          <cell r="AF466">
            <v>0</v>
          </cell>
          <cell r="AH466">
            <v>0</v>
          </cell>
          <cell r="AJ466">
            <v>0</v>
          </cell>
          <cell r="AL466">
            <v>2187.6790000000001</v>
          </cell>
          <cell r="AR466">
            <v>7771.9583798076928</v>
          </cell>
          <cell r="AT466">
            <v>1908</v>
          </cell>
          <cell r="AV466">
            <v>9679.9583798076928</v>
          </cell>
          <cell r="AX466">
            <v>0</v>
          </cell>
        </row>
        <row r="468">
          <cell r="A468" t="str">
            <v>ADM. &amp;GENERAL</v>
          </cell>
          <cell r="AN468" t="str">
            <v>ADM. &amp;GENERAL</v>
          </cell>
        </row>
        <row r="469">
          <cell r="A469" t="str">
            <v>salaries</v>
          </cell>
          <cell r="C469">
            <v>0</v>
          </cell>
          <cell r="E469">
            <v>0</v>
          </cell>
          <cell r="G469">
            <v>0</v>
          </cell>
          <cell r="I469">
            <v>0</v>
          </cell>
          <cell r="M469">
            <v>0</v>
          </cell>
          <cell r="Q469">
            <v>0</v>
          </cell>
          <cell r="S469">
            <v>0</v>
          </cell>
          <cell r="U469">
            <v>0</v>
          </cell>
          <cell r="Z469">
            <v>0</v>
          </cell>
          <cell r="AB469">
            <v>0</v>
          </cell>
          <cell r="AD469">
            <v>434.5</v>
          </cell>
          <cell r="AF469">
            <v>0</v>
          </cell>
          <cell r="AH469">
            <v>0</v>
          </cell>
          <cell r="AJ469">
            <v>0</v>
          </cell>
          <cell r="AL469">
            <v>434.5</v>
          </cell>
          <cell r="AN469" t="str">
            <v>salaries</v>
          </cell>
          <cell r="AR469">
            <v>3719.9182403846157</v>
          </cell>
          <cell r="AT469">
            <v>1460</v>
          </cell>
          <cell r="AV469">
            <v>5179.9182403846153</v>
          </cell>
        </row>
        <row r="470">
          <cell r="A470" t="str">
            <v>management fees</v>
          </cell>
          <cell r="C470">
            <v>2000</v>
          </cell>
          <cell r="E470">
            <v>0</v>
          </cell>
          <cell r="G470">
            <v>2000</v>
          </cell>
          <cell r="I470">
            <v>500</v>
          </cell>
          <cell r="M470">
            <v>0</v>
          </cell>
          <cell r="Q470">
            <v>500</v>
          </cell>
          <cell r="S470">
            <v>2500</v>
          </cell>
          <cell r="U470">
            <v>0</v>
          </cell>
          <cell r="Z470">
            <v>2500</v>
          </cell>
          <cell r="AB470">
            <v>0</v>
          </cell>
          <cell r="AD470">
            <v>0</v>
          </cell>
          <cell r="AF470">
            <v>0</v>
          </cell>
          <cell r="AH470">
            <v>0</v>
          </cell>
          <cell r="AJ470">
            <v>0</v>
          </cell>
          <cell r="AL470">
            <v>2500</v>
          </cell>
          <cell r="AN470" t="str">
            <v>management fees</v>
          </cell>
          <cell r="AR470">
            <v>4190.3710000000001</v>
          </cell>
          <cell r="AT470">
            <v>1056</v>
          </cell>
          <cell r="AV470">
            <v>5246.3710000000001</v>
          </cell>
        </row>
        <row r="471">
          <cell r="A471" t="str">
            <v>part.in exp.</v>
          </cell>
          <cell r="C471">
            <v>0</v>
          </cell>
          <cell r="E471">
            <v>0</v>
          </cell>
          <cell r="G471">
            <v>0</v>
          </cell>
          <cell r="I471">
            <v>0</v>
          </cell>
          <cell r="M471">
            <v>0</v>
          </cell>
          <cell r="Q471">
            <v>0</v>
          </cell>
          <cell r="S471">
            <v>0</v>
          </cell>
          <cell r="U471">
            <v>0</v>
          </cell>
          <cell r="Z471">
            <v>0</v>
          </cell>
          <cell r="AB471">
            <v>0</v>
          </cell>
          <cell r="AD471">
            <v>0</v>
          </cell>
          <cell r="AF471">
            <v>0</v>
          </cell>
          <cell r="AH471">
            <v>0</v>
          </cell>
          <cell r="AJ471">
            <v>0</v>
          </cell>
          <cell r="AL471">
            <v>0</v>
          </cell>
          <cell r="AN471" t="str">
            <v>part.in exp.</v>
          </cell>
          <cell r="AR471">
            <v>-0.20800000000008367</v>
          </cell>
          <cell r="AT471">
            <v>0</v>
          </cell>
          <cell r="AV471">
            <v>-0.20800000000008367</v>
          </cell>
        </row>
        <row r="472">
          <cell r="A472" t="str">
            <v>computer&amp;bookkeeping</v>
          </cell>
          <cell r="C472">
            <v>16.603999999999999</v>
          </cell>
          <cell r="E472">
            <v>0</v>
          </cell>
          <cell r="G472">
            <v>16.603999999999999</v>
          </cell>
          <cell r="I472">
            <v>0</v>
          </cell>
          <cell r="M472">
            <v>0</v>
          </cell>
          <cell r="Q472">
            <v>0</v>
          </cell>
          <cell r="S472">
            <v>16.603999999999999</v>
          </cell>
          <cell r="U472">
            <v>0</v>
          </cell>
          <cell r="Z472">
            <v>16.603999999999999</v>
          </cell>
          <cell r="AB472">
            <v>0</v>
          </cell>
          <cell r="AD472">
            <v>0</v>
          </cell>
          <cell r="AF472">
            <v>0</v>
          </cell>
          <cell r="AH472">
            <v>0</v>
          </cell>
          <cell r="AJ472">
            <v>0</v>
          </cell>
          <cell r="AL472">
            <v>16.603999999999999</v>
          </cell>
          <cell r="AN472" t="str">
            <v>computer&amp;bookkeeping</v>
          </cell>
          <cell r="AR472">
            <v>584.14300000000003</v>
          </cell>
          <cell r="AT472">
            <v>96</v>
          </cell>
          <cell r="AV472">
            <v>680.14300000000003</v>
          </cell>
        </row>
        <row r="473">
          <cell r="A473" t="str">
            <v>office maint.&amp;other</v>
          </cell>
          <cell r="C473" t="e">
            <v>#REF!</v>
          </cell>
          <cell r="E473">
            <v>0</v>
          </cell>
          <cell r="G473" t="e">
            <v>#REF!</v>
          </cell>
          <cell r="I473">
            <v>0</v>
          </cell>
          <cell r="M473">
            <v>0</v>
          </cell>
          <cell r="Q473">
            <v>0</v>
          </cell>
          <cell r="S473" t="e">
            <v>#REF!</v>
          </cell>
          <cell r="U473">
            <v>0</v>
          </cell>
          <cell r="Z473" t="e">
            <v>#REF!</v>
          </cell>
          <cell r="AB473">
            <v>0</v>
          </cell>
          <cell r="AD473">
            <v>304</v>
          </cell>
          <cell r="AF473">
            <v>0</v>
          </cell>
          <cell r="AH473">
            <v>0</v>
          </cell>
          <cell r="AJ473">
            <v>0</v>
          </cell>
          <cell r="AL473" t="e">
            <v>#REF!</v>
          </cell>
          <cell r="AN473" t="str">
            <v>office maint.&amp;other</v>
          </cell>
          <cell r="AR473">
            <v>2814.3020144230773</v>
          </cell>
          <cell r="AT473">
            <v>712</v>
          </cell>
          <cell r="AV473">
            <v>3526.3020144230773</v>
          </cell>
        </row>
        <row r="474">
          <cell r="A474" t="str">
            <v>car &amp; travel</v>
          </cell>
          <cell r="C474">
            <v>13.955</v>
          </cell>
          <cell r="E474">
            <v>0</v>
          </cell>
          <cell r="G474">
            <v>13.955</v>
          </cell>
          <cell r="I474">
            <v>0</v>
          </cell>
          <cell r="M474">
            <v>0</v>
          </cell>
          <cell r="Q474">
            <v>0</v>
          </cell>
          <cell r="S474">
            <v>13.955</v>
          </cell>
          <cell r="U474">
            <v>0</v>
          </cell>
          <cell r="Z474">
            <v>13.955</v>
          </cell>
          <cell r="AB474">
            <v>0</v>
          </cell>
          <cell r="AD474">
            <v>41</v>
          </cell>
          <cell r="AF474">
            <v>0</v>
          </cell>
          <cell r="AH474">
            <v>0</v>
          </cell>
          <cell r="AJ474">
            <v>0</v>
          </cell>
          <cell r="AL474">
            <v>54.954999999999998</v>
          </cell>
          <cell r="AN474" t="str">
            <v>car &amp; travel</v>
          </cell>
          <cell r="AR474">
            <v>380.77140865384615</v>
          </cell>
          <cell r="AT474">
            <v>161</v>
          </cell>
          <cell r="AV474">
            <v>541.77140865384615</v>
          </cell>
        </row>
        <row r="475">
          <cell r="A475" t="str">
            <v>amortization</v>
          </cell>
          <cell r="C475">
            <v>3.0120000000000005</v>
          </cell>
          <cell r="E475">
            <v>0</v>
          </cell>
          <cell r="G475">
            <v>3.0120000000000005</v>
          </cell>
          <cell r="I475">
            <v>68</v>
          </cell>
          <cell r="M475">
            <v>0</v>
          </cell>
          <cell r="Q475">
            <v>68</v>
          </cell>
          <cell r="S475">
            <v>71.012</v>
          </cell>
          <cell r="U475">
            <v>0</v>
          </cell>
          <cell r="Z475">
            <v>71.012</v>
          </cell>
          <cell r="AB475">
            <v>0</v>
          </cell>
          <cell r="AD475">
            <v>0</v>
          </cell>
          <cell r="AF475">
            <v>0</v>
          </cell>
          <cell r="AH475">
            <v>0</v>
          </cell>
          <cell r="AJ475">
            <v>0</v>
          </cell>
          <cell r="AL475">
            <v>71.012</v>
          </cell>
          <cell r="AN475" t="str">
            <v>amortization</v>
          </cell>
          <cell r="AR475">
            <v>3526.3830000000007</v>
          </cell>
          <cell r="AT475">
            <v>131</v>
          </cell>
          <cell r="AV475">
            <v>3657.3830000000007</v>
          </cell>
        </row>
        <row r="476">
          <cell r="A476" t="str">
            <v>depreciation</v>
          </cell>
          <cell r="C476">
            <v>0</v>
          </cell>
          <cell r="E476">
            <v>0</v>
          </cell>
          <cell r="G476">
            <v>0</v>
          </cell>
          <cell r="I476">
            <v>0</v>
          </cell>
          <cell r="M476">
            <v>1</v>
          </cell>
          <cell r="Q476">
            <v>1</v>
          </cell>
          <cell r="S476">
            <v>0</v>
          </cell>
          <cell r="U476">
            <v>1</v>
          </cell>
          <cell r="Z476">
            <v>1</v>
          </cell>
          <cell r="AB476">
            <v>0</v>
          </cell>
          <cell r="AD476">
            <v>193</v>
          </cell>
          <cell r="AF476">
            <v>0</v>
          </cell>
          <cell r="AH476">
            <v>0</v>
          </cell>
          <cell r="AJ476">
            <v>0</v>
          </cell>
          <cell r="AL476">
            <v>194</v>
          </cell>
          <cell r="AN476" t="str">
            <v>depreciation</v>
          </cell>
          <cell r="AR476">
            <v>959.93616346153851</v>
          </cell>
          <cell r="AT476">
            <v>233</v>
          </cell>
          <cell r="AV476">
            <v>1192.9361634615384</v>
          </cell>
        </row>
        <row r="477">
          <cell r="A477" t="str">
            <v>professional fees</v>
          </cell>
          <cell r="C477">
            <v>141.12100000000001</v>
          </cell>
          <cell r="E477">
            <v>0</v>
          </cell>
          <cell r="G477">
            <v>141.12100000000001</v>
          </cell>
          <cell r="I477">
            <v>11</v>
          </cell>
          <cell r="M477">
            <v>4</v>
          </cell>
          <cell r="Q477">
            <v>15</v>
          </cell>
          <cell r="S477">
            <v>152.12100000000001</v>
          </cell>
          <cell r="U477">
            <v>4</v>
          </cell>
          <cell r="Z477">
            <v>156.12100000000001</v>
          </cell>
          <cell r="AB477">
            <v>0</v>
          </cell>
          <cell r="AD477">
            <v>113.5</v>
          </cell>
          <cell r="AF477">
            <v>0</v>
          </cell>
          <cell r="AH477">
            <v>0</v>
          </cell>
          <cell r="AJ477">
            <v>0</v>
          </cell>
          <cell r="AL477">
            <v>269.62099999999998</v>
          </cell>
          <cell r="AN477" t="str">
            <v>professional fees</v>
          </cell>
          <cell r="AR477">
            <v>1544.1325240384617</v>
          </cell>
          <cell r="AT477">
            <v>248</v>
          </cell>
          <cell r="AV477">
            <v>1792.1325240384617</v>
          </cell>
        </row>
        <row r="478">
          <cell r="A478" t="str">
            <v>other</v>
          </cell>
          <cell r="C478">
            <v>50</v>
          </cell>
          <cell r="E478">
            <v>0</v>
          </cell>
          <cell r="G478">
            <v>50</v>
          </cell>
          <cell r="I478">
            <v>0</v>
          </cell>
          <cell r="M478">
            <v>0</v>
          </cell>
          <cell r="Q478">
            <v>0</v>
          </cell>
          <cell r="S478">
            <v>50</v>
          </cell>
          <cell r="U478">
            <v>0</v>
          </cell>
          <cell r="Z478">
            <v>50</v>
          </cell>
          <cell r="AB478">
            <v>0</v>
          </cell>
          <cell r="AD478">
            <v>274</v>
          </cell>
          <cell r="AF478">
            <v>0</v>
          </cell>
          <cell r="AH478">
            <v>0</v>
          </cell>
          <cell r="AJ478">
            <v>0</v>
          </cell>
          <cell r="AL478">
            <v>324</v>
          </cell>
          <cell r="AN478" t="str">
            <v>other</v>
          </cell>
          <cell r="AR478">
            <v>0</v>
          </cell>
          <cell r="AT478">
            <v>151</v>
          </cell>
          <cell r="AV478">
            <v>151</v>
          </cell>
        </row>
        <row r="479">
          <cell r="A479" t="str">
            <v>part.in exp. others</v>
          </cell>
          <cell r="C479">
            <v>0</v>
          </cell>
          <cell r="E479">
            <v>0</v>
          </cell>
          <cell r="G479">
            <v>0</v>
          </cell>
          <cell r="I479">
            <v>0</v>
          </cell>
          <cell r="M479">
            <v>0</v>
          </cell>
          <cell r="Q479">
            <v>0</v>
          </cell>
          <cell r="S479">
            <v>0</v>
          </cell>
          <cell r="U479">
            <v>0</v>
          </cell>
          <cell r="Z479">
            <v>0</v>
          </cell>
          <cell r="AB479">
            <v>0</v>
          </cell>
          <cell r="AD479">
            <v>0</v>
          </cell>
          <cell r="AF479">
            <v>0</v>
          </cell>
          <cell r="AH479">
            <v>0</v>
          </cell>
          <cell r="AJ479">
            <v>0</v>
          </cell>
          <cell r="AL479">
            <v>0</v>
          </cell>
          <cell r="AN479" t="str">
            <v>part.in exp. others</v>
          </cell>
          <cell r="AR479">
            <v>-778.33799999999928</v>
          </cell>
          <cell r="AT479">
            <v>0</v>
          </cell>
          <cell r="AV479">
            <v>-778.33799999999928</v>
          </cell>
        </row>
        <row r="480">
          <cell r="C480" t="e">
            <v>#REF!</v>
          </cell>
          <cell r="E480">
            <v>0</v>
          </cell>
          <cell r="G480" t="e">
            <v>#REF!</v>
          </cell>
          <cell r="I480">
            <v>579</v>
          </cell>
          <cell r="M480">
            <v>5</v>
          </cell>
          <cell r="Q480">
            <v>584</v>
          </cell>
          <cell r="S480" t="e">
            <v>#REF!</v>
          </cell>
          <cell r="U480">
            <v>5</v>
          </cell>
          <cell r="Z480" t="e">
            <v>#REF!</v>
          </cell>
          <cell r="AB480">
            <v>0</v>
          </cell>
          <cell r="AD480">
            <v>1360</v>
          </cell>
          <cell r="AF480">
            <v>0</v>
          </cell>
          <cell r="AH480">
            <v>0</v>
          </cell>
          <cell r="AJ480">
            <v>0</v>
          </cell>
          <cell r="AL480" t="e">
            <v>#REF!</v>
          </cell>
          <cell r="AR480">
            <v>16941.411350961538</v>
          </cell>
          <cell r="AT480">
            <v>4248</v>
          </cell>
          <cell r="AV480">
            <v>21189.411350961538</v>
          </cell>
          <cell r="AX480">
            <v>0</v>
          </cell>
        </row>
        <row r="482">
          <cell r="A482" t="str">
            <v>FINANCING</v>
          </cell>
          <cell r="AN482" t="str">
            <v>FINANCING</v>
          </cell>
        </row>
        <row r="483">
          <cell r="A483" t="str">
            <v>income(bezek&amp;other)</v>
          </cell>
          <cell r="C483">
            <v>0</v>
          </cell>
          <cell r="E483">
            <v>0</v>
          </cell>
          <cell r="G483">
            <v>0</v>
          </cell>
          <cell r="I483">
            <v>0</v>
          </cell>
          <cell r="M483">
            <v>0</v>
          </cell>
          <cell r="Q483">
            <v>0</v>
          </cell>
          <cell r="S483">
            <v>0</v>
          </cell>
          <cell r="U483">
            <v>0</v>
          </cell>
          <cell r="Z483">
            <v>0</v>
          </cell>
          <cell r="AB483">
            <v>0</v>
          </cell>
          <cell r="AD483">
            <v>0</v>
          </cell>
          <cell r="AF483">
            <v>0</v>
          </cell>
          <cell r="AH483">
            <v>0</v>
          </cell>
          <cell r="AJ483">
            <v>0</v>
          </cell>
          <cell r="AL483">
            <v>0</v>
          </cell>
          <cell r="AN483" t="str">
            <v>income(bezek&amp;other)</v>
          </cell>
          <cell r="AR483">
            <v>-159.00400000000002</v>
          </cell>
          <cell r="AT483">
            <v>213</v>
          </cell>
          <cell r="AV483">
            <v>53.995999999999981</v>
          </cell>
        </row>
        <row r="484">
          <cell r="A484" t="str">
            <v>Affiliated(I.C.P.)</v>
          </cell>
          <cell r="C484">
            <v>0</v>
          </cell>
          <cell r="E484">
            <v>0</v>
          </cell>
          <cell r="G484">
            <v>0</v>
          </cell>
          <cell r="I484">
            <v>-5</v>
          </cell>
          <cell r="M484">
            <v>0</v>
          </cell>
          <cell r="Q484">
            <v>-5</v>
          </cell>
          <cell r="S484">
            <v>-5</v>
          </cell>
          <cell r="U484">
            <v>0</v>
          </cell>
          <cell r="Z484">
            <v>-5</v>
          </cell>
          <cell r="AB484">
            <v>0</v>
          </cell>
          <cell r="AD484">
            <v>0</v>
          </cell>
          <cell r="AF484">
            <v>0</v>
          </cell>
          <cell r="AH484">
            <v>0</v>
          </cell>
          <cell r="AJ484">
            <v>0</v>
          </cell>
          <cell r="AL484">
            <v>-5</v>
          </cell>
          <cell r="AN484" t="str">
            <v>susidiaries(icp&amp;telem)</v>
          </cell>
          <cell r="AR484">
            <v>-24.128</v>
          </cell>
          <cell r="AT484">
            <v>25</v>
          </cell>
          <cell r="AV484">
            <v>0.87199999999999989</v>
          </cell>
        </row>
        <row r="485">
          <cell r="A485" t="str">
            <v>income tax</v>
          </cell>
          <cell r="C485">
            <v>43.103577527963786</v>
          </cell>
          <cell r="E485">
            <v>0</v>
          </cell>
          <cell r="G485">
            <v>43.103577527963786</v>
          </cell>
          <cell r="I485">
            <v>-9</v>
          </cell>
          <cell r="M485">
            <v>0</v>
          </cell>
          <cell r="Q485">
            <v>-9</v>
          </cell>
          <cell r="S485">
            <v>34.103577527963786</v>
          </cell>
          <cell r="U485">
            <v>0</v>
          </cell>
          <cell r="Z485">
            <v>34.103577527963786</v>
          </cell>
          <cell r="AB485">
            <v>0</v>
          </cell>
          <cell r="AD485">
            <v>0</v>
          </cell>
          <cell r="AF485">
            <v>0</v>
          </cell>
          <cell r="AH485">
            <v>0</v>
          </cell>
          <cell r="AJ485">
            <v>0</v>
          </cell>
          <cell r="AL485">
            <v>34.103577527963786</v>
          </cell>
          <cell r="AN485" t="str">
            <v>income tax</v>
          </cell>
          <cell r="AR485">
            <v>-7.8964224720362139</v>
          </cell>
          <cell r="AT485">
            <v>36</v>
          </cell>
          <cell r="AV485">
            <v>28.103577527963786</v>
          </cell>
        </row>
        <row r="486">
          <cell r="A486" t="str">
            <v>capital notes/loans</v>
          </cell>
          <cell r="C486">
            <v>0</v>
          </cell>
          <cell r="E486">
            <v>0</v>
          </cell>
          <cell r="G486">
            <v>0</v>
          </cell>
          <cell r="I486">
            <v>0</v>
          </cell>
          <cell r="M486">
            <v>0</v>
          </cell>
          <cell r="Q486">
            <v>0</v>
          </cell>
          <cell r="S486">
            <v>0</v>
          </cell>
          <cell r="U486">
            <v>0</v>
          </cell>
          <cell r="Z486">
            <v>0</v>
          </cell>
          <cell r="AB486">
            <v>0</v>
          </cell>
          <cell r="AD486">
            <v>0</v>
          </cell>
          <cell r="AF486">
            <v>0</v>
          </cell>
          <cell r="AH486">
            <v>0</v>
          </cell>
          <cell r="AJ486">
            <v>0</v>
          </cell>
          <cell r="AL486">
            <v>0</v>
          </cell>
          <cell r="AN486" t="str">
            <v>capital notes/loans</v>
          </cell>
          <cell r="AR486">
            <v>-1749</v>
          </cell>
          <cell r="AT486">
            <v>131</v>
          </cell>
          <cell r="AV486">
            <v>-1618</v>
          </cell>
        </row>
        <row r="487">
          <cell r="A487" t="str">
            <v>aurec\stlm\dapim+other</v>
          </cell>
          <cell r="C487">
            <v>-1566.48794</v>
          </cell>
          <cell r="E487">
            <v>-794.78599999999994</v>
          </cell>
          <cell r="G487">
            <v>-2361.27394</v>
          </cell>
          <cell r="I487">
            <v>-969</v>
          </cell>
          <cell r="M487">
            <v>163</v>
          </cell>
          <cell r="Q487">
            <v>-806</v>
          </cell>
          <cell r="S487">
            <v>-2535.48794</v>
          </cell>
          <cell r="U487">
            <v>-631.78599999999994</v>
          </cell>
          <cell r="Z487">
            <v>-3167.27394</v>
          </cell>
          <cell r="AB487">
            <v>0</v>
          </cell>
          <cell r="AD487">
            <v>0</v>
          </cell>
          <cell r="AF487">
            <v>0</v>
          </cell>
          <cell r="AH487">
            <v>0</v>
          </cell>
          <cell r="AJ487">
            <v>0</v>
          </cell>
          <cell r="AL487">
            <v>-3167.27394</v>
          </cell>
          <cell r="AN487" t="str">
            <v>aurec\stlm\dapim+other</v>
          </cell>
          <cell r="AR487">
            <v>-3068.6519400000002</v>
          </cell>
          <cell r="AT487">
            <v>-436</v>
          </cell>
          <cell r="AV487">
            <v>-3504.6519400000002</v>
          </cell>
        </row>
        <row r="488">
          <cell r="A488" t="str">
            <v>capitalization</v>
          </cell>
          <cell r="C488">
            <v>0</v>
          </cell>
          <cell r="E488">
            <v>0</v>
          </cell>
          <cell r="G488">
            <v>0</v>
          </cell>
          <cell r="I488">
            <v>0</v>
          </cell>
          <cell r="M488">
            <v>0</v>
          </cell>
          <cell r="Q488">
            <v>0</v>
          </cell>
          <cell r="S488">
            <v>0</v>
          </cell>
          <cell r="U488">
            <v>0</v>
          </cell>
          <cell r="Z488">
            <v>0</v>
          </cell>
          <cell r="AB488">
            <v>0</v>
          </cell>
          <cell r="AD488">
            <v>0</v>
          </cell>
          <cell r="AF488">
            <v>0</v>
          </cell>
          <cell r="AH488">
            <v>0</v>
          </cell>
          <cell r="AJ488">
            <v>0</v>
          </cell>
          <cell r="AL488">
            <v>0</v>
          </cell>
          <cell r="AN488" t="str">
            <v>capitalization</v>
          </cell>
          <cell r="AR488">
            <v>0</v>
          </cell>
          <cell r="AT488">
            <v>0</v>
          </cell>
          <cell r="AV488">
            <v>0</v>
          </cell>
        </row>
        <row r="489">
          <cell r="A489" t="str">
            <v>expenses(customs&amp;other</v>
          </cell>
          <cell r="C489">
            <v>0</v>
          </cell>
          <cell r="E489">
            <v>0</v>
          </cell>
          <cell r="G489">
            <v>0</v>
          </cell>
          <cell r="I489">
            <v>-12</v>
          </cell>
          <cell r="M489">
            <v>-1</v>
          </cell>
          <cell r="Q489">
            <v>-13</v>
          </cell>
          <cell r="S489">
            <v>-12</v>
          </cell>
          <cell r="U489">
            <v>-1</v>
          </cell>
          <cell r="Z489">
            <v>-13</v>
          </cell>
          <cell r="AB489">
            <v>0</v>
          </cell>
          <cell r="AD489">
            <v>469.5</v>
          </cell>
          <cell r="AF489">
            <v>0</v>
          </cell>
          <cell r="AH489">
            <v>0</v>
          </cell>
          <cell r="AJ489">
            <v>0</v>
          </cell>
          <cell r="AL489">
            <v>456.5</v>
          </cell>
          <cell r="AN489" t="str">
            <v>expenses(customs&amp;other</v>
          </cell>
          <cell r="AR489">
            <v>82.066000000000003</v>
          </cell>
          <cell r="AT489">
            <v>-424</v>
          </cell>
          <cell r="AV489">
            <v>-341.93399999999997</v>
          </cell>
        </row>
        <row r="490">
          <cell r="A490" t="str">
            <v>expenses-banks,net</v>
          </cell>
          <cell r="C490">
            <v>-372.26099999999997</v>
          </cell>
          <cell r="E490">
            <v>0</v>
          </cell>
          <cell r="G490">
            <v>-372.26099999999997</v>
          </cell>
          <cell r="I490">
            <v>93</v>
          </cell>
          <cell r="M490">
            <v>0</v>
          </cell>
          <cell r="Q490">
            <v>93</v>
          </cell>
          <cell r="S490">
            <v>-279.26099999999997</v>
          </cell>
          <cell r="U490">
            <v>0</v>
          </cell>
          <cell r="Z490">
            <v>-279.26099999999997</v>
          </cell>
          <cell r="AB490">
            <v>0</v>
          </cell>
          <cell r="AF490">
            <v>0</v>
          </cell>
          <cell r="AH490">
            <v>0</v>
          </cell>
          <cell r="AJ490">
            <v>0</v>
          </cell>
          <cell r="AL490">
            <v>-279.26099999999997</v>
          </cell>
          <cell r="AN490" t="str">
            <v>expenses-banks,net</v>
          </cell>
          <cell r="AR490">
            <v>-713.21100000000001</v>
          </cell>
          <cell r="AT490">
            <v>261</v>
          </cell>
          <cell r="AV490">
            <v>-452.21100000000001</v>
          </cell>
        </row>
        <row r="491">
          <cell r="C491">
            <v>-1895.6453624720361</v>
          </cell>
          <cell r="E491">
            <v>-794.78599999999994</v>
          </cell>
          <cell r="G491">
            <v>-2690.4313624720362</v>
          </cell>
          <cell r="I491">
            <v>-902</v>
          </cell>
          <cell r="M491">
            <v>162</v>
          </cell>
          <cell r="Q491">
            <v>-740</v>
          </cell>
          <cell r="S491">
            <v>-2797.6453624720361</v>
          </cell>
          <cell r="U491">
            <v>-632.78599999999994</v>
          </cell>
          <cell r="Z491">
            <v>-3430.4313624720362</v>
          </cell>
          <cell r="AB491">
            <v>0</v>
          </cell>
          <cell r="AD491">
            <v>469.5</v>
          </cell>
          <cell r="AF491">
            <v>0</v>
          </cell>
          <cell r="AH491">
            <v>0</v>
          </cell>
          <cell r="AJ491">
            <v>0</v>
          </cell>
          <cell r="AL491">
            <v>-2960.9313624720362</v>
          </cell>
          <cell r="AR491">
            <v>-5639.8253624720364</v>
          </cell>
          <cell r="AT491">
            <v>-194</v>
          </cell>
          <cell r="AV491">
            <v>-5833.8253624720364</v>
          </cell>
          <cell r="AX491">
            <v>0</v>
          </cell>
        </row>
        <row r="493">
          <cell r="A493" t="str">
            <v>CAPITAL GAINS</v>
          </cell>
          <cell r="C493">
            <v>0</v>
          </cell>
          <cell r="E493">
            <v>-0.75</v>
          </cell>
          <cell r="G493">
            <v>-0.75</v>
          </cell>
          <cell r="I493">
            <v>0</v>
          </cell>
          <cell r="M493">
            <v>-3</v>
          </cell>
          <cell r="Q493">
            <v>-3</v>
          </cell>
          <cell r="S493">
            <v>0</v>
          </cell>
          <cell r="U493">
            <v>-3.75</v>
          </cell>
          <cell r="Z493">
            <v>-3.75</v>
          </cell>
          <cell r="AB493">
            <v>0</v>
          </cell>
          <cell r="AF493">
            <v>0</v>
          </cell>
          <cell r="AH493">
            <v>0</v>
          </cell>
          <cell r="AJ493">
            <v>0</v>
          </cell>
          <cell r="AL493">
            <v>-3.75</v>
          </cell>
          <cell r="AN493" t="str">
            <v>capital gains</v>
          </cell>
          <cell r="AR493">
            <v>-30.624000000000006</v>
          </cell>
          <cell r="AT493">
            <v>18</v>
          </cell>
          <cell r="AV493">
            <v>-12.624000000000006</v>
          </cell>
        </row>
        <row r="494">
          <cell r="A494" t="str">
            <v>other income</v>
          </cell>
          <cell r="AD494">
            <v>0</v>
          </cell>
          <cell r="AF494">
            <v>0</v>
          </cell>
          <cell r="AL494">
            <v>0</v>
          </cell>
          <cell r="AN494" t="str">
            <v>other income</v>
          </cell>
          <cell r="AR494">
            <v>0</v>
          </cell>
          <cell r="AT494">
            <v>0</v>
          </cell>
          <cell r="AV494">
            <v>0</v>
          </cell>
          <cell r="BB494" t="str">
            <v>GC&amp;Co.</v>
          </cell>
          <cell r="BC494">
            <v>0.3</v>
          </cell>
          <cell r="BE494">
            <v>0.7</v>
          </cell>
          <cell r="BG494" t="str">
            <v>part of</v>
          </cell>
        </row>
        <row r="495">
          <cell r="A495" t="str">
            <v>profit BEF. TAXES</v>
          </cell>
          <cell r="C495" t="e">
            <v>#REF!</v>
          </cell>
          <cell r="E495">
            <v>-900.26299999999992</v>
          </cell>
          <cell r="G495" t="e">
            <v>#REF!</v>
          </cell>
          <cell r="I495">
            <v>-1239</v>
          </cell>
          <cell r="M495">
            <v>6</v>
          </cell>
          <cell r="Q495">
            <v>-1233</v>
          </cell>
          <cell r="S495" t="e">
            <v>#REF!</v>
          </cell>
          <cell r="U495">
            <v>-894.26299999999992</v>
          </cell>
          <cell r="Z495" t="e">
            <v>#REF!</v>
          </cell>
          <cell r="AB495">
            <v>0</v>
          </cell>
          <cell r="AD495" t="e">
            <v>#REF!</v>
          </cell>
          <cell r="AF495">
            <v>0</v>
          </cell>
          <cell r="AH495">
            <v>0</v>
          </cell>
          <cell r="AJ495">
            <v>0</v>
          </cell>
          <cell r="AL495" t="e">
            <v>#REF!</v>
          </cell>
          <cell r="AN495" t="str">
            <v>profit BEF. TAXES</v>
          </cell>
          <cell r="AR495">
            <v>-55315.897872087422</v>
          </cell>
          <cell r="AT495">
            <v>-9857</v>
          </cell>
          <cell r="AV495">
            <v>-65172.897872087422</v>
          </cell>
          <cell r="BB495" t="str">
            <v>Total</v>
          </cell>
          <cell r="BC495" t="str">
            <v>Iediot</v>
          </cell>
          <cell r="BE495" t="str">
            <v>Special</v>
          </cell>
          <cell r="BG495" t="str">
            <v>Alis</v>
          </cell>
        </row>
        <row r="496">
          <cell r="BA496" t="str">
            <v>30.9.97</v>
          </cell>
          <cell r="BB496">
            <v>0</v>
          </cell>
          <cell r="BC496">
            <v>0</v>
          </cell>
          <cell r="BE496">
            <v>428.75</v>
          </cell>
          <cell r="BG496">
            <v>428.75</v>
          </cell>
        </row>
        <row r="497">
          <cell r="A497" t="str">
            <v>TAXES</v>
          </cell>
          <cell r="C497">
            <v>6731.6253859049775</v>
          </cell>
          <cell r="E497">
            <v>0</v>
          </cell>
          <cell r="G497">
            <v>6731.6253859049775</v>
          </cell>
          <cell r="I497">
            <v>1922</v>
          </cell>
          <cell r="M497">
            <v>0</v>
          </cell>
          <cell r="Q497">
            <v>1922</v>
          </cell>
          <cell r="S497">
            <v>8653.6253859049775</v>
          </cell>
          <cell r="U497">
            <v>0</v>
          </cell>
          <cell r="Z497">
            <v>8653.6253859049775</v>
          </cell>
          <cell r="AB497">
            <v>0</v>
          </cell>
          <cell r="AD497">
            <v>138.5</v>
          </cell>
          <cell r="AF497">
            <v>0</v>
          </cell>
          <cell r="AH497">
            <v>0</v>
          </cell>
          <cell r="AJ497">
            <v>0</v>
          </cell>
          <cell r="AL497">
            <v>8792.1253859049775</v>
          </cell>
          <cell r="AN497" t="str">
            <v>TAXES</v>
          </cell>
          <cell r="AR497">
            <v>16034.403078212672</v>
          </cell>
          <cell r="AT497">
            <v>2346</v>
          </cell>
          <cell r="AV497">
            <v>18380.403078212672</v>
          </cell>
          <cell r="BA497" t="str">
            <v>10-12/97</v>
          </cell>
          <cell r="BB497">
            <v>0</v>
          </cell>
          <cell r="BC497">
            <v>0</v>
          </cell>
          <cell r="BE497">
            <v>61.25</v>
          </cell>
          <cell r="BG497">
            <v>61.25</v>
          </cell>
        </row>
        <row r="499">
          <cell r="A499" t="str">
            <v xml:space="preserve">MIN.INT.IN P.RESULTS </v>
          </cell>
          <cell r="C499">
            <v>0</v>
          </cell>
          <cell r="E499">
            <v>0</v>
          </cell>
          <cell r="G499">
            <v>0</v>
          </cell>
          <cell r="I499">
            <v>0</v>
          </cell>
          <cell r="M499">
            <v>0</v>
          </cell>
          <cell r="Q499">
            <v>0</v>
          </cell>
          <cell r="S499">
            <v>0</v>
          </cell>
          <cell r="U499">
            <v>0</v>
          </cell>
          <cell r="Z499">
            <v>0</v>
          </cell>
          <cell r="AB499">
            <v>0</v>
          </cell>
          <cell r="AF499">
            <v>0</v>
          </cell>
          <cell r="AH499">
            <v>0</v>
          </cell>
          <cell r="AJ499">
            <v>0</v>
          </cell>
          <cell r="AL499">
            <v>0</v>
          </cell>
          <cell r="AN499" t="str">
            <v xml:space="preserve">MIN.INT.IN P.RESULTS </v>
          </cell>
          <cell r="AR499">
            <v>14149</v>
          </cell>
          <cell r="AT499">
            <v>3384</v>
          </cell>
          <cell r="AV499">
            <v>17533</v>
          </cell>
          <cell r="BA499" t="str">
            <v>1-9/97</v>
          </cell>
          <cell r="BB499">
            <v>0</v>
          </cell>
          <cell r="BC499">
            <v>0</v>
          </cell>
          <cell r="BE499">
            <v>245</v>
          </cell>
          <cell r="BG499">
            <v>245</v>
          </cell>
        </row>
        <row r="500">
          <cell r="A500" t="str">
            <v>PROVISION for losses on other investments</v>
          </cell>
          <cell r="C500">
            <v>0</v>
          </cell>
          <cell r="E500">
            <v>0</v>
          </cell>
          <cell r="G500">
            <v>0</v>
          </cell>
          <cell r="I500">
            <v>-4930</v>
          </cell>
          <cell r="Q500">
            <v>-4930</v>
          </cell>
          <cell r="S500">
            <v>-4930</v>
          </cell>
          <cell r="U500">
            <v>0</v>
          </cell>
          <cell r="Z500">
            <v>-4930</v>
          </cell>
          <cell r="AL500">
            <v>-4930</v>
          </cell>
          <cell r="AN500" t="str">
            <v>PROVISION for losses on other investments</v>
          </cell>
          <cell r="AR500">
            <v>0</v>
          </cell>
          <cell r="AT500">
            <v>-5172</v>
          </cell>
          <cell r="AV500">
            <v>-5172</v>
          </cell>
          <cell r="BB500">
            <v>0</v>
          </cell>
          <cell r="BC500">
            <v>0</v>
          </cell>
          <cell r="BE500">
            <v>735</v>
          </cell>
          <cell r="BG500">
            <v>735</v>
          </cell>
        </row>
        <row r="501">
          <cell r="A501" t="str">
            <v>EQUITY profit</v>
          </cell>
          <cell r="C501">
            <v>-18980.634509615382</v>
          </cell>
          <cell r="E501">
            <v>0</v>
          </cell>
          <cell r="G501">
            <v>-18980.634509615382</v>
          </cell>
          <cell r="I501">
            <v>-2060</v>
          </cell>
          <cell r="M501">
            <v>0</v>
          </cell>
          <cell r="Q501">
            <v>-2060</v>
          </cell>
          <cell r="S501">
            <v>-21040.634509615382</v>
          </cell>
          <cell r="U501">
            <v>0</v>
          </cell>
          <cell r="Z501">
            <v>-21040.634509615382</v>
          </cell>
          <cell r="AB501">
            <v>0</v>
          </cell>
          <cell r="AF501">
            <v>0</v>
          </cell>
          <cell r="AH501">
            <v>0</v>
          </cell>
          <cell r="AJ501">
            <v>0</v>
          </cell>
          <cell r="AL501">
            <v>-21040.634509615382</v>
          </cell>
          <cell r="AN501" t="str">
            <v>EQUITY profit</v>
          </cell>
          <cell r="AR501">
            <v>5671.7831846153858</v>
          </cell>
          <cell r="AT501">
            <v>3003</v>
          </cell>
          <cell r="AV501">
            <v>8674.7831846153858</v>
          </cell>
          <cell r="BB501">
            <v>74154.011815384612</v>
          </cell>
          <cell r="BC501">
            <v>735</v>
          </cell>
          <cell r="BG501">
            <v>735</v>
          </cell>
        </row>
        <row r="502">
          <cell r="A502" t="str">
            <v>S. profit to IEDIOT</v>
          </cell>
          <cell r="AB502">
            <v>0</v>
          </cell>
          <cell r="AF502">
            <v>0</v>
          </cell>
          <cell r="AL502">
            <v>0</v>
          </cell>
        </row>
        <row r="503">
          <cell r="A503" t="str">
            <v>profit FOR THE PERIOD</v>
          </cell>
          <cell r="C503" t="e">
            <v>#REF!</v>
          </cell>
          <cell r="G503" t="e">
            <v>#REF!</v>
          </cell>
          <cell r="I503">
            <v>-6307</v>
          </cell>
          <cell r="M503">
            <v>6</v>
          </cell>
          <cell r="Q503">
            <v>-6301</v>
          </cell>
          <cell r="S503" t="e">
            <v>#REF!</v>
          </cell>
          <cell r="U503">
            <v>-6</v>
          </cell>
          <cell r="Z503" t="e">
            <v>#REF!</v>
          </cell>
          <cell r="AB503">
            <v>0</v>
          </cell>
          <cell r="AD503" t="e">
            <v>#REF!</v>
          </cell>
          <cell r="AF503">
            <v>0</v>
          </cell>
          <cell r="AH503">
            <v>0</v>
          </cell>
          <cell r="AJ503">
            <v>0</v>
          </cell>
          <cell r="AL503" t="e">
            <v>#REF!</v>
          </cell>
          <cell r="AN503" t="str">
            <v>profit FOR THE PERIOD</v>
          </cell>
          <cell r="AR503">
            <v>-19460.711609259364</v>
          </cell>
          <cell r="AT503">
            <v>-6296</v>
          </cell>
          <cell r="AV503">
            <v>-25756.711609259364</v>
          </cell>
          <cell r="AX503">
            <v>0</v>
          </cell>
        </row>
        <row r="504">
          <cell r="A504" t="str">
            <v>S. profit to IEDIOT OB</v>
          </cell>
          <cell r="AB504">
            <v>0</v>
          </cell>
          <cell r="AF504">
            <v>0</v>
          </cell>
          <cell r="AL504">
            <v>0</v>
          </cell>
        </row>
        <row r="505">
          <cell r="A505" t="str">
            <v>profit AT BEG.OF PERIOD</v>
          </cell>
          <cell r="C505">
            <v>-4484.8019999999997</v>
          </cell>
          <cell r="E505">
            <v>-17308.024000000001</v>
          </cell>
          <cell r="G505">
            <v>-21792.826000000001</v>
          </cell>
          <cell r="I505">
            <v>-6907</v>
          </cell>
          <cell r="M505">
            <v>-17315</v>
          </cell>
          <cell r="Q505">
            <v>-24222</v>
          </cell>
          <cell r="S505">
            <v>-11391.802</v>
          </cell>
          <cell r="U505">
            <v>-34623.024000000005</v>
          </cell>
          <cell r="Z505">
            <v>-25491.826000000001</v>
          </cell>
          <cell r="AB505">
            <v>0</v>
          </cell>
          <cell r="AD505">
            <v>-1047</v>
          </cell>
          <cell r="AF505">
            <v>0</v>
          </cell>
          <cell r="AH505">
            <v>0</v>
          </cell>
          <cell r="AJ505">
            <v>0</v>
          </cell>
          <cell r="AL505">
            <v>-26538.826000000001</v>
          </cell>
          <cell r="AN505" t="str">
            <v>profit AT BEG.OF PERIOD</v>
          </cell>
          <cell r="AR505">
            <v>-21792</v>
          </cell>
          <cell r="AT505">
            <v>-25497</v>
          </cell>
          <cell r="AV505">
            <v>-25496</v>
          </cell>
          <cell r="AX505">
            <v>1042.8260000000009</v>
          </cell>
        </row>
        <row r="506">
          <cell r="A506" t="str">
            <v>DIVIDEND</v>
          </cell>
          <cell r="C506">
            <v>0</v>
          </cell>
          <cell r="G506">
            <v>0</v>
          </cell>
          <cell r="I506">
            <v>10000</v>
          </cell>
          <cell r="M506">
            <v>0</v>
          </cell>
          <cell r="Q506">
            <v>10000</v>
          </cell>
          <cell r="S506">
            <v>10000</v>
          </cell>
          <cell r="U506">
            <v>0</v>
          </cell>
          <cell r="Z506">
            <v>10000</v>
          </cell>
          <cell r="AB506">
            <v>0</v>
          </cell>
          <cell r="AF506">
            <v>0</v>
          </cell>
          <cell r="AH506">
            <v>0</v>
          </cell>
          <cell r="AJ506">
            <v>0</v>
          </cell>
          <cell r="AL506">
            <v>10000</v>
          </cell>
          <cell r="AN506" t="str">
            <v>DIVIDEND</v>
          </cell>
          <cell r="AR506">
            <v>0</v>
          </cell>
          <cell r="AT506">
            <v>10000</v>
          </cell>
          <cell r="AV506">
            <v>10000</v>
          </cell>
        </row>
        <row r="508">
          <cell r="A508" t="str">
            <v>BAL.OF profit AT END OF PERIOD</v>
          </cell>
          <cell r="C508" t="e">
            <v>#REF!</v>
          </cell>
          <cell r="E508">
            <v>-17308.024000000001</v>
          </cell>
          <cell r="G508" t="e">
            <v>#REF!</v>
          </cell>
          <cell r="I508">
            <v>-3214</v>
          </cell>
          <cell r="M508">
            <v>-17309</v>
          </cell>
          <cell r="Q508">
            <v>-20523</v>
          </cell>
          <cell r="S508" t="e">
            <v>#REF!</v>
          </cell>
          <cell r="U508">
            <v>-34629.024000000005</v>
          </cell>
          <cell r="Z508" t="e">
            <v>#REF!</v>
          </cell>
          <cell r="AB508">
            <v>0</v>
          </cell>
          <cell r="AD508" t="e">
            <v>#REF!</v>
          </cell>
          <cell r="AF508">
            <v>0</v>
          </cell>
          <cell r="AH508">
            <v>0</v>
          </cell>
          <cell r="AJ508">
            <v>0</v>
          </cell>
          <cell r="AL508" t="e">
            <v>#REF!</v>
          </cell>
          <cell r="AN508" t="str">
            <v>BAL.OF profit AT END OF PERIOD</v>
          </cell>
          <cell r="AR508">
            <v>-41252.711609259364</v>
          </cell>
          <cell r="AT508">
            <v>-21793</v>
          </cell>
          <cell r="AV508">
            <v>-41252.711609259364</v>
          </cell>
          <cell r="AX508" t="e">
            <v>#REF!</v>
          </cell>
        </row>
        <row r="509">
          <cell r="AP509">
            <v>-2322.9031230769251</v>
          </cell>
          <cell r="AR509">
            <v>-0.17399999999906868</v>
          </cell>
          <cell r="AT509">
            <v>-2322.0690000000031</v>
          </cell>
        </row>
      </sheetData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 חברה "/>
      <sheetName val="VESTING"/>
      <sheetName val="FAS 123"/>
      <sheetName val="תזרים"/>
      <sheetName val="בדיקת גיליון"/>
      <sheetName val="אחוד"/>
      <sheetName val="פקודות נוספות"/>
      <sheetName val="הון מניות"/>
      <sheetName val="מיסים נדחים"/>
      <sheetName val="U-SOFT"/>
      <sheetName val="השקעה - IPEX"/>
      <sheetName val="השקעה - קומפרו"/>
      <sheetName val="השקעה  - ISI"/>
      <sheetName val="גלעד"/>
      <sheetName val="השקעה - usa"/>
      <sheetName val="SOLU"/>
      <sheetName val="השקעה  בנס ATL"/>
      <sheetName val="USA"/>
      <sheetName val="NESS MATAH"/>
      <sheetName val="מעגלי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COMPANY NAME:</v>
          </cell>
          <cell r="B1" t="str">
            <v>USOFT</v>
          </cell>
        </row>
        <row r="4">
          <cell r="C4" t="str">
            <v>NIS</v>
          </cell>
        </row>
        <row r="5">
          <cell r="C5" t="str">
            <v>NLG</v>
          </cell>
          <cell r="D5" t="str">
            <v>NIS</v>
          </cell>
        </row>
        <row r="7">
          <cell r="A7" t="str">
            <v>CASH</v>
          </cell>
          <cell r="B7" t="str">
            <v>Cash and Cash equivalents</v>
          </cell>
          <cell r="D7">
            <v>0</v>
          </cell>
        </row>
        <row r="8">
          <cell r="B8" t="str">
            <v>Deposits</v>
          </cell>
          <cell r="D8">
            <v>0</v>
          </cell>
        </row>
        <row r="9">
          <cell r="B9" t="str">
            <v>Total</v>
          </cell>
          <cell r="C9">
            <v>0</v>
          </cell>
          <cell r="D9">
            <v>0</v>
          </cell>
        </row>
        <row r="10">
          <cell r="D10">
            <v>0</v>
          </cell>
        </row>
        <row r="11">
          <cell r="A11" t="str">
            <v>SHORT TERM</v>
          </cell>
          <cell r="B11" t="str">
            <v>Short term deposits</v>
          </cell>
          <cell r="D11">
            <v>0</v>
          </cell>
        </row>
        <row r="12">
          <cell r="B12" t="str">
            <v>Total</v>
          </cell>
          <cell r="C12">
            <v>0</v>
          </cell>
          <cell r="D12">
            <v>0</v>
          </cell>
        </row>
        <row r="14">
          <cell r="A14" t="str">
            <v>MARKETABLE SECURITIES</v>
          </cell>
          <cell r="B14" t="str">
            <v>Equity</v>
          </cell>
          <cell r="D14">
            <v>0</v>
          </cell>
        </row>
        <row r="15">
          <cell r="B15" t="str">
            <v>Debentures</v>
          </cell>
          <cell r="D15">
            <v>0</v>
          </cell>
        </row>
        <row r="16">
          <cell r="B16" t="str">
            <v>Total</v>
          </cell>
          <cell r="C16">
            <v>0</v>
          </cell>
          <cell r="D16">
            <v>0</v>
          </cell>
        </row>
        <row r="18">
          <cell r="A18" t="str">
            <v>TRADE RECEIVABLES</v>
          </cell>
          <cell r="B18" t="str">
            <v>Trade receivables-Israeli</v>
          </cell>
          <cell r="D18">
            <v>0</v>
          </cell>
        </row>
        <row r="19">
          <cell r="B19" t="str">
            <v>Trade receivables-non Israeli</v>
          </cell>
          <cell r="C19">
            <v>3498</v>
          </cell>
          <cell r="D19">
            <v>5600</v>
          </cell>
        </row>
        <row r="20">
          <cell r="B20" t="str">
            <v>Allowance for doubtful accounts</v>
          </cell>
          <cell r="D20">
            <v>0</v>
          </cell>
        </row>
        <row r="21">
          <cell r="B21" t="str">
            <v>Unbilled receivables</v>
          </cell>
          <cell r="C21">
            <v>150</v>
          </cell>
          <cell r="D21">
            <v>240</v>
          </cell>
        </row>
        <row r="22">
          <cell r="B22" t="str">
            <v>Total</v>
          </cell>
          <cell r="C22">
            <v>3648</v>
          </cell>
          <cell r="D22">
            <v>5840</v>
          </cell>
        </row>
        <row r="24">
          <cell r="A24" t="str">
            <v>WORK IN PROGRESS</v>
          </cell>
          <cell r="B24" t="str">
            <v>Work in progress</v>
          </cell>
          <cell r="D24">
            <v>0</v>
          </cell>
        </row>
        <row r="25">
          <cell r="B25" t="str">
            <v>Total</v>
          </cell>
          <cell r="C25">
            <v>0</v>
          </cell>
          <cell r="D25">
            <v>0</v>
          </cell>
        </row>
        <row r="27">
          <cell r="A27" t="str">
            <v>INVENTORIES</v>
          </cell>
          <cell r="B27" t="str">
            <v>Inventories</v>
          </cell>
          <cell r="D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</row>
        <row r="30">
          <cell r="A30" t="str">
            <v>OTHER ACCOUNTS RECEIVABLES</v>
          </cell>
          <cell r="B30" t="str">
            <v>Government authorities</v>
          </cell>
          <cell r="C30">
            <v>457</v>
          </cell>
          <cell r="D30">
            <v>732</v>
          </cell>
        </row>
        <row r="31">
          <cell r="B31" t="str">
            <v>Advances - suppliers</v>
          </cell>
          <cell r="D31">
            <v>0</v>
          </cell>
        </row>
        <row r="32">
          <cell r="B32" t="str">
            <v>Employees</v>
          </cell>
          <cell r="C32">
            <v>37</v>
          </cell>
          <cell r="D32">
            <v>59</v>
          </cell>
        </row>
        <row r="33">
          <cell r="B33" t="str">
            <v>Prepaid expenses</v>
          </cell>
          <cell r="C33">
            <v>708</v>
          </cell>
          <cell r="D33">
            <v>1134</v>
          </cell>
        </row>
        <row r="34">
          <cell r="B34" t="str">
            <v>Deferred taxes</v>
          </cell>
          <cell r="D34">
            <v>0</v>
          </cell>
        </row>
        <row r="35">
          <cell r="B35" t="str">
            <v>Others</v>
          </cell>
          <cell r="D35">
            <v>0</v>
          </cell>
        </row>
        <row r="36">
          <cell r="B36" t="str">
            <v>Total</v>
          </cell>
          <cell r="C36">
            <v>1202</v>
          </cell>
          <cell r="D36">
            <v>1925</v>
          </cell>
        </row>
        <row r="38">
          <cell r="A38" t="str">
            <v xml:space="preserve"> HIZ SUB</v>
          </cell>
          <cell r="B38" t="str">
            <v xml:space="preserve"> NESS Subsidiaries</v>
          </cell>
          <cell r="C38">
            <v>-2842</v>
          </cell>
          <cell r="D38">
            <v>-4550</v>
          </cell>
        </row>
        <row r="39">
          <cell r="B39" t="str">
            <v>Total</v>
          </cell>
          <cell r="C39">
            <v>-2842</v>
          </cell>
          <cell r="D39">
            <v>-4550</v>
          </cell>
        </row>
        <row r="41">
          <cell r="A41" t="str">
            <v>RELATED PARTIES</v>
          </cell>
          <cell r="B41" t="str">
            <v>Related parties, Net</v>
          </cell>
          <cell r="D41">
            <v>0</v>
          </cell>
        </row>
        <row r="42">
          <cell r="B42" t="str">
            <v>Total</v>
          </cell>
          <cell r="C42">
            <v>0</v>
          </cell>
          <cell r="D42">
            <v>0</v>
          </cell>
        </row>
        <row r="44">
          <cell r="A44" t="str">
            <v>INV IN SUB</v>
          </cell>
          <cell r="B44" t="str">
            <v>Affiliates</v>
          </cell>
          <cell r="D44">
            <v>0</v>
          </cell>
        </row>
        <row r="45">
          <cell r="B45" t="str">
            <v>Total</v>
          </cell>
          <cell r="C45">
            <v>0</v>
          </cell>
          <cell r="D45">
            <v>0</v>
          </cell>
        </row>
        <row r="47">
          <cell r="A47" t="str">
            <v>LONG TERM RECEIVABLES</v>
          </cell>
          <cell r="B47" t="str">
            <v>Deposits in respect of lease</v>
          </cell>
          <cell r="C47">
            <v>112</v>
          </cell>
          <cell r="D47">
            <v>179</v>
          </cell>
        </row>
        <row r="48">
          <cell r="B48" t="str">
            <v>Trade receivables</v>
          </cell>
          <cell r="D48">
            <v>0</v>
          </cell>
        </row>
        <row r="49">
          <cell r="B49" t="str">
            <v>Prepaid expensesand deposits</v>
          </cell>
          <cell r="D49">
            <v>0</v>
          </cell>
        </row>
        <row r="50">
          <cell r="B50" t="str">
            <v>Loans</v>
          </cell>
          <cell r="D50">
            <v>0</v>
          </cell>
        </row>
        <row r="51">
          <cell r="B51" t="str">
            <v>Severance pay fund</v>
          </cell>
          <cell r="D51">
            <v>0</v>
          </cell>
        </row>
        <row r="52">
          <cell r="B52" t="str">
            <v>Marketable securities</v>
          </cell>
          <cell r="D52">
            <v>0</v>
          </cell>
        </row>
        <row r="53">
          <cell r="B53" t="str">
            <v>Defered Tax</v>
          </cell>
          <cell r="D53">
            <v>0</v>
          </cell>
        </row>
        <row r="54">
          <cell r="B54" t="str">
            <v>Total</v>
          </cell>
          <cell r="C54">
            <v>112</v>
          </cell>
          <cell r="D54">
            <v>179</v>
          </cell>
        </row>
        <row r="56">
          <cell r="A56" t="str">
            <v>FIXED ASSETS - COST</v>
          </cell>
          <cell r="B56" t="str">
            <v>Computers &amp; Peripheral Device</v>
          </cell>
          <cell r="C56">
            <v>3781</v>
          </cell>
          <cell r="D56">
            <v>6053</v>
          </cell>
        </row>
        <row r="57">
          <cell r="B57" t="str">
            <v>Office Equipment</v>
          </cell>
          <cell r="C57">
            <v>881</v>
          </cell>
          <cell r="D57">
            <v>1410</v>
          </cell>
        </row>
        <row r="58">
          <cell r="B58" t="str">
            <v>vehicles</v>
          </cell>
          <cell r="C58">
            <v>21</v>
          </cell>
          <cell r="D58">
            <v>34</v>
          </cell>
        </row>
        <row r="59">
          <cell r="B59" t="str">
            <v>Improvement in rented equipment</v>
          </cell>
          <cell r="C59">
            <v>1442</v>
          </cell>
          <cell r="D59">
            <v>2309</v>
          </cell>
        </row>
        <row r="60">
          <cell r="B60" t="str">
            <v>Total</v>
          </cell>
          <cell r="C60">
            <v>6125</v>
          </cell>
          <cell r="D60">
            <v>9806</v>
          </cell>
        </row>
        <row r="62">
          <cell r="A62" t="str">
            <v>ACCUMULATED DEPRECIATION</v>
          </cell>
          <cell r="B62" t="str">
            <v>Computers &amp; Peripheral Device</v>
          </cell>
          <cell r="C62">
            <v>-2993</v>
          </cell>
          <cell r="D62">
            <v>-4792</v>
          </cell>
        </row>
        <row r="63">
          <cell r="B63" t="str">
            <v>Office Equipment</v>
          </cell>
          <cell r="C63">
            <v>-851</v>
          </cell>
          <cell r="D63">
            <v>-1362</v>
          </cell>
        </row>
        <row r="64">
          <cell r="B64" t="str">
            <v>vehicles</v>
          </cell>
          <cell r="C64">
            <v>-14</v>
          </cell>
          <cell r="D64">
            <v>-22</v>
          </cell>
        </row>
        <row r="65">
          <cell r="B65" t="str">
            <v>Improvement in rented equipment</v>
          </cell>
          <cell r="C65">
            <v>-1280</v>
          </cell>
          <cell r="D65">
            <v>-2049</v>
          </cell>
        </row>
        <row r="66">
          <cell r="B66" t="str">
            <v>Total</v>
          </cell>
          <cell r="C66">
            <v>-5138</v>
          </cell>
          <cell r="D66">
            <v>-8225</v>
          </cell>
        </row>
        <row r="68">
          <cell r="A68" t="str">
            <v>OTHER ASSETS</v>
          </cell>
          <cell r="B68" t="str">
            <v>Goodwill - Cost</v>
          </cell>
          <cell r="D68">
            <v>0</v>
          </cell>
        </row>
        <row r="69">
          <cell r="B69" t="str">
            <v>Goodwill - Amortization</v>
          </cell>
          <cell r="D69">
            <v>0</v>
          </cell>
        </row>
        <row r="70">
          <cell r="B70" t="str">
            <v>Others</v>
          </cell>
          <cell r="D70">
            <v>0</v>
          </cell>
        </row>
        <row r="71">
          <cell r="B71" t="str">
            <v>Total</v>
          </cell>
          <cell r="C71">
            <v>0</v>
          </cell>
          <cell r="D71">
            <v>0</v>
          </cell>
        </row>
        <row r="73">
          <cell r="A73" t="str">
            <v>SHORT TERM DEBTS</v>
          </cell>
          <cell r="B73" t="str">
            <v>Loans from banks</v>
          </cell>
          <cell r="D73">
            <v>0</v>
          </cell>
        </row>
        <row r="74">
          <cell r="B74" t="str">
            <v>Bank credit</v>
          </cell>
          <cell r="C74">
            <v>-1960</v>
          </cell>
          <cell r="D74">
            <v>-3138</v>
          </cell>
        </row>
        <row r="75">
          <cell r="B75" t="str">
            <v>Others</v>
          </cell>
          <cell r="D75">
            <v>0</v>
          </cell>
        </row>
        <row r="76">
          <cell r="B76" t="str">
            <v>Total</v>
          </cell>
          <cell r="C76">
            <v>-1960</v>
          </cell>
          <cell r="D76">
            <v>-3138</v>
          </cell>
        </row>
        <row r="78">
          <cell r="A78" t="str">
            <v>CURRENT MATURITIES</v>
          </cell>
          <cell r="B78" t="str">
            <v>Current maturities</v>
          </cell>
          <cell r="D78">
            <v>0</v>
          </cell>
        </row>
        <row r="79">
          <cell r="B79" t="str">
            <v>Total</v>
          </cell>
          <cell r="C79">
            <v>0</v>
          </cell>
          <cell r="D79">
            <v>0</v>
          </cell>
        </row>
        <row r="81">
          <cell r="A81" t="str">
            <v>TRADE PAYABLES</v>
          </cell>
          <cell r="B81" t="str">
            <v>Trade payables-Israeli</v>
          </cell>
          <cell r="D81">
            <v>0</v>
          </cell>
        </row>
        <row r="82">
          <cell r="B82" t="str">
            <v>Trade payables-non Israeli</v>
          </cell>
          <cell r="C82">
            <v>-1821</v>
          </cell>
          <cell r="D82">
            <v>-2915</v>
          </cell>
        </row>
        <row r="83">
          <cell r="B83" t="str">
            <v>Total</v>
          </cell>
          <cell r="C83">
            <v>-1821</v>
          </cell>
          <cell r="D83">
            <v>-2915</v>
          </cell>
        </row>
        <row r="85">
          <cell r="A85" t="str">
            <v>CUSTOMER ADVANCES</v>
          </cell>
          <cell r="B85" t="str">
            <v>Customer advances</v>
          </cell>
          <cell r="D85">
            <v>0</v>
          </cell>
        </row>
        <row r="86">
          <cell r="B86" t="str">
            <v>Total</v>
          </cell>
          <cell r="C86">
            <v>0</v>
          </cell>
          <cell r="D86">
            <v>0</v>
          </cell>
        </row>
        <row r="88">
          <cell r="A88" t="str">
            <v>OTHER ACCOUNTS PAYABLES</v>
          </cell>
          <cell r="B88" t="str">
            <v>Employees</v>
          </cell>
          <cell r="C88">
            <v>-177</v>
          </cell>
          <cell r="D88">
            <v>-283</v>
          </cell>
        </row>
        <row r="89">
          <cell r="B89" t="str">
            <v>Accrued vacation and employee benefits</v>
          </cell>
          <cell r="D89">
            <v>0</v>
          </cell>
        </row>
        <row r="90">
          <cell r="B90" t="str">
            <v>Government authorities</v>
          </cell>
          <cell r="C90">
            <v>-513</v>
          </cell>
          <cell r="D90">
            <v>-821</v>
          </cell>
        </row>
        <row r="91">
          <cell r="B91" t="str">
            <v>Accrued expenses</v>
          </cell>
          <cell r="C91">
            <v>-885</v>
          </cell>
          <cell r="D91">
            <v>-1417</v>
          </cell>
        </row>
        <row r="92">
          <cell r="B92" t="str">
            <v>Warrenty provision</v>
          </cell>
          <cell r="D92">
            <v>0</v>
          </cell>
        </row>
        <row r="93">
          <cell r="B93" t="str">
            <v>Deferred income</v>
          </cell>
          <cell r="C93">
            <v>-2868</v>
          </cell>
          <cell r="D93">
            <v>-4592</v>
          </cell>
        </row>
        <row r="94">
          <cell r="B94" t="str">
            <v>Deferred tax liabilities</v>
          </cell>
          <cell r="D94">
            <v>0</v>
          </cell>
        </row>
        <row r="95">
          <cell r="B95" t="str">
            <v xml:space="preserve">Dividend to pay </v>
          </cell>
          <cell r="D95">
            <v>0</v>
          </cell>
        </row>
        <row r="96">
          <cell r="B96" t="str">
            <v>Others</v>
          </cell>
          <cell r="C96">
            <v>-11</v>
          </cell>
          <cell r="D96">
            <v>-18</v>
          </cell>
        </row>
        <row r="97">
          <cell r="B97" t="str">
            <v>Total</v>
          </cell>
          <cell r="C97">
            <v>-4454</v>
          </cell>
          <cell r="D97">
            <v>-7131</v>
          </cell>
        </row>
        <row r="99">
          <cell r="A99" t="str">
            <v>LONG TERM LOANS</v>
          </cell>
          <cell r="B99" t="str">
            <v>Bank loans - Nis</v>
          </cell>
          <cell r="D99">
            <v>0</v>
          </cell>
        </row>
        <row r="100">
          <cell r="B100" t="str">
            <v>Bank loans - $</v>
          </cell>
          <cell r="D100">
            <v>0</v>
          </cell>
        </row>
        <row r="101">
          <cell r="B101" t="str">
            <v>Capital note</v>
          </cell>
          <cell r="D101">
            <v>0</v>
          </cell>
        </row>
        <row r="102">
          <cell r="B102" t="str">
            <v>Other loans</v>
          </cell>
          <cell r="D102">
            <v>0</v>
          </cell>
        </row>
        <row r="103">
          <cell r="B103" t="str">
            <v>Total</v>
          </cell>
          <cell r="C103">
            <v>0</v>
          </cell>
          <cell r="D103">
            <v>0</v>
          </cell>
        </row>
        <row r="105">
          <cell r="A105" t="str">
            <v>LONG TERM LIABILITIES</v>
          </cell>
          <cell r="B105" t="str">
            <v>Accrued severance pay</v>
          </cell>
          <cell r="C105">
            <v>-200</v>
          </cell>
          <cell r="D105">
            <v>-320</v>
          </cell>
        </row>
        <row r="106">
          <cell r="B106" t="str">
            <v>Deferred tax liabilities</v>
          </cell>
          <cell r="D106">
            <v>0</v>
          </cell>
        </row>
        <row r="107">
          <cell r="B107" t="str">
            <v>Total</v>
          </cell>
          <cell r="C107">
            <v>-200</v>
          </cell>
          <cell r="D107">
            <v>-320</v>
          </cell>
        </row>
        <row r="109">
          <cell r="A109" t="str">
            <v>MINORITY INTEREST</v>
          </cell>
          <cell r="B109" t="str">
            <v>Minority Interest</v>
          </cell>
          <cell r="D109">
            <v>0</v>
          </cell>
        </row>
        <row r="110">
          <cell r="B110" t="str">
            <v>Total</v>
          </cell>
        </row>
        <row r="112">
          <cell r="A112" t="str">
            <v>SHAREHOLDERS EQUITY</v>
          </cell>
          <cell r="B112" t="str">
            <v>Shares</v>
          </cell>
          <cell r="C112">
            <v>-46</v>
          </cell>
        </row>
        <row r="113">
          <cell r="B113" t="str">
            <v>Additional paid in capital</v>
          </cell>
          <cell r="C113">
            <v>-35595</v>
          </cell>
        </row>
        <row r="114">
          <cell r="B114" t="str">
            <v>Deferred Compensation</v>
          </cell>
          <cell r="D114">
            <v>0</v>
          </cell>
        </row>
        <row r="115">
          <cell r="B115" t="str">
            <v>Other Capital Reserve</v>
          </cell>
          <cell r="D115">
            <v>0</v>
          </cell>
        </row>
        <row r="116">
          <cell r="B116" t="str">
            <v>Translation adjastments</v>
          </cell>
          <cell r="C116">
            <v>-44</v>
          </cell>
          <cell r="D116">
            <v>-874</v>
          </cell>
        </row>
        <row r="117">
          <cell r="B117" t="str">
            <v>Unrealized gains - marketable securities</v>
          </cell>
          <cell r="D117">
            <v>0</v>
          </cell>
        </row>
        <row r="118">
          <cell r="B118" t="str">
            <v xml:space="preserve">Accumulated deficit </v>
          </cell>
          <cell r="C118">
            <v>40353</v>
          </cell>
          <cell r="D118">
            <v>8287</v>
          </cell>
        </row>
        <row r="119">
          <cell r="B119" t="str">
            <v>Accumulated deficit - for the period</v>
          </cell>
          <cell r="C119">
            <v>660</v>
          </cell>
          <cell r="D119">
            <v>1116</v>
          </cell>
        </row>
        <row r="120">
          <cell r="B120" t="str">
            <v>Total</v>
          </cell>
          <cell r="C120">
            <v>5328</v>
          </cell>
          <cell r="D120">
            <v>8529</v>
          </cell>
        </row>
        <row r="122">
          <cell r="B122" t="str">
            <v>Check</v>
          </cell>
          <cell r="C122">
            <v>0</v>
          </cell>
          <cell r="D122">
            <v>0</v>
          </cell>
        </row>
        <row r="127">
          <cell r="B127" t="str">
            <v>Sales</v>
          </cell>
        </row>
        <row r="128">
          <cell r="A128" t="str">
            <v>REVENUES</v>
          </cell>
          <cell r="B128" t="str">
            <v>Revenues from IT services</v>
          </cell>
          <cell r="C128">
            <v>-8494</v>
          </cell>
          <cell r="D128">
            <v>-11865</v>
          </cell>
        </row>
        <row r="129">
          <cell r="B129" t="str">
            <v>Revenues from marketing of software products</v>
          </cell>
          <cell r="C129">
            <v>-935</v>
          </cell>
          <cell r="D129">
            <v>-1580</v>
          </cell>
        </row>
        <row r="130">
          <cell r="B130" t="str">
            <v>Revenues from software</v>
          </cell>
        </row>
        <row r="131">
          <cell r="B131" t="str">
            <v>Related parties</v>
          </cell>
          <cell r="D131">
            <v>-2489</v>
          </cell>
        </row>
        <row r="132">
          <cell r="B132" t="str">
            <v>Total</v>
          </cell>
          <cell r="C132">
            <v>-9429</v>
          </cell>
          <cell r="D132">
            <v>-15934</v>
          </cell>
        </row>
        <row r="133">
          <cell r="B133" t="str">
            <v>COGS</v>
          </cell>
        </row>
        <row r="134">
          <cell r="A134" t="str">
            <v>COST OF REVENUES</v>
          </cell>
          <cell r="B134" t="str">
            <v>Salaries and related expenses</v>
          </cell>
          <cell r="C134">
            <v>3579</v>
          </cell>
          <cell r="D134">
            <v>6048</v>
          </cell>
        </row>
        <row r="135">
          <cell r="B135" t="str">
            <v>Cars rental</v>
          </cell>
          <cell r="D135">
            <v>0</v>
          </cell>
        </row>
        <row r="136">
          <cell r="B136" t="str">
            <v>Related parties</v>
          </cell>
          <cell r="D136">
            <v>0</v>
          </cell>
        </row>
        <row r="137">
          <cell r="B137" t="str">
            <v>Building rental and maintenance</v>
          </cell>
          <cell r="C137">
            <v>396</v>
          </cell>
          <cell r="D137">
            <v>669</v>
          </cell>
        </row>
        <row r="138">
          <cell r="B138" t="str">
            <v>Depreciation</v>
          </cell>
          <cell r="C138">
            <v>353</v>
          </cell>
          <cell r="D138">
            <v>597</v>
          </cell>
        </row>
        <row r="139">
          <cell r="B139" t="str">
            <v>Materials</v>
          </cell>
          <cell r="C139">
            <v>30</v>
          </cell>
          <cell r="D139">
            <v>51</v>
          </cell>
        </row>
        <row r="140">
          <cell r="B140" t="str">
            <v>Subcontractors</v>
          </cell>
          <cell r="D140">
            <v>0</v>
          </cell>
        </row>
        <row r="141">
          <cell r="B141" t="str">
            <v>Work in progress</v>
          </cell>
          <cell r="D141">
            <v>0</v>
          </cell>
        </row>
        <row r="142">
          <cell r="B142" t="str">
            <v>Others</v>
          </cell>
          <cell r="C142">
            <v>44</v>
          </cell>
          <cell r="D142">
            <v>74</v>
          </cell>
        </row>
        <row r="143">
          <cell r="B143" t="str">
            <v>Total</v>
          </cell>
          <cell r="C143">
            <v>4402</v>
          </cell>
          <cell r="D143">
            <v>7439</v>
          </cell>
        </row>
        <row r="145">
          <cell r="A145" t="str">
            <v>GP</v>
          </cell>
          <cell r="B145" t="str">
            <v>GP</v>
          </cell>
          <cell r="C145">
            <v>-5027</v>
          </cell>
          <cell r="D145">
            <v>-8495</v>
          </cell>
        </row>
        <row r="146">
          <cell r="C146">
            <v>0.53314243291971575</v>
          </cell>
          <cell r="D146">
            <v>0.53313668884147103</v>
          </cell>
        </row>
        <row r="147">
          <cell r="B147" t="str">
            <v>R&amp;D</v>
          </cell>
        </row>
        <row r="148">
          <cell r="A148" t="str">
            <v>R&amp;D</v>
          </cell>
          <cell r="B148" t="str">
            <v>Salaries and related expenses</v>
          </cell>
          <cell r="C148">
            <v>1188</v>
          </cell>
          <cell r="D148">
            <v>2008</v>
          </cell>
        </row>
        <row r="149">
          <cell r="B149" t="str">
            <v>Subcontractors</v>
          </cell>
          <cell r="D149">
            <v>0</v>
          </cell>
        </row>
        <row r="150">
          <cell r="B150" t="str">
            <v>Depreciation</v>
          </cell>
          <cell r="D150">
            <v>0</v>
          </cell>
        </row>
        <row r="151">
          <cell r="B151" t="str">
            <v>Consultation</v>
          </cell>
          <cell r="D151">
            <v>0</v>
          </cell>
        </row>
        <row r="152">
          <cell r="B152" t="str">
            <v>Others</v>
          </cell>
          <cell r="C152">
            <v>66</v>
          </cell>
          <cell r="D152">
            <v>112</v>
          </cell>
        </row>
        <row r="153">
          <cell r="B153" t="str">
            <v>Less - OCS Participation</v>
          </cell>
          <cell r="D153">
            <v>0</v>
          </cell>
        </row>
        <row r="154">
          <cell r="B154" t="str">
            <v>Total</v>
          </cell>
          <cell r="C154">
            <v>1254</v>
          </cell>
          <cell r="D154">
            <v>2120</v>
          </cell>
        </row>
        <row r="155">
          <cell r="D155">
            <v>-0.13304882640893687</v>
          </cell>
        </row>
        <row r="156">
          <cell r="A156" t="str">
            <v>S&amp;M</v>
          </cell>
          <cell r="B156" t="str">
            <v>Salaries and related expenses</v>
          </cell>
          <cell r="C156">
            <v>1009</v>
          </cell>
          <cell r="D156">
            <v>1705</v>
          </cell>
        </row>
        <row r="157">
          <cell r="B157" t="str">
            <v>Depreciation</v>
          </cell>
          <cell r="D157">
            <v>0</v>
          </cell>
        </row>
        <row r="158">
          <cell r="B158" t="str">
            <v>Traveling Abroad</v>
          </cell>
          <cell r="C158">
            <v>228</v>
          </cell>
          <cell r="D158">
            <v>385</v>
          </cell>
        </row>
        <row r="159">
          <cell r="B159" t="str">
            <v>Advertisment</v>
          </cell>
          <cell r="C159">
            <v>65</v>
          </cell>
          <cell r="D159">
            <v>110</v>
          </cell>
        </row>
        <row r="160">
          <cell r="B160" t="str">
            <v>Others</v>
          </cell>
          <cell r="C160">
            <v>486</v>
          </cell>
          <cell r="D160">
            <v>821</v>
          </cell>
        </row>
        <row r="161">
          <cell r="B161" t="str">
            <v>Less - Government Marketing Participation</v>
          </cell>
          <cell r="D161">
            <v>0</v>
          </cell>
        </row>
        <row r="162">
          <cell r="B162" t="str">
            <v>Total</v>
          </cell>
          <cell r="C162">
            <v>1788</v>
          </cell>
          <cell r="D162">
            <v>3021</v>
          </cell>
        </row>
        <row r="164">
          <cell r="A164" t="str">
            <v>G&amp;A</v>
          </cell>
          <cell r="B164" t="str">
            <v>Salaries and related expenses</v>
          </cell>
          <cell r="C164">
            <v>832</v>
          </cell>
          <cell r="D164">
            <v>1406</v>
          </cell>
        </row>
        <row r="165">
          <cell r="B165" t="str">
            <v>Cars rental</v>
          </cell>
          <cell r="D165">
            <v>0</v>
          </cell>
        </row>
        <row r="166">
          <cell r="B166" t="str">
            <v>Equipment Maintenance</v>
          </cell>
          <cell r="C166">
            <v>449</v>
          </cell>
          <cell r="D166">
            <v>759</v>
          </cell>
        </row>
        <row r="167">
          <cell r="B167" t="str">
            <v>Traveling Abroad</v>
          </cell>
          <cell r="C167">
            <v>98</v>
          </cell>
          <cell r="D167">
            <v>166</v>
          </cell>
        </row>
        <row r="168">
          <cell r="B168" t="str">
            <v>Depreciation</v>
          </cell>
          <cell r="D168">
            <v>0</v>
          </cell>
        </row>
        <row r="169">
          <cell r="B169" t="str">
            <v>Part in the par com</v>
          </cell>
          <cell r="D169">
            <v>0</v>
          </cell>
        </row>
        <row r="170">
          <cell r="B170" t="str">
            <v>Management Fee</v>
          </cell>
          <cell r="D170">
            <v>0</v>
          </cell>
        </row>
        <row r="171">
          <cell r="B171" t="str">
            <v>Doubtful Debt Provision Expenses</v>
          </cell>
          <cell r="D171">
            <v>0</v>
          </cell>
        </row>
        <row r="172">
          <cell r="B172" t="str">
            <v>Others</v>
          </cell>
          <cell r="C172">
            <v>1037</v>
          </cell>
          <cell r="D172">
            <v>1752</v>
          </cell>
        </row>
        <row r="173">
          <cell r="B173" t="str">
            <v>Total</v>
          </cell>
          <cell r="C173">
            <v>2416</v>
          </cell>
          <cell r="D173">
            <v>4083</v>
          </cell>
        </row>
        <row r="174">
          <cell r="D174">
            <v>-0.2562445085979666</v>
          </cell>
        </row>
        <row r="175">
          <cell r="A175" t="str">
            <v>GOODWILL AMORTIZATION</v>
          </cell>
          <cell r="B175" t="str">
            <v>Goodwill amortization</v>
          </cell>
          <cell r="D175">
            <v>0</v>
          </cell>
        </row>
        <row r="176">
          <cell r="B176" t="str">
            <v>Total</v>
          </cell>
          <cell r="C176">
            <v>0</v>
          </cell>
          <cell r="D176">
            <v>0</v>
          </cell>
        </row>
        <row r="178">
          <cell r="B178" t="str">
            <v xml:space="preserve"> O.I</v>
          </cell>
          <cell r="C178">
            <v>431</v>
          </cell>
          <cell r="D178">
            <v>729</v>
          </cell>
        </row>
        <row r="180">
          <cell r="A180" t="str">
            <v>FINANCE EXPENSES/INCOME</v>
          </cell>
          <cell r="B180" t="str">
            <v>Finance expenses/income</v>
          </cell>
          <cell r="C180">
            <v>229</v>
          </cell>
          <cell r="D180">
            <v>387</v>
          </cell>
        </row>
        <row r="181">
          <cell r="B181" t="str">
            <v>Total</v>
          </cell>
          <cell r="C181">
            <v>229</v>
          </cell>
          <cell r="D181">
            <v>387</v>
          </cell>
        </row>
        <row r="183">
          <cell r="A183" t="str">
            <v>OTHER INCOME</v>
          </cell>
          <cell r="B183" t="str">
            <v>Other income</v>
          </cell>
          <cell r="D183">
            <v>0</v>
          </cell>
        </row>
        <row r="184">
          <cell r="B184" t="str">
            <v>Total</v>
          </cell>
          <cell r="C184">
            <v>0</v>
          </cell>
          <cell r="D184">
            <v>0</v>
          </cell>
        </row>
        <row r="186">
          <cell r="B186" t="str">
            <v>CurrentTax</v>
          </cell>
          <cell r="D186">
            <v>0</v>
          </cell>
        </row>
        <row r="187">
          <cell r="B187" t="str">
            <v>Defferd Tax</v>
          </cell>
          <cell r="D187">
            <v>0</v>
          </cell>
        </row>
        <row r="188">
          <cell r="A188" t="str">
            <v>TAX</v>
          </cell>
          <cell r="B188" t="str">
            <v>Others</v>
          </cell>
          <cell r="D188">
            <v>0</v>
          </cell>
        </row>
        <row r="189">
          <cell r="B189" t="str">
            <v>Total</v>
          </cell>
          <cell r="C189">
            <v>0</v>
          </cell>
          <cell r="D189">
            <v>0</v>
          </cell>
        </row>
        <row r="191">
          <cell r="A191" t="str">
            <v>EQUITY EARNINGS</v>
          </cell>
          <cell r="B191" t="str">
            <v>Equity earnings</v>
          </cell>
          <cell r="D191">
            <v>0</v>
          </cell>
        </row>
        <row r="192">
          <cell r="B192" t="str">
            <v>Total</v>
          </cell>
          <cell r="C192">
            <v>0</v>
          </cell>
          <cell r="D192">
            <v>0</v>
          </cell>
        </row>
        <row r="194">
          <cell r="A194" t="str">
            <v>MINORITY INTEREST</v>
          </cell>
          <cell r="B194" t="str">
            <v>Minority interest</v>
          </cell>
          <cell r="D194">
            <v>0</v>
          </cell>
        </row>
        <row r="195">
          <cell r="B195" t="str">
            <v>Total</v>
          </cell>
        </row>
        <row r="197">
          <cell r="B197" t="str">
            <v>NI</v>
          </cell>
          <cell r="C197">
            <v>660</v>
          </cell>
          <cell r="D197">
            <v>1116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1">
          <cell r="A1" t="str">
            <v>נס מטח</v>
          </cell>
          <cell r="B1" t="str">
            <v xml:space="preserve">מחשבים </v>
          </cell>
          <cell r="C1" t="str">
            <v xml:space="preserve">ריהוט </v>
          </cell>
          <cell r="E1" t="str">
            <v xml:space="preserve">שיפורים </v>
          </cell>
          <cell r="G1" t="str">
            <v xml:space="preserve">נס ישראל </v>
          </cell>
          <cell r="H1" t="str">
            <v xml:space="preserve">מחשבים </v>
          </cell>
          <cell r="I1" t="str">
            <v xml:space="preserve">ריהוט </v>
          </cell>
          <cell r="K1" t="str">
            <v xml:space="preserve">שיפורים </v>
          </cell>
          <cell r="M1" t="str">
            <v>נס AT</v>
          </cell>
          <cell r="N1" t="str">
            <v xml:space="preserve">מחשבים </v>
          </cell>
          <cell r="O1" t="str">
            <v xml:space="preserve">ריהוט </v>
          </cell>
          <cell r="Q1" t="str">
            <v xml:space="preserve">שיפורים </v>
          </cell>
          <cell r="Y1" t="str">
            <v>BSG נס</v>
          </cell>
          <cell r="Z1" t="str">
            <v xml:space="preserve">מחשבים </v>
          </cell>
          <cell r="AA1" t="str">
            <v xml:space="preserve">ריהוט </v>
          </cell>
          <cell r="AC1" t="str">
            <v xml:space="preserve">שיפורים </v>
          </cell>
          <cell r="AE1" t="str">
            <v>VEN</v>
          </cell>
          <cell r="AF1" t="str">
            <v xml:space="preserve">מחשבים </v>
          </cell>
          <cell r="AG1" t="str">
            <v xml:space="preserve">ריהוט </v>
          </cell>
          <cell r="AI1" t="str">
            <v xml:space="preserve">שיפורים </v>
          </cell>
          <cell r="AK1" t="str">
            <v>U-SOFT</v>
          </cell>
          <cell r="AL1" t="str">
            <v xml:space="preserve">מחשבים </v>
          </cell>
          <cell r="AM1" t="str">
            <v xml:space="preserve">ריהוט </v>
          </cell>
          <cell r="AO1" t="str">
            <v xml:space="preserve">שיפורים </v>
          </cell>
          <cell r="AQ1" t="str">
            <v>ISI</v>
          </cell>
          <cell r="AR1" t="str">
            <v xml:space="preserve">מחשבים </v>
          </cell>
          <cell r="AS1" t="str">
            <v xml:space="preserve">ריהוט </v>
          </cell>
          <cell r="AU1" t="str">
            <v xml:space="preserve">שיפורים </v>
          </cell>
          <cell r="AW1" t="str">
            <v>ING</v>
          </cell>
          <cell r="AX1" t="str">
            <v xml:space="preserve">מחשבים </v>
          </cell>
          <cell r="AY1" t="str">
            <v xml:space="preserve">ריהוט </v>
          </cell>
          <cell r="BA1" t="str">
            <v xml:space="preserve">שיפורים </v>
          </cell>
          <cell r="BC1" t="str">
            <v>סה"כ</v>
          </cell>
          <cell r="BD1" t="str">
            <v xml:space="preserve">מחשבים </v>
          </cell>
          <cell r="BE1" t="str">
            <v xml:space="preserve">ריהוט </v>
          </cell>
          <cell r="BG1" t="str">
            <v xml:space="preserve">שיפורים </v>
          </cell>
          <cell r="BH1" t="str">
            <v xml:space="preserve">שיפורים </v>
          </cell>
          <cell r="BI1" t="str">
            <v xml:space="preserve">בנין </v>
          </cell>
        </row>
        <row r="2">
          <cell r="B2" t="str">
            <v>וציוד היקפי</v>
          </cell>
          <cell r="C2" t="str">
            <v>וציוד משרדי</v>
          </cell>
          <cell r="D2" t="str">
            <v>כלי רכב</v>
          </cell>
          <cell r="E2" t="str">
            <v>במושכר</v>
          </cell>
          <cell r="F2" t="str">
            <v>סה"כ</v>
          </cell>
          <cell r="H2" t="str">
            <v>וציוד היקפי</v>
          </cell>
          <cell r="I2" t="str">
            <v>וציוד משרדי</v>
          </cell>
          <cell r="J2" t="str">
            <v>כלי רכב</v>
          </cell>
          <cell r="K2" t="str">
            <v>במושכר</v>
          </cell>
          <cell r="L2" t="str">
            <v>סה"כ</v>
          </cell>
          <cell r="N2" t="str">
            <v>וציוד היקפי</v>
          </cell>
          <cell r="O2" t="str">
            <v>וציוד משרדי</v>
          </cell>
          <cell r="P2" t="str">
            <v>כלי רכב</v>
          </cell>
          <cell r="Q2" t="str">
            <v>במושכר</v>
          </cell>
          <cell r="R2" t="str">
            <v>סה"כ</v>
          </cell>
          <cell r="Z2" t="str">
            <v>וציוד היקפי</v>
          </cell>
          <cell r="AA2" t="str">
            <v>וציוד משרדי</v>
          </cell>
          <cell r="AB2" t="str">
            <v>כלי רכב</v>
          </cell>
          <cell r="AC2" t="str">
            <v>במושכר</v>
          </cell>
          <cell r="AD2" t="str">
            <v>סה"כ</v>
          </cell>
          <cell r="AF2" t="str">
            <v>וציוד היקפי</v>
          </cell>
          <cell r="AG2" t="str">
            <v>וציוד משרדי</v>
          </cell>
          <cell r="AH2" t="str">
            <v>כלי רכב</v>
          </cell>
          <cell r="AI2" t="str">
            <v>במושכר</v>
          </cell>
          <cell r="AJ2" t="str">
            <v>סה"כ</v>
          </cell>
          <cell r="AL2" t="str">
            <v>וציוד היקפי</v>
          </cell>
          <cell r="AM2" t="str">
            <v>וציוד משרדי</v>
          </cell>
          <cell r="AN2" t="str">
            <v>כלי רכב</v>
          </cell>
          <cell r="AO2" t="str">
            <v>במושכר</v>
          </cell>
          <cell r="AP2" t="str">
            <v>סה"כ</v>
          </cell>
          <cell r="AR2" t="str">
            <v>וציוד היקפי</v>
          </cell>
          <cell r="AS2" t="str">
            <v>וציוד משרדי</v>
          </cell>
          <cell r="AT2" t="str">
            <v>כלי רכב</v>
          </cell>
          <cell r="AU2" t="str">
            <v>במושכר</v>
          </cell>
          <cell r="AV2" t="str">
            <v>סה"כ</v>
          </cell>
          <cell r="AX2" t="str">
            <v>וציוד היקפי</v>
          </cell>
          <cell r="AY2" t="str">
            <v>וציוד משרדי</v>
          </cell>
          <cell r="AZ2" t="str">
            <v>כלי רכב</v>
          </cell>
          <cell r="BA2" t="str">
            <v>במושכר</v>
          </cell>
          <cell r="BB2" t="str">
            <v>סה"כ</v>
          </cell>
          <cell r="BD2" t="str">
            <v>וציוד היקפי</v>
          </cell>
          <cell r="BE2" t="str">
            <v>וציוד משרדי</v>
          </cell>
          <cell r="BF2" t="str">
            <v>כלי רכב</v>
          </cell>
          <cell r="BG2" t="str">
            <v>במושכר</v>
          </cell>
          <cell r="BH2" t="str">
            <v xml:space="preserve">במושכר </v>
          </cell>
          <cell r="BI2">
            <v>1</v>
          </cell>
          <cell r="BJ2" t="str">
            <v>סה"כ</v>
          </cell>
        </row>
        <row r="4">
          <cell r="A4" t="str">
            <v>עלות</v>
          </cell>
          <cell r="G4" t="str">
            <v>עלות</v>
          </cell>
          <cell r="M4" t="str">
            <v>עלות</v>
          </cell>
          <cell r="Y4" t="str">
            <v>עלות</v>
          </cell>
          <cell r="AE4" t="str">
            <v>עלות</v>
          </cell>
          <cell r="AK4" t="str">
            <v>עלות</v>
          </cell>
          <cell r="AQ4" t="str">
            <v>עלות</v>
          </cell>
          <cell r="AW4" t="str">
            <v>עלות</v>
          </cell>
          <cell r="BC4" t="str">
            <v>עלות</v>
          </cell>
          <cell r="BJ4">
            <v>0</v>
          </cell>
        </row>
        <row r="5">
          <cell r="A5" t="str">
            <v>עלות לתחילת התקופה</v>
          </cell>
          <cell r="B5">
            <v>440</v>
          </cell>
          <cell r="C5">
            <v>313</v>
          </cell>
          <cell r="D5">
            <v>0</v>
          </cell>
          <cell r="E5">
            <v>886</v>
          </cell>
          <cell r="F5">
            <v>1639</v>
          </cell>
          <cell r="G5" t="str">
            <v>עלות לתחילת התקופה</v>
          </cell>
          <cell r="H5">
            <v>1686</v>
          </cell>
          <cell r="I5">
            <v>961</v>
          </cell>
          <cell r="J5">
            <v>935</v>
          </cell>
          <cell r="K5">
            <v>2374</v>
          </cell>
          <cell r="L5">
            <v>5956</v>
          </cell>
          <cell r="M5" t="str">
            <v>עלות לתחילת התקופה</v>
          </cell>
          <cell r="N5">
            <v>14454</v>
          </cell>
          <cell r="O5">
            <v>4028</v>
          </cell>
          <cell r="P5">
            <v>20981</v>
          </cell>
          <cell r="Q5">
            <v>7080</v>
          </cell>
          <cell r="R5">
            <v>46543</v>
          </cell>
          <cell r="Y5" t="str">
            <v>עלות לתחילת התקופה</v>
          </cell>
          <cell r="Z5">
            <v>8181</v>
          </cell>
          <cell r="AA5">
            <v>3669</v>
          </cell>
          <cell r="AB5">
            <v>14843</v>
          </cell>
          <cell r="AC5">
            <v>3391</v>
          </cell>
          <cell r="AD5">
            <v>30084</v>
          </cell>
          <cell r="AE5" t="str">
            <v>עלות לתחילת התקופה</v>
          </cell>
          <cell r="AF5">
            <v>979</v>
          </cell>
          <cell r="AG5">
            <v>97</v>
          </cell>
          <cell r="AH5">
            <v>98</v>
          </cell>
          <cell r="AJ5">
            <v>1174</v>
          </cell>
          <cell r="AK5" t="str">
            <v>עלות לתחילת התקופה</v>
          </cell>
          <cell r="AL5">
            <v>8471</v>
          </cell>
          <cell r="AM5">
            <v>1479</v>
          </cell>
          <cell r="AN5">
            <v>36</v>
          </cell>
          <cell r="AO5">
            <v>2430</v>
          </cell>
          <cell r="AP5">
            <v>12416</v>
          </cell>
          <cell r="AQ5" t="str">
            <v>עלות לתחילת התקופה</v>
          </cell>
          <cell r="AR5">
            <v>2202</v>
          </cell>
          <cell r="AS5">
            <v>878</v>
          </cell>
          <cell r="AU5">
            <v>663</v>
          </cell>
          <cell r="AV5">
            <v>3743</v>
          </cell>
          <cell r="AW5" t="str">
            <v>עלות לתחילת התקופה</v>
          </cell>
          <cell r="AX5">
            <v>9144</v>
          </cell>
          <cell r="AY5">
            <v>1750</v>
          </cell>
          <cell r="AZ5">
            <v>769</v>
          </cell>
          <cell r="BA5">
            <v>217</v>
          </cell>
          <cell r="BB5">
            <v>11880</v>
          </cell>
          <cell r="BC5" t="str">
            <v>עלות לתחילת התקופה</v>
          </cell>
          <cell r="BD5">
            <v>46004</v>
          </cell>
          <cell r="BE5">
            <v>13235</v>
          </cell>
          <cell r="BF5">
            <v>37662</v>
          </cell>
          <cell r="BG5">
            <v>17041</v>
          </cell>
          <cell r="BH5">
            <v>405</v>
          </cell>
          <cell r="BI5">
            <v>-64</v>
          </cell>
          <cell r="BJ5">
            <v>114283</v>
          </cell>
        </row>
        <row r="6">
          <cell r="A6" t="str">
            <v>תוספות בתקופה</v>
          </cell>
          <cell r="B6">
            <v>74</v>
          </cell>
          <cell r="C6">
            <v>10</v>
          </cell>
          <cell r="F6">
            <v>84</v>
          </cell>
          <cell r="G6" t="str">
            <v>תוספות בתקופה</v>
          </cell>
          <cell r="H6">
            <v>1799</v>
          </cell>
          <cell r="I6">
            <v>216</v>
          </cell>
          <cell r="K6">
            <v>2039</v>
          </cell>
          <cell r="L6">
            <v>4054</v>
          </cell>
          <cell r="M6" t="str">
            <v>תוספות בתקופה</v>
          </cell>
          <cell r="N6">
            <v>1601</v>
          </cell>
          <cell r="O6">
            <v>559</v>
          </cell>
          <cell r="P6">
            <v>0</v>
          </cell>
          <cell r="Q6">
            <v>4681</v>
          </cell>
          <cell r="R6">
            <v>6841</v>
          </cell>
          <cell r="Y6" t="str">
            <v>תוספות בתקופה</v>
          </cell>
          <cell r="Z6">
            <v>538</v>
          </cell>
          <cell r="AA6">
            <v>135</v>
          </cell>
          <cell r="AC6">
            <v>660</v>
          </cell>
          <cell r="AD6">
            <v>1333</v>
          </cell>
          <cell r="AE6" t="str">
            <v>תוספות בתקופה</v>
          </cell>
          <cell r="AF6">
            <v>78</v>
          </cell>
          <cell r="AG6">
            <v>12</v>
          </cell>
          <cell r="AJ6">
            <v>90</v>
          </cell>
          <cell r="AK6" t="str">
            <v>תוספות בתקופה</v>
          </cell>
          <cell r="AL6">
            <v>466</v>
          </cell>
          <cell r="AM6">
            <v>10</v>
          </cell>
          <cell r="AN6">
            <v>0</v>
          </cell>
          <cell r="AO6">
            <v>25</v>
          </cell>
          <cell r="AP6">
            <v>501</v>
          </cell>
          <cell r="AQ6" t="str">
            <v>תוספות בתקופה</v>
          </cell>
          <cell r="AR6">
            <v>373</v>
          </cell>
          <cell r="AS6">
            <v>201</v>
          </cell>
          <cell r="AU6">
            <v>381</v>
          </cell>
          <cell r="AV6">
            <v>955</v>
          </cell>
          <cell r="AW6" t="str">
            <v>תוספות בתקופה</v>
          </cell>
          <cell r="AX6">
            <v>721</v>
          </cell>
          <cell r="AY6">
            <v>30</v>
          </cell>
          <cell r="BA6">
            <v>16</v>
          </cell>
          <cell r="BB6">
            <v>767</v>
          </cell>
          <cell r="BC6" t="str">
            <v>תוספות בתקופה</v>
          </cell>
          <cell r="BD6">
            <v>5650</v>
          </cell>
          <cell r="BE6">
            <v>1173</v>
          </cell>
          <cell r="BF6">
            <v>0</v>
          </cell>
          <cell r="BG6">
            <v>7802</v>
          </cell>
          <cell r="BJ6">
            <v>14625</v>
          </cell>
        </row>
        <row r="7">
          <cell r="A7" t="str">
            <v>גריעות בתקופה</v>
          </cell>
          <cell r="F7">
            <v>0</v>
          </cell>
          <cell r="G7" t="str">
            <v>גריעות בתקופה</v>
          </cell>
          <cell r="I7">
            <v>-314</v>
          </cell>
          <cell r="K7">
            <v>-841</v>
          </cell>
          <cell r="L7">
            <v>-1155</v>
          </cell>
          <cell r="M7" t="str">
            <v>גריעות בתקופה</v>
          </cell>
          <cell r="N7">
            <v>-186</v>
          </cell>
          <cell r="O7">
            <v>-65</v>
          </cell>
          <cell r="P7">
            <v>-3848</v>
          </cell>
          <cell r="Q7">
            <v>-116</v>
          </cell>
          <cell r="R7">
            <v>-4215</v>
          </cell>
          <cell r="Y7" t="str">
            <v>גריעות בתקופה</v>
          </cell>
          <cell r="Z7">
            <v>-856</v>
          </cell>
          <cell r="AA7">
            <v>-1314</v>
          </cell>
          <cell r="AB7">
            <v>-2530</v>
          </cell>
          <cell r="AC7">
            <v>-1177</v>
          </cell>
          <cell r="AD7">
            <v>-5877</v>
          </cell>
          <cell r="AE7" t="str">
            <v>גריעות בתקופה</v>
          </cell>
          <cell r="AH7">
            <v>-87</v>
          </cell>
          <cell r="AJ7">
            <v>-87</v>
          </cell>
          <cell r="AK7" t="str">
            <v>גריעות בתקופה</v>
          </cell>
          <cell r="AL7">
            <v>-2504</v>
          </cell>
          <cell r="AM7">
            <v>0</v>
          </cell>
          <cell r="AN7">
            <v>0</v>
          </cell>
          <cell r="AO7">
            <v>0</v>
          </cell>
          <cell r="AP7">
            <v>-2504</v>
          </cell>
          <cell r="AQ7" t="str">
            <v>גריעות בתקופה</v>
          </cell>
          <cell r="AR7">
            <v>-16</v>
          </cell>
          <cell r="AS7">
            <v>-4</v>
          </cell>
          <cell r="AV7">
            <v>-20</v>
          </cell>
          <cell r="AW7" t="str">
            <v>גריעות בתקופה</v>
          </cell>
          <cell r="AX7">
            <v>-4</v>
          </cell>
          <cell r="AY7">
            <v>-173</v>
          </cell>
          <cell r="AZ7">
            <v>-74</v>
          </cell>
          <cell r="BB7">
            <v>-251</v>
          </cell>
          <cell r="BC7" t="str">
            <v>גריעות בתקופה</v>
          </cell>
          <cell r="BD7">
            <v>-3566</v>
          </cell>
          <cell r="BE7">
            <v>-1870</v>
          </cell>
          <cell r="BF7">
            <v>-6539</v>
          </cell>
          <cell r="BG7">
            <v>-2134</v>
          </cell>
          <cell r="BJ7">
            <v>-14109</v>
          </cell>
        </row>
        <row r="8">
          <cell r="A8" t="str">
            <v>יתרה לסוף התקופה</v>
          </cell>
          <cell r="B8">
            <v>514</v>
          </cell>
          <cell r="C8">
            <v>323</v>
          </cell>
          <cell r="D8">
            <v>0</v>
          </cell>
          <cell r="E8">
            <v>886</v>
          </cell>
          <cell r="F8">
            <v>1723</v>
          </cell>
          <cell r="G8" t="str">
            <v>יתרה לסוף התקופה</v>
          </cell>
          <cell r="H8">
            <v>3485</v>
          </cell>
          <cell r="I8">
            <v>863</v>
          </cell>
          <cell r="J8">
            <v>935</v>
          </cell>
          <cell r="K8">
            <v>3572</v>
          </cell>
          <cell r="L8">
            <v>8855</v>
          </cell>
          <cell r="M8" t="str">
            <v>יתרה לסוף התקופה</v>
          </cell>
          <cell r="N8">
            <v>15869</v>
          </cell>
          <cell r="O8">
            <v>4522</v>
          </cell>
          <cell r="P8">
            <v>17133</v>
          </cell>
          <cell r="Q8">
            <v>11645</v>
          </cell>
          <cell r="R8">
            <v>49169</v>
          </cell>
          <cell r="Y8" t="str">
            <v>יתרה לסוף התקופה</v>
          </cell>
          <cell r="Z8">
            <v>7863</v>
          </cell>
          <cell r="AA8">
            <v>2490</v>
          </cell>
          <cell r="AB8">
            <v>12313</v>
          </cell>
          <cell r="AC8">
            <v>2874</v>
          </cell>
          <cell r="AD8">
            <v>25540</v>
          </cell>
          <cell r="AE8" t="str">
            <v>יתרה לסוף התקופה</v>
          </cell>
          <cell r="AF8">
            <v>1057</v>
          </cell>
          <cell r="AG8">
            <v>109</v>
          </cell>
          <cell r="AH8">
            <v>11</v>
          </cell>
          <cell r="AI8">
            <v>0</v>
          </cell>
          <cell r="AJ8">
            <v>1177</v>
          </cell>
          <cell r="AK8" t="str">
            <v>יתרה לסוף התקופה</v>
          </cell>
          <cell r="AL8">
            <v>6433</v>
          </cell>
          <cell r="AM8">
            <v>1489</v>
          </cell>
          <cell r="AN8">
            <v>36</v>
          </cell>
          <cell r="AO8">
            <v>2455</v>
          </cell>
          <cell r="AP8">
            <v>10413</v>
          </cell>
          <cell r="AQ8" t="str">
            <v>יתרה לסוף התקופה</v>
          </cell>
          <cell r="AR8">
            <v>2559</v>
          </cell>
          <cell r="AS8">
            <v>1075</v>
          </cell>
          <cell r="AT8">
            <v>0</v>
          </cell>
          <cell r="AU8">
            <v>1044</v>
          </cell>
          <cell r="AV8">
            <v>4678</v>
          </cell>
          <cell r="AW8" t="str">
            <v>יתרה לסוף התקופה</v>
          </cell>
          <cell r="AX8">
            <v>9861</v>
          </cell>
          <cell r="AY8">
            <v>1607</v>
          </cell>
          <cell r="AZ8">
            <v>695</v>
          </cell>
          <cell r="BA8">
            <v>233</v>
          </cell>
          <cell r="BB8">
            <v>12396</v>
          </cell>
          <cell r="BC8" t="str">
            <v>יתרה לסוף התקופה</v>
          </cell>
          <cell r="BD8">
            <v>48088</v>
          </cell>
          <cell r="BE8">
            <v>12538</v>
          </cell>
          <cell r="BF8">
            <v>31123</v>
          </cell>
          <cell r="BG8">
            <v>22709</v>
          </cell>
          <cell r="BH8">
            <v>405</v>
          </cell>
          <cell r="BI8">
            <v>-64</v>
          </cell>
          <cell r="BJ8">
            <v>114799</v>
          </cell>
        </row>
        <row r="9">
          <cell r="BB9">
            <v>12398</v>
          </cell>
        </row>
        <row r="11">
          <cell r="A11" t="str">
            <v>פחת שנצבר</v>
          </cell>
          <cell r="G11" t="str">
            <v>פחת שנצבר</v>
          </cell>
          <cell r="M11" t="str">
            <v>פחת שנצבר</v>
          </cell>
          <cell r="Y11" t="str">
            <v>פחת שנצבר</v>
          </cell>
          <cell r="AE11" t="str">
            <v>פחת שנצבר</v>
          </cell>
          <cell r="AK11" t="str">
            <v>פחת שנצבר</v>
          </cell>
          <cell r="AQ11" t="str">
            <v>פחת שנצבר</v>
          </cell>
          <cell r="AW11" t="str">
            <v>פחת שנצבר</v>
          </cell>
          <cell r="BC11" t="str">
            <v>פחת שנצבר</v>
          </cell>
        </row>
        <row r="12">
          <cell r="A12" t="str">
            <v>פחת שנצבר לתחילת התקופה</v>
          </cell>
          <cell r="B12">
            <v>-63</v>
          </cell>
          <cell r="C12">
            <v>-14</v>
          </cell>
          <cell r="E12">
            <v>-52</v>
          </cell>
          <cell r="F12">
            <v>-129</v>
          </cell>
          <cell r="G12" t="str">
            <v>פחת שנצבר לתחילת התקופה</v>
          </cell>
          <cell r="H12">
            <v>-295</v>
          </cell>
          <cell r="I12">
            <v>-60</v>
          </cell>
          <cell r="J12">
            <v>-155</v>
          </cell>
          <cell r="K12">
            <v>-126</v>
          </cell>
          <cell r="L12">
            <v>-636</v>
          </cell>
          <cell r="M12" t="str">
            <v>פחת שנצבר לתחילת התקופה</v>
          </cell>
          <cell r="N12">
            <v>-8613</v>
          </cell>
          <cell r="O12">
            <v>-1689</v>
          </cell>
          <cell r="P12">
            <v>-8506</v>
          </cell>
          <cell r="Q12">
            <v>-1534</v>
          </cell>
          <cell r="R12">
            <v>-20342</v>
          </cell>
          <cell r="Y12" t="str">
            <v>פחת שנצבר לתחילת התקופה</v>
          </cell>
          <cell r="Z12">
            <v>-4456</v>
          </cell>
          <cell r="AA12">
            <v>-661</v>
          </cell>
          <cell r="AB12">
            <v>-5626</v>
          </cell>
          <cell r="AC12">
            <v>-661</v>
          </cell>
          <cell r="AD12">
            <v>-11404</v>
          </cell>
          <cell r="AE12" t="str">
            <v>פחת שנצבר לתחילת התקופה</v>
          </cell>
          <cell r="AF12">
            <v>-52</v>
          </cell>
          <cell r="AG12">
            <v>-3</v>
          </cell>
          <cell r="AH12">
            <v>-46</v>
          </cell>
          <cell r="AJ12">
            <v>-101</v>
          </cell>
          <cell r="AK12" t="str">
            <v>פחת שנצבר לתחילת התקופה</v>
          </cell>
          <cell r="AL12">
            <v>-7243</v>
          </cell>
          <cell r="AM12">
            <v>-1429</v>
          </cell>
          <cell r="AN12">
            <v>-19</v>
          </cell>
          <cell r="AO12">
            <v>-1979</v>
          </cell>
          <cell r="AP12">
            <v>-10670</v>
          </cell>
          <cell r="AQ12" t="str">
            <v>פחת שנצבר לתחילת התקופה</v>
          </cell>
          <cell r="AR12">
            <v>-1176</v>
          </cell>
          <cell r="AS12">
            <v>-106</v>
          </cell>
          <cell r="AU12">
            <v>-77</v>
          </cell>
          <cell r="AV12">
            <v>-1359</v>
          </cell>
          <cell r="AW12" t="str">
            <v>פחת שנצבר לתחילת התקופה</v>
          </cell>
          <cell r="AX12">
            <v>-4135</v>
          </cell>
          <cell r="AY12">
            <v>-444</v>
          </cell>
          <cell r="AZ12">
            <v>-251</v>
          </cell>
          <cell r="BA12">
            <v>-217</v>
          </cell>
          <cell r="BB12">
            <v>-5047</v>
          </cell>
          <cell r="BC12" t="str">
            <v>פחת שנצבר לתחילת התקופה</v>
          </cell>
          <cell r="BD12">
            <v>-26422</v>
          </cell>
          <cell r="BE12">
            <v>-4421</v>
          </cell>
          <cell r="BF12">
            <v>-14603</v>
          </cell>
          <cell r="BG12">
            <v>-4646</v>
          </cell>
          <cell r="BJ12">
            <v>-50092</v>
          </cell>
        </row>
        <row r="13">
          <cell r="A13" t="str">
            <v>תוספות בתקופה</v>
          </cell>
          <cell r="B13">
            <v>-69</v>
          </cell>
          <cell r="C13">
            <v>-10</v>
          </cell>
          <cell r="E13">
            <v>-44</v>
          </cell>
          <cell r="F13">
            <v>-123</v>
          </cell>
          <cell r="G13" t="str">
            <v>תוספות בתקופה</v>
          </cell>
          <cell r="H13">
            <v>-348</v>
          </cell>
          <cell r="I13">
            <v>-39</v>
          </cell>
          <cell r="J13">
            <v>-70</v>
          </cell>
          <cell r="K13">
            <v>-108</v>
          </cell>
          <cell r="L13">
            <v>-565</v>
          </cell>
          <cell r="M13" t="str">
            <v>תוספות בתקופה</v>
          </cell>
          <cell r="N13">
            <v>-1345</v>
          </cell>
          <cell r="O13">
            <v>-168</v>
          </cell>
          <cell r="P13">
            <v>-1383</v>
          </cell>
          <cell r="Q13">
            <v>-410</v>
          </cell>
          <cell r="R13">
            <v>-3306</v>
          </cell>
          <cell r="Y13" t="str">
            <v>תוספות בתקופה</v>
          </cell>
          <cell r="Z13">
            <v>-733</v>
          </cell>
          <cell r="AA13">
            <v>-102</v>
          </cell>
          <cell r="AB13">
            <v>-1036</v>
          </cell>
          <cell r="AC13">
            <v>-141</v>
          </cell>
          <cell r="AD13">
            <v>-2012</v>
          </cell>
          <cell r="AE13" t="str">
            <v>תוספות בתקופה</v>
          </cell>
          <cell r="AF13">
            <v>-126</v>
          </cell>
          <cell r="AG13">
            <v>-6</v>
          </cell>
          <cell r="AH13">
            <v>-2</v>
          </cell>
          <cell r="AJ13">
            <v>-134</v>
          </cell>
          <cell r="AK13" t="str">
            <v>תוספות בתקופה</v>
          </cell>
          <cell r="AL13">
            <v>-341</v>
          </cell>
          <cell r="AM13">
            <v>-15</v>
          </cell>
          <cell r="AN13">
            <v>-5</v>
          </cell>
          <cell r="AO13">
            <v>-196</v>
          </cell>
          <cell r="AP13">
            <v>-557</v>
          </cell>
          <cell r="AQ13" t="str">
            <v>תוספות בתקופה</v>
          </cell>
          <cell r="AR13">
            <v>-225</v>
          </cell>
          <cell r="AS13">
            <v>-47</v>
          </cell>
          <cell r="AU13">
            <v>-45</v>
          </cell>
          <cell r="AV13">
            <v>-317</v>
          </cell>
          <cell r="AW13" t="str">
            <v>תוספות בתקופה</v>
          </cell>
          <cell r="AX13">
            <v>-1043</v>
          </cell>
          <cell r="AY13">
            <v>-96</v>
          </cell>
          <cell r="AZ13">
            <v>-56</v>
          </cell>
          <cell r="BB13">
            <v>-1195</v>
          </cell>
          <cell r="BC13" t="str">
            <v>תוספות בתקופה</v>
          </cell>
          <cell r="BD13">
            <v>-4262</v>
          </cell>
          <cell r="BE13">
            <v>-485</v>
          </cell>
          <cell r="BF13">
            <v>-2552</v>
          </cell>
          <cell r="BG13">
            <v>-944</v>
          </cell>
          <cell r="BJ13">
            <v>-8243</v>
          </cell>
        </row>
        <row r="14">
          <cell r="A14" t="str">
            <v>גריעות בתקופה</v>
          </cell>
          <cell r="F14">
            <v>0</v>
          </cell>
          <cell r="G14" t="str">
            <v>גריעות בתקופה</v>
          </cell>
          <cell r="I14">
            <v>36</v>
          </cell>
          <cell r="K14">
            <v>69</v>
          </cell>
          <cell r="L14">
            <v>105</v>
          </cell>
          <cell r="M14" t="str">
            <v>גריעות בתקופה</v>
          </cell>
          <cell r="N14">
            <v>139</v>
          </cell>
          <cell r="O14">
            <v>46</v>
          </cell>
          <cell r="P14">
            <v>2615</v>
          </cell>
          <cell r="Q14">
            <v>36</v>
          </cell>
          <cell r="R14">
            <v>2836</v>
          </cell>
          <cell r="Y14" t="str">
            <v>גריעות בתקופה</v>
          </cell>
          <cell r="Z14">
            <v>303</v>
          </cell>
          <cell r="AA14">
            <v>182</v>
          </cell>
          <cell r="AB14">
            <v>1701</v>
          </cell>
          <cell r="AC14">
            <v>132</v>
          </cell>
          <cell r="AD14">
            <v>2318</v>
          </cell>
          <cell r="AE14" t="str">
            <v>גריעות בתקופה</v>
          </cell>
          <cell r="AH14">
            <v>44</v>
          </cell>
          <cell r="AJ14">
            <v>44</v>
          </cell>
          <cell r="AK14" t="str">
            <v>גריעות בתקופה</v>
          </cell>
          <cell r="AL14">
            <v>2504</v>
          </cell>
          <cell r="AM14">
            <v>0</v>
          </cell>
          <cell r="AN14">
            <v>0</v>
          </cell>
          <cell r="AO14">
            <v>0</v>
          </cell>
          <cell r="AP14">
            <v>2504</v>
          </cell>
          <cell r="AQ14" t="str">
            <v>גריעות בתקופה</v>
          </cell>
          <cell r="AR14">
            <v>9</v>
          </cell>
          <cell r="AV14">
            <v>9</v>
          </cell>
          <cell r="AW14" t="str">
            <v>גריעות בתקופה</v>
          </cell>
          <cell r="AY14">
            <v>49</v>
          </cell>
          <cell r="AZ14">
            <v>35</v>
          </cell>
          <cell r="BB14">
            <v>84</v>
          </cell>
          <cell r="BC14" t="str">
            <v>גריעות בתקופה</v>
          </cell>
          <cell r="BD14">
            <v>2955</v>
          </cell>
          <cell r="BE14">
            <v>313</v>
          </cell>
          <cell r="BF14">
            <v>4395</v>
          </cell>
          <cell r="BG14">
            <v>237</v>
          </cell>
          <cell r="BJ14">
            <v>7900</v>
          </cell>
        </row>
        <row r="15">
          <cell r="A15" t="str">
            <v>יתרה לסוף התקופה</v>
          </cell>
          <cell r="B15">
            <v>-132</v>
          </cell>
          <cell r="C15">
            <v>-24</v>
          </cell>
          <cell r="D15">
            <v>0</v>
          </cell>
          <cell r="E15">
            <v>-96</v>
          </cell>
          <cell r="F15">
            <v>-252</v>
          </cell>
          <cell r="G15" t="str">
            <v>יתרה לסוף התקופה</v>
          </cell>
          <cell r="H15">
            <v>-643</v>
          </cell>
          <cell r="I15">
            <v>-63</v>
          </cell>
          <cell r="J15">
            <v>-225</v>
          </cell>
          <cell r="K15">
            <v>-165</v>
          </cell>
          <cell r="L15">
            <v>-1096</v>
          </cell>
          <cell r="M15" t="str">
            <v>יתרה לסוף התקופה</v>
          </cell>
          <cell r="N15">
            <v>-9819</v>
          </cell>
          <cell r="O15">
            <v>-1811</v>
          </cell>
          <cell r="P15">
            <v>-7274</v>
          </cell>
          <cell r="Q15">
            <v>-1908</v>
          </cell>
          <cell r="R15">
            <v>-20812</v>
          </cell>
          <cell r="Y15" t="str">
            <v>יתרה לסוף התקופה</v>
          </cell>
          <cell r="Z15">
            <v>-4886</v>
          </cell>
          <cell r="AA15">
            <v>-581</v>
          </cell>
          <cell r="AB15">
            <v>-4961</v>
          </cell>
          <cell r="AC15">
            <v>-670</v>
          </cell>
          <cell r="AD15">
            <v>-11098</v>
          </cell>
          <cell r="AE15" t="str">
            <v>יתרה לסוף התקופה</v>
          </cell>
          <cell r="AF15">
            <v>-178</v>
          </cell>
          <cell r="AG15">
            <v>-9</v>
          </cell>
          <cell r="AH15">
            <v>-4</v>
          </cell>
          <cell r="AI15">
            <v>0</v>
          </cell>
          <cell r="AJ15">
            <v>-191</v>
          </cell>
          <cell r="AK15" t="str">
            <v>יתרה לסוף התקופה</v>
          </cell>
          <cell r="AL15">
            <v>-5080</v>
          </cell>
          <cell r="AM15">
            <v>-1444</v>
          </cell>
          <cell r="AN15">
            <v>-24</v>
          </cell>
          <cell r="AO15">
            <v>-2175</v>
          </cell>
          <cell r="AP15">
            <v>-8723</v>
          </cell>
          <cell r="AQ15" t="str">
            <v>יתרה לסוף התקופה</v>
          </cell>
          <cell r="AR15">
            <v>-1392</v>
          </cell>
          <cell r="AS15">
            <v>-153</v>
          </cell>
          <cell r="AT15">
            <v>0</v>
          </cell>
          <cell r="AU15">
            <v>-122</v>
          </cell>
          <cell r="AV15">
            <v>-1667</v>
          </cell>
          <cell r="AW15" t="str">
            <v>יתרה לסוף התקופה</v>
          </cell>
          <cell r="AX15">
            <v>-5178</v>
          </cell>
          <cell r="AY15">
            <v>-491</v>
          </cell>
          <cell r="AZ15">
            <v>-272</v>
          </cell>
          <cell r="BA15">
            <v>-217</v>
          </cell>
          <cell r="BB15">
            <v>-6158</v>
          </cell>
          <cell r="BC15" t="str">
            <v>יתרה לסוף התקופה</v>
          </cell>
          <cell r="BD15">
            <v>-27729</v>
          </cell>
          <cell r="BE15">
            <v>-4593</v>
          </cell>
          <cell r="BF15">
            <v>-12760</v>
          </cell>
          <cell r="BG15">
            <v>-5353</v>
          </cell>
          <cell r="BJ15">
            <v>-50435</v>
          </cell>
        </row>
        <row r="16">
          <cell r="AK16" t="str">
            <v xml:space="preserve">קרן  הון </v>
          </cell>
          <cell r="AP16">
            <v>-106.61100000000079</v>
          </cell>
        </row>
        <row r="18">
          <cell r="A18" t="str">
            <v>עלות מופחתת</v>
          </cell>
          <cell r="B18">
            <v>382</v>
          </cell>
          <cell r="C18">
            <v>299</v>
          </cell>
          <cell r="D18">
            <v>0</v>
          </cell>
          <cell r="E18">
            <v>790</v>
          </cell>
          <cell r="F18">
            <v>1471</v>
          </cell>
          <cell r="G18" t="str">
            <v>עלות מופחתת</v>
          </cell>
          <cell r="H18">
            <v>2842</v>
          </cell>
          <cell r="I18">
            <v>800</v>
          </cell>
          <cell r="J18">
            <v>710</v>
          </cell>
          <cell r="K18">
            <v>3407</v>
          </cell>
          <cell r="L18">
            <v>7759</v>
          </cell>
          <cell r="M18" t="str">
            <v>עלות מופחתת</v>
          </cell>
          <cell r="N18">
            <v>6050</v>
          </cell>
          <cell r="O18">
            <v>2711</v>
          </cell>
          <cell r="P18">
            <v>9859</v>
          </cell>
          <cell r="Q18">
            <v>9737</v>
          </cell>
          <cell r="R18">
            <v>28357</v>
          </cell>
          <cell r="Y18" t="str">
            <v>עלות מופחתת</v>
          </cell>
          <cell r="Z18">
            <v>2977</v>
          </cell>
          <cell r="AA18">
            <v>1909</v>
          </cell>
          <cell r="AB18">
            <v>7352</v>
          </cell>
          <cell r="AC18">
            <v>2204</v>
          </cell>
          <cell r="AD18">
            <v>14442</v>
          </cell>
          <cell r="AE18" t="str">
            <v>עלות מופחתת</v>
          </cell>
          <cell r="AF18">
            <v>879</v>
          </cell>
          <cell r="AG18">
            <v>100</v>
          </cell>
          <cell r="AH18">
            <v>7</v>
          </cell>
          <cell r="AI18">
            <v>0</v>
          </cell>
          <cell r="AJ18">
            <v>986</v>
          </cell>
          <cell r="AK18" t="str">
            <v>עלות מופחתת</v>
          </cell>
          <cell r="AL18">
            <v>1353</v>
          </cell>
          <cell r="AM18">
            <v>45</v>
          </cell>
          <cell r="AN18">
            <v>12</v>
          </cell>
          <cell r="AO18">
            <v>280</v>
          </cell>
          <cell r="AP18">
            <v>1583.3889999999992</v>
          </cell>
          <cell r="AQ18" t="str">
            <v>עלות מופחתת</v>
          </cell>
          <cell r="AR18">
            <v>1167</v>
          </cell>
          <cell r="AS18">
            <v>922</v>
          </cell>
          <cell r="AT18">
            <v>0</v>
          </cell>
          <cell r="AU18">
            <v>922</v>
          </cell>
          <cell r="AV18">
            <v>3011</v>
          </cell>
          <cell r="AW18" t="str">
            <v>עלות מופחתת</v>
          </cell>
          <cell r="AX18">
            <v>4683</v>
          </cell>
          <cell r="AY18">
            <v>1116</v>
          </cell>
          <cell r="AZ18">
            <v>423</v>
          </cell>
          <cell r="BA18">
            <v>16</v>
          </cell>
          <cell r="BB18">
            <v>6238</v>
          </cell>
          <cell r="BC18" t="str">
            <v>עלות מופחתת</v>
          </cell>
          <cell r="BD18">
            <v>20359</v>
          </cell>
          <cell r="BE18">
            <v>7945</v>
          </cell>
          <cell r="BF18">
            <v>18363</v>
          </cell>
          <cell r="BG18">
            <v>17356</v>
          </cell>
          <cell r="BI18">
            <v>-64</v>
          </cell>
          <cell r="BJ18">
            <v>64364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ס 99"/>
      <sheetName val="שמ&quot;מ מ&quot;ה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ס 99"/>
      <sheetName val="שמ&quot;מ מ&quot;ה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נאי+טלפאואר"/>
      <sheetName val="ני&quot;ע"/>
      <sheetName val="ני&quot;ע 2"/>
      <sheetName val="ער&quot;ז דוח מס (2)"/>
      <sheetName val="טורים"/>
      <sheetName val="ער&quot;ז דוח מס"/>
      <sheetName val="שמ&quot;מ מ&quot;ה"/>
      <sheetName val="שמ&quot;מ נומינלי"/>
      <sheetName val="מיעוט"/>
      <sheetName val="Current"/>
      <sheetName val="ני&quot;ע_2"/>
      <sheetName val="ער&quot;ז_דוח_מס_(2)"/>
      <sheetName val="ער&quot;ז_דוח_מס"/>
      <sheetName val="שמ&quot;מ_מ&quot;ה"/>
      <sheetName val="שמ&quot;מ_נומינלי"/>
      <sheetName val="ני&quot;ע_21"/>
      <sheetName val="ער&quot;ז_דוח_מס_(2)1"/>
      <sheetName val="ער&quot;ז_דוח_מס1"/>
      <sheetName val="שמ&quot;מ_מ&quot;ה1"/>
      <sheetName val="שמ&quot;מ_נומינלי1"/>
      <sheetName val="ני&quot;ע_25"/>
      <sheetName val="ער&quot;ז_דוח_מס_(2)5"/>
      <sheetName val="ער&quot;ז_דוח_מס5"/>
      <sheetName val="שמ&quot;מ_מ&quot;ה5"/>
      <sheetName val="שמ&quot;מ_נומינלי5"/>
      <sheetName val="ני&quot;ע_22"/>
      <sheetName val="ער&quot;ז_דוח_מס_(2)2"/>
      <sheetName val="ער&quot;ז_דוח_מס2"/>
      <sheetName val="שמ&quot;מ_מ&quot;ה2"/>
      <sheetName val="שמ&quot;מ_נומינלי2"/>
      <sheetName val="ני&quot;ע_23"/>
      <sheetName val="ער&quot;ז_דוח_מס_(2)3"/>
      <sheetName val="ער&quot;ז_דוח_מס3"/>
      <sheetName val="שמ&quot;מ_מ&quot;ה3"/>
      <sheetName val="שמ&quot;מ_נומינלי3"/>
      <sheetName val="ני&quot;ע_24"/>
      <sheetName val="ער&quot;ז_דוח_מס_(2)4"/>
      <sheetName val="ער&quot;ז_דוח_מס4"/>
      <sheetName val="שמ&quot;מ_מ&quot;ה4"/>
      <sheetName val="שמ&quot;מ_נומינלי4"/>
      <sheetName val="ני&quot;ע_26"/>
      <sheetName val="ער&quot;ז_דוח_מס_(2)6"/>
      <sheetName val="ער&quot;ז_דוח_מס6"/>
      <sheetName val="שמ&quot;מ_מ&quot;ה6"/>
      <sheetName val="שמ&quot;מ_נומינלי6"/>
      <sheetName val="ער&quot;ז דוח מס:מיעוט"/>
      <sheetName val="????+???????"/>
      <sheetName val="??&quot;?"/>
      <sheetName val="??&quot;? 2"/>
      <sheetName val="??&quot;? ??? ?? (2)"/>
      <sheetName val="?????"/>
      <sheetName val="??&quot;? ??? ??"/>
      <sheetName val="??&quot;? ?&quot;?"/>
      <sheetName val="??&quot;? ???????"/>
      <sheetName val="מיעוט:ער&quot;ז_דוח_מס2"/>
      <sheetName val="ני&quot;ע_27"/>
      <sheetName val="ער&quot;ז_דוח_מס_(2)7"/>
      <sheetName val="ער&quot;ז_דוח_מס7"/>
      <sheetName val="שמ&quot;מ_מ&quot;ה7"/>
      <sheetName val="שמ&quot;מ_נומינלי7"/>
    </sheetNames>
    <sheetDataSet>
      <sheetData sheetId="0">
        <row r="9">
          <cell r="AN9" t="str">
            <v/>
          </cell>
        </row>
      </sheetData>
      <sheetData sheetId="1">
        <row r="9">
          <cell r="U9" t="str">
            <v>התחשבנות ישנה</v>
          </cell>
        </row>
      </sheetData>
      <sheetData sheetId="2"/>
      <sheetData sheetId="3">
        <row r="9">
          <cell r="AN9" t="str">
            <v/>
          </cell>
        </row>
      </sheetData>
      <sheetData sheetId="4">
        <row r="9">
          <cell r="O9" t="str">
            <v>משרדי</v>
          </cell>
        </row>
      </sheetData>
      <sheetData sheetId="5">
        <row r="9">
          <cell r="O9" t="str">
            <v>משרדי</v>
          </cell>
          <cell r="Q9" t="str">
            <v>סיכומים</v>
          </cell>
          <cell r="AN9" t="str">
            <v/>
          </cell>
          <cell r="AQ9" t="str">
            <v>לשנת המס 1998</v>
          </cell>
          <cell r="AX9" t="str">
            <v>אלפי ש"ח</v>
          </cell>
          <cell r="AY9" t="str">
            <v>אלפי ש"ח</v>
          </cell>
          <cell r="BC9" t="str">
            <v>אלפי ש"ח</v>
          </cell>
          <cell r="BH9" t="str">
            <v>הנוסף</v>
          </cell>
          <cell r="BJ9" t="str">
            <v>עליית</v>
          </cell>
          <cell r="BL9" t="str">
            <v>הפחת לפי</v>
          </cell>
          <cell r="BP9" t="str">
            <v>של כל</v>
          </cell>
          <cell r="BR9" t="str">
            <v>הפסד ראלי*</v>
          </cell>
          <cell r="BS9" t="str">
            <v>הפסד</v>
          </cell>
        </row>
        <row r="10">
          <cell r="O10" t="str">
            <v>בלבד</v>
          </cell>
          <cell r="AD10" t="str">
            <v>פחות</v>
          </cell>
          <cell r="AJ10" t="str">
            <v xml:space="preserve"> </v>
          </cell>
          <cell r="AO10" t="str">
            <v>תאור הנכסים הקבועים, לפי הרשום במאזן לתום</v>
          </cell>
          <cell r="BE10" t="str">
            <v>1.שנויים חיוביים:</v>
          </cell>
          <cell r="BH10" t="str">
            <v>בשל פחת</v>
          </cell>
          <cell r="BJ10" t="str">
            <v>המדד</v>
          </cell>
          <cell r="BK10" t="str">
            <v>תאור הרישומים,היתרות,ההפקדות או הפעולות</v>
          </cell>
          <cell r="BL10" t="str">
            <v>טופס י"א</v>
          </cell>
          <cell r="BP10" t="str">
            <v>הנכסים</v>
          </cell>
          <cell r="BR10" t="str">
            <v>לפי</v>
          </cell>
          <cell r="BS10" t="str">
            <v>מהשכרת</v>
          </cell>
        </row>
        <row r="11">
          <cell r="V11">
            <v>-634.21300000000019</v>
          </cell>
          <cell r="AB11" t="str">
            <v>הסכום</v>
          </cell>
          <cell r="AD11" t="str">
            <v>ירידה בעתודה לפיצויי פרישה</v>
          </cell>
          <cell r="AJ11" t="str">
            <v xml:space="preserve"> </v>
          </cell>
          <cell r="AN11" t="str">
            <v>הסכום</v>
          </cell>
          <cell r="AO11" t="str">
            <v>שנת המס הקודמת</v>
          </cell>
          <cell r="AU11" t="str">
            <v>סעיף קטן</v>
          </cell>
          <cell r="AY11">
            <v>1779.9870000000001</v>
          </cell>
          <cell r="BA11" t="str">
            <v>דוח מצ"ב</v>
          </cell>
          <cell r="BC11">
            <v>1779.9870000000001</v>
          </cell>
          <cell r="BE11" t="str">
            <v>תמורה ממכירת רכוש קבוע</v>
          </cell>
          <cell r="BF11">
            <v>1.98</v>
          </cell>
          <cell r="BI11" t="str">
            <v>הסכום</v>
          </cell>
          <cell r="BK11" t="str">
            <v>המחיבים תאום הון</v>
          </cell>
          <cell r="BP11" t="str">
            <v xml:space="preserve"> לזיהוי</v>
          </cell>
          <cell r="BQ11" t="str">
            <v xml:space="preserve"> 1. נכסים קבועים שהיו בידי הנישום</v>
          </cell>
          <cell r="BR11" t="str">
            <v>חוק המיסוי</v>
          </cell>
          <cell r="BS11" t="str">
            <v>בנין</v>
          </cell>
        </row>
        <row r="12">
          <cell r="Q12">
            <v>26788</v>
          </cell>
          <cell r="V12">
            <v>-17094.646000000001</v>
          </cell>
          <cell r="W12" t="str">
            <v xml:space="preserve"> סכום ההון לפי סעיף 1 לתוספת א לחוק - לפי רשימה מס' 1 מצורפת:</v>
          </cell>
          <cell r="Y12">
            <v>1</v>
          </cell>
          <cell r="AD12" t="str">
            <v>פחת לפי טופס י"א (ראה 1 ו2)</v>
          </cell>
          <cell r="AJ12" t="str">
            <v xml:space="preserve"> </v>
          </cell>
          <cell r="AU12" t="str">
            <v>בהגדרה</v>
          </cell>
          <cell r="AY12">
            <v>4474.4936584233119</v>
          </cell>
          <cell r="AZ12">
            <v>0.17649999999999999</v>
          </cell>
          <cell r="BA12">
            <v>0.15203544724453066</v>
          </cell>
          <cell r="BC12">
            <v>5194.5</v>
          </cell>
          <cell r="BE12" t="str">
            <v>החזר מס ששולם ביתר</v>
          </cell>
          <cell r="BF12">
            <v>2.98</v>
          </cell>
          <cell r="BP12" t="str">
            <v xml:space="preserve">התאום </v>
          </cell>
          <cell r="BQ12" t="str">
            <v xml:space="preserve">   'נכס  מוגן' לפני חוק המסוי ונרכשו לפני</v>
          </cell>
          <cell r="BR12" t="str">
            <v>אלפי ש"ח</v>
          </cell>
          <cell r="BS12" t="str">
            <v>אלפי ש"ח</v>
          </cell>
        </row>
        <row r="13">
          <cell r="AD13" t="str">
            <v>הפרש בין שינוי יתרת הפקדונות בספרים לבין השנוי ביתרה לפי הסכם עם</v>
          </cell>
          <cell r="AJ13" t="str">
            <v xml:space="preserve"> </v>
          </cell>
          <cell r="AY13">
            <v>670.14213896516844</v>
          </cell>
          <cell r="AZ13">
            <v>0.17649999999999999</v>
          </cell>
          <cell r="BA13">
            <v>0.13785557986870889</v>
          </cell>
          <cell r="BC13">
            <v>858</v>
          </cell>
          <cell r="BE13" t="str">
            <v>משיכת רווחים מהשקעה בשותפות</v>
          </cell>
          <cell r="BF13" t="str">
            <v>6.98</v>
          </cell>
          <cell r="BQ13" t="str">
            <v xml:space="preserve">   תחילת שנת המס 1982 סכום הפחת</v>
          </cell>
        </row>
        <row r="14">
          <cell r="V14">
            <v>-486.25400000000172</v>
          </cell>
          <cell r="AB14">
            <v>5</v>
          </cell>
          <cell r="AD14" t="str">
            <v>פקיד השומה מיום 15.1.96: (ראה נספח לט' 1392\ג')</v>
          </cell>
          <cell r="AE14" t="str">
            <v xml:space="preserve">הון מניות     </v>
          </cell>
          <cell r="AN14" t="str">
            <v>לכבוד</v>
          </cell>
          <cell r="AS14" t="str">
            <v>רכוש קבוע</v>
          </cell>
          <cell r="AY14">
            <v>132997.01191353952</v>
          </cell>
          <cell r="AZ14">
            <v>0.17649999999999999</v>
          </cell>
          <cell r="BA14">
            <v>0.13972602739726026</v>
          </cell>
          <cell r="BC14">
            <v>168000</v>
          </cell>
          <cell r="BE14" t="str">
            <v xml:space="preserve">הנפקת שטרי הון </v>
          </cell>
          <cell r="BF14">
            <v>8.98</v>
          </cell>
          <cell r="BI14">
            <v>336</v>
          </cell>
          <cell r="BO14" t="str">
            <v>עתודה לפיצויים בניכוי ייעודה</v>
          </cell>
          <cell r="BQ14" t="str">
            <v xml:space="preserve">   הכולל שנתבע כדין לפי רכוז בטופס יא'</v>
          </cell>
        </row>
        <row r="15">
          <cell r="Q15">
            <v>29568.382999999998</v>
          </cell>
          <cell r="W15" t="str">
            <v xml:space="preserve"> תאומי הון לפי סעיף 3 לתוספת א לחוק - לפי רשימה מס' 2 מצורפת:</v>
          </cell>
          <cell r="Y15">
            <v>2</v>
          </cell>
          <cell r="AD15" t="str">
            <v>|לפי הסכם ‎1989 הפחתת הוצאות טרום עסקיות שתואמו בשנת</v>
          </cell>
          <cell r="AN15" t="str">
            <v>אגף מס הכנסה</v>
          </cell>
          <cell r="AQ15" t="str">
            <v>רכוז רווח (הפסד) הון - לצרכי מס הכנסה (ראה פרוט בנספח מצורף)</v>
          </cell>
          <cell r="AY15">
            <v>-25.144938263092953</v>
          </cell>
          <cell r="AZ15">
            <v>0.17649999999999999</v>
          </cell>
          <cell r="BA15">
            <v>-7.3968026723931768E-3</v>
          </cell>
          <cell r="BC15">
            <v>600</v>
          </cell>
          <cell r="BE15" t="str">
            <v>משיכת רווחים מהשקעה בשותפות</v>
          </cell>
          <cell r="BF15" t="str">
            <v>12.98</v>
          </cell>
        </row>
        <row r="16">
          <cell r="V16">
            <v>-123.65000000000002</v>
          </cell>
          <cell r="Z16" t="e">
            <v>#REF!</v>
          </cell>
          <cell r="AB16">
            <v>26783</v>
          </cell>
          <cell r="AD16" t="str">
            <v>15.1.96 עם פקיד השומה מיום</v>
          </cell>
          <cell r="AE16" t="str">
            <v xml:space="preserve">יתרת רווח     </v>
          </cell>
          <cell r="AN16" t="str">
            <v>פשמ"ג</v>
          </cell>
          <cell r="AR16" t="str">
            <v xml:space="preserve"> </v>
          </cell>
          <cell r="AS16" t="str">
            <v>מוניטין בחברה מסונפת</v>
          </cell>
          <cell r="AX16">
            <v>139896.48977266491</v>
          </cell>
          <cell r="BI16">
            <v>31</v>
          </cell>
          <cell r="BO16" t="str">
            <v>הפרשה לחופשה</v>
          </cell>
          <cell r="BQ16" t="str">
            <v xml:space="preserve"> 2. נכסים קבועים שהיו בידי הנישום</v>
          </cell>
        </row>
        <row r="17">
          <cell r="T17">
            <v>-18338.763000000003</v>
          </cell>
          <cell r="AN17" t="str">
            <v>אחד העם 9</v>
          </cell>
          <cell r="AQ17" t="str">
            <v>א ל פ י  ש " ח</v>
          </cell>
          <cell r="BE17" t="str">
            <v>2.שנויים שליליים:</v>
          </cell>
          <cell r="BF17">
            <v>1.98</v>
          </cell>
          <cell r="BQ17" t="str">
            <v xml:space="preserve">    "נכס בלתי מוגן" לפי חוק המסוי ונרכשו</v>
          </cell>
        </row>
        <row r="18">
          <cell r="Q18">
            <v>-65663.821200000006</v>
          </cell>
          <cell r="W18" t="str">
            <v xml:space="preserve"> סכום הנכסים הקבועים לפי סעיף 2(א) לתוספת ב לחוק - לפי רשימה מס' 3 מצורפת:</v>
          </cell>
          <cell r="Y18">
            <v>3</v>
          </cell>
          <cell r="AD18" t="str">
            <v>נוסף</v>
          </cell>
          <cell r="AN18" t="str">
            <v>תל-אביב</v>
          </cell>
          <cell r="AR18" t="str">
            <v xml:space="preserve"> </v>
          </cell>
          <cell r="AS18" t="str">
            <v>מוניטין בשותפות</v>
          </cell>
          <cell r="AY18">
            <v>-1452.8464269155559</v>
          </cell>
          <cell r="AZ18">
            <v>0.17649999999999999</v>
          </cell>
          <cell r="BA18">
            <v>0.15203544724453066</v>
          </cell>
          <cell r="BC18">
            <v>-1686.6290000000004</v>
          </cell>
          <cell r="BE18" t="str">
            <v>תשלום מס ביתר בגין שנים קודמות</v>
          </cell>
          <cell r="BF18">
            <v>2.98</v>
          </cell>
          <cell r="BG18">
            <v>0</v>
          </cell>
          <cell r="BI18">
            <v>-836</v>
          </cell>
          <cell r="BO18" t="str">
            <v xml:space="preserve">הכנסות בספרים שלא נרשמו כהכנסה חייבת בגין חברות בנות ובניכוי דיבידנד </v>
          </cell>
          <cell r="BQ18" t="str">
            <v xml:space="preserve">    לפני תום שנת המס 1984 סכום הפחת</v>
          </cell>
        </row>
        <row r="19">
          <cell r="V19">
            <v>0</v>
          </cell>
          <cell r="AD19" t="str">
            <v>פחת בספרים</v>
          </cell>
          <cell r="AJ19" t="str">
            <v xml:space="preserve"> </v>
          </cell>
          <cell r="AR19" t="str">
            <v xml:space="preserve"> </v>
          </cell>
          <cell r="AY19">
            <v>-1170.5694310887036</v>
          </cell>
          <cell r="AZ19">
            <v>0.17649999999999999</v>
          </cell>
          <cell r="BA19">
            <v>0.15651932165693649</v>
          </cell>
          <cell r="BC19">
            <v>-1320</v>
          </cell>
          <cell r="BE19" t="str">
            <v>השקעות אחרות - מניות</v>
          </cell>
          <cell r="BF19">
            <v>4.9800000000000004</v>
          </cell>
          <cell r="BQ19" t="str">
            <v xml:space="preserve">    הכולל שנתבע כדין לפי רכוז בטופס יא'</v>
          </cell>
        </row>
        <row r="20">
          <cell r="AD20" t="str">
            <v>הפרשי פחת שנצבר בין הספרים לטופס י"א</v>
          </cell>
          <cell r="AJ20" t="str">
            <v xml:space="preserve"> </v>
          </cell>
          <cell r="AN20">
            <v>4933.4679999999998</v>
          </cell>
          <cell r="AS20" t="str">
            <v>מוניטין בתאגידים בשליטה משותפת</v>
          </cell>
          <cell r="AV20" t="str">
            <v>סה"כ</v>
          </cell>
          <cell r="AX20" t="str">
            <v>סכום</v>
          </cell>
          <cell r="AY20">
            <v>-585.96662656680496</v>
          </cell>
          <cell r="AZ20">
            <v>0.17649999999999999</v>
          </cell>
          <cell r="BA20">
            <v>0.13972602739726026</v>
          </cell>
          <cell r="BB20" t="str">
            <v>רווח</v>
          </cell>
          <cell r="BC20">
            <v>-740.18499999999995</v>
          </cell>
          <cell r="BE20" t="str">
            <v>השקעות אחרות - מניות (כולל השקעה בשותפות)</v>
          </cell>
          <cell r="BF20">
            <v>8.98</v>
          </cell>
          <cell r="BI20">
            <v>267.7100000000006</v>
          </cell>
          <cell r="BO20" t="str">
            <v>ההפרש בין השומה לצרכי מס הכנסה לבין ההפרשה בספרים</v>
          </cell>
        </row>
        <row r="21">
          <cell r="O21" t="str">
            <v>|1998 בדקנו את ההתאמה המצורפת של ערוצי זהב ושות' (שותפות רשומה) לשנת המס</v>
          </cell>
          <cell r="V21">
            <v>0</v>
          </cell>
          <cell r="W21" t="str">
            <v xml:space="preserve"> סכום השנויים החיוביים לפי סעיף 1 לתוספת ג בנכוי סכום השנויים השליליים לפי סעיף 2</v>
          </cell>
          <cell r="Y21">
            <v>4</v>
          </cell>
          <cell r="AD21" t="str">
            <v xml:space="preserve"> בגין גריעת הוצ' התקנה</v>
          </cell>
          <cell r="AO21" t="str">
            <v>א.נ.,</v>
          </cell>
          <cell r="AV21" t="str">
            <v>רווח</v>
          </cell>
          <cell r="AX21" t="str">
            <v>אינפלציוני</v>
          </cell>
          <cell r="AY21">
            <v>-4505.4499598659349</v>
          </cell>
          <cell r="AZ21">
            <v>0.17649999999999999</v>
          </cell>
          <cell r="BA21">
            <v>9.4448829255459055E-2</v>
          </cell>
          <cell r="BB21" t="str">
            <v>הון</v>
          </cell>
          <cell r="BC21">
            <v>-8419.5</v>
          </cell>
          <cell r="BE21" t="str">
            <v>השקעות אחרות - מניות</v>
          </cell>
          <cell r="BF21">
            <v>9.98</v>
          </cell>
          <cell r="BN21" t="str">
            <v>תאריך</v>
          </cell>
          <cell r="BO21" t="str">
            <v>"סכום שהוצא"</v>
          </cell>
          <cell r="BR21" t="str">
            <v xml:space="preserve"> 3. נכסים קבועים אחרים שלא נכללו</v>
          </cell>
        </row>
        <row r="22">
          <cell r="O22" t="str">
            <v>|31 המתאמת את הרווח של השותפות לפי דוח רווח והפסד שלה לשנה שנסתיימה ביום</v>
          </cell>
          <cell r="Q22">
            <v>123638.39060872243</v>
          </cell>
          <cell r="V22">
            <v>231</v>
          </cell>
          <cell r="W22" t="str">
            <v xml:space="preserve"> לאותה  תוספת  לחוק - לפי רשימה מס' 4 מצורפת:</v>
          </cell>
          <cell r="AD22" t="str">
            <v>עליה בהפרשה לחובות מסופקים</v>
          </cell>
          <cell r="AJ22" t="str">
            <v xml:space="preserve"> </v>
          </cell>
          <cell r="AN22">
            <v>1</v>
          </cell>
          <cell r="AR22" t="str">
            <v>סה"כ</v>
          </cell>
          <cell r="AS22" t="str">
            <v>השקעה בחברות בת - נטו</v>
          </cell>
          <cell r="AT22" t="str">
            <v>(הפסד הון)</v>
          </cell>
          <cell r="AV22" t="str">
            <v>הון</v>
          </cell>
          <cell r="AX22" t="str">
            <v>חייב</v>
          </cell>
          <cell r="AY22">
            <v>136.92117980336576</v>
          </cell>
          <cell r="AZ22" t="str">
            <v>פטור</v>
          </cell>
          <cell r="BA22">
            <v>-2.1176470588235241E-2</v>
          </cell>
          <cell r="BB22" t="str">
            <v>ריאלי</v>
          </cell>
          <cell r="BC22">
            <v>-1141.2</v>
          </cell>
          <cell r="BE22" t="str">
            <v>השקעות אחרות - מניות (כולל השקעה בשותפות)</v>
          </cell>
          <cell r="BF22">
            <v>11.98</v>
          </cell>
          <cell r="BI22">
            <v>30300</v>
          </cell>
          <cell r="BN22" t="str">
            <v>שבו הסכום</v>
          </cell>
          <cell r="BO22" t="str">
            <v>הפרשה להוצאות שלא הוכרה לצרכי מס בגין חברות מסונפות</v>
          </cell>
          <cell r="BP22" t="str">
            <v>או</v>
          </cell>
          <cell r="BR22" t="str">
            <v xml:space="preserve">   בשורות 2-1 דלעיל:נכסים מוגנים שנרכשו</v>
          </cell>
        </row>
        <row r="23">
          <cell r="O23" t="str">
            <v>|.לתוצאות שהוצהרו על ידה לצרכי מס הכנסה, לשנת המס האמורה ‎1998 בדצמבר</v>
          </cell>
          <cell r="V23">
            <v>-533.00199999999995</v>
          </cell>
          <cell r="AD23" t="str">
            <v>הפסד הון בספרים</v>
          </cell>
          <cell r="AJ23" t="str">
            <v xml:space="preserve"> </v>
          </cell>
          <cell r="AY23">
            <v>1951.3956900764565</v>
          </cell>
          <cell r="AZ23">
            <v>0.17649999999999999</v>
          </cell>
          <cell r="BA23">
            <v>-7.3968026723931768E-3</v>
          </cell>
          <cell r="BC23">
            <v>-46563.542999999998</v>
          </cell>
          <cell r="BE23" t="str">
            <v>השקעות אחרות - מניות</v>
          </cell>
          <cell r="BF23">
            <v>12.98</v>
          </cell>
          <cell r="BN23" t="str">
            <v>הוקטן</v>
          </cell>
          <cell r="BO23" t="str">
            <v>"סכום ששולם"</v>
          </cell>
          <cell r="BR23" t="str">
            <v xml:space="preserve">   ב-1984-1982 ונכסים אחרים שנרכשו</v>
          </cell>
        </row>
        <row r="24">
          <cell r="V24">
            <v>146</v>
          </cell>
          <cell r="AD24" t="str">
            <v>הוצאות רכב מעל למוכר</v>
          </cell>
          <cell r="AJ24" t="str">
            <v xml:space="preserve"> </v>
          </cell>
          <cell r="AN24">
            <v>10208</v>
          </cell>
          <cell r="AR24" t="str">
            <v xml:space="preserve"> </v>
          </cell>
          <cell r="AS24" t="str">
            <v>השקעה בחברה מסונפת</v>
          </cell>
          <cell r="BI24">
            <v>0</v>
          </cell>
          <cell r="BN24" t="str">
            <v>מההון</v>
          </cell>
          <cell r="BO24" t="str">
            <v>הפרשה להוצאות שלא הוכרה לצרכי מס בגין השקעות אחרות</v>
          </cell>
          <cell r="BP24" t="str">
            <v>והוקטן מההון</v>
          </cell>
          <cell r="BR24" t="str">
            <v xml:space="preserve">   מ-1985)</v>
          </cell>
        </row>
        <row r="25">
          <cell r="V25">
            <v>14</v>
          </cell>
          <cell r="W25" t="str">
            <v xml:space="preserve">לגבי חלקה של החברה, בשותפות </v>
          </cell>
          <cell r="AD25" t="str">
            <v>נסיעות לחו"ל מעל למוכר</v>
          </cell>
          <cell r="AJ25" t="str">
            <v xml:space="preserve"> </v>
          </cell>
          <cell r="BE25" t="str">
            <v>|רווח (הפסד) הון</v>
          </cell>
          <cell r="BR25" t="str">
            <v xml:space="preserve">      - תאר כל נכס בנפרד -</v>
          </cell>
        </row>
        <row r="26">
          <cell r="V26">
            <v>97</v>
          </cell>
          <cell r="W26" t="str">
            <v xml:space="preserve">שבקביעת הכנסתה חלות הוראות פרק ב לחוק </v>
          </cell>
          <cell r="AD26" t="str">
            <v>הוצאות עודפות אחרות לא מוכרות</v>
          </cell>
          <cell r="AJ26" t="str">
            <v>הנדון: ערוצי זהב ושות' (שותפות רשומה)</v>
          </cell>
          <cell r="AN26">
            <v>11703</v>
          </cell>
          <cell r="AS26" t="str">
            <v>השקעות בתאגידים בשליטה משותפת</v>
          </cell>
          <cell r="BE26" t="str">
            <v>|ממכירת רכוש קבוע</v>
          </cell>
          <cell r="BI26">
            <v>-530.32700000000023</v>
          </cell>
          <cell r="BO26" t="str">
            <v>הכנסות בספרים שלא נרשמו כהכנסה חייבת בגין חברות בשליטה משותפת - נטו</v>
          </cell>
        </row>
        <row r="27">
          <cell r="O27" t="str">
            <v>|בדיקת ההוצאות המפורטות בתקנות בדבר "תנאים לנכוי הוצאות מסוימות", החישובים</v>
          </cell>
          <cell r="AD27" t="str">
            <v>תרומות וקנסות</v>
          </cell>
          <cell r="AJ27" t="str">
            <v xml:space="preserve">   מקדמות על הוצאות עודפות לשנת המס 1998</v>
          </cell>
          <cell r="AR27">
            <v>23.48</v>
          </cell>
          <cell r="AT27">
            <v>-84.418999999999997</v>
          </cell>
          <cell r="AV27">
            <v>107.899</v>
          </cell>
          <cell r="AX27">
            <v>1.958</v>
          </cell>
          <cell r="AY27">
            <v>-1494.4064962316716</v>
          </cell>
          <cell r="AZ27">
            <v>37.767000000000003</v>
          </cell>
          <cell r="BA27">
            <v>0.1597435182603848</v>
          </cell>
          <cell r="BB27">
            <v>68.174000000000007</v>
          </cell>
          <cell r="BC27">
            <v>-1651.164</v>
          </cell>
          <cell r="BE27" t="str">
            <v>|לצרכי מס הכנסה</v>
          </cell>
          <cell r="BF27" t="str">
            <v>08/03/98</v>
          </cell>
          <cell r="BH27">
            <v>8384.4030000000002</v>
          </cell>
          <cell r="BL27">
            <v>16895</v>
          </cell>
          <cell r="BR27" t="str">
            <v>לפי טופס  מחשב רצ"ב (*)</v>
          </cell>
        </row>
        <row r="28">
          <cell r="O28" t="str">
            <v>|'א‎32 י) לפקודת מס הכנסה והתקיימות התנאים המפורטים בסעיף)‎3 הדרושים לפי סעיף</v>
          </cell>
          <cell r="W28" t="str">
            <v xml:space="preserve"> סה"כ קרנות, מענקים ותאומי הון של השותפות:</v>
          </cell>
          <cell r="Y28">
            <v>5</v>
          </cell>
          <cell r="AD28" t="str">
            <v>הוצאות תמלוגים לתושבי חוץ שאינן מוכרות ע"פ סעיף 18 (ה) לפקודה</v>
          </cell>
          <cell r="AN28">
            <v>31465</v>
          </cell>
          <cell r="AS28" t="str">
            <v>השקעות בחברות אחרות</v>
          </cell>
          <cell r="AY28">
            <v>-1501.2678886297044</v>
          </cell>
          <cell r="AZ28">
            <v>0.17649999999999999</v>
          </cell>
          <cell r="BA28">
            <v>0.1549139367018324</v>
          </cell>
          <cell r="BC28">
            <v>-1710.4580000000001</v>
          </cell>
          <cell r="BF28" t="str">
            <v>01/04/98</v>
          </cell>
        </row>
        <row r="29">
          <cell r="O29" t="str">
            <v>|לפקודה, נעשו בהיקף שסוכם בין נציבות מס הכנסה לבין לשכת רואי חשבון בישראל, על</v>
          </cell>
          <cell r="V29">
            <v>693.76699999999983</v>
          </cell>
          <cell r="W29" t="str">
            <v>(הסכום בשורה 3.31 בדו"ח השותפות)</v>
          </cell>
          <cell r="AD29" t="str">
            <v>עליה בהפרשה לחופשה</v>
          </cell>
          <cell r="AJ29" t="str">
            <v xml:space="preserve"> </v>
          </cell>
          <cell r="AY29">
            <v>-1166.280334807971</v>
          </cell>
          <cell r="AZ29">
            <v>0.17649999999999999</v>
          </cell>
          <cell r="BA29">
            <v>0.12220124089560302</v>
          </cell>
          <cell r="BC29">
            <v>-1684.5039999999999</v>
          </cell>
          <cell r="BE29" t="str">
            <v>|(ג) ‎9 'הפסד ריאלי לפי ס</v>
          </cell>
          <cell r="BF29" t="str">
            <v>03/05/98</v>
          </cell>
        </row>
        <row r="30">
          <cell r="O30" t="str">
            <v>כל המשתמע מכך.</v>
          </cell>
          <cell r="T30">
            <v>648.76499999999987</v>
          </cell>
          <cell r="AJ30" t="str">
            <v xml:space="preserve"> </v>
          </cell>
          <cell r="AN30">
            <v>5165.0390000000007</v>
          </cell>
          <cell r="AS30" t="str">
            <v>מס ששולם ביתר בגין שנים קודמות</v>
          </cell>
          <cell r="AT30">
            <v>-68.671000000000006</v>
          </cell>
          <cell r="AY30">
            <v>-1359.5872968540332</v>
          </cell>
          <cell r="AZ30">
            <v>0.17649999999999999</v>
          </cell>
          <cell r="BA30">
            <v>0.14035087719298245</v>
          </cell>
          <cell r="BC30">
            <v>-1709.7660000000001</v>
          </cell>
          <cell r="BE30" t="str">
            <v>לחוק התאומים</v>
          </cell>
          <cell r="BF30" t="str">
            <v>01/06/98</v>
          </cell>
        </row>
        <row r="31">
          <cell r="W31" t="str">
            <v>סכום הנכסים הקבועים  של  השותפות: (הסכום בשורה 4.1 בדו"ח השותפות)</v>
          </cell>
          <cell r="Y31">
            <v>6</v>
          </cell>
          <cell r="AD31" t="str">
            <v>רווח לפני יישום הוראות חוק מס הכנסה</v>
          </cell>
          <cell r="AJ31" t="str">
            <v xml:space="preserve"> </v>
          </cell>
          <cell r="AY31">
            <v>-1315.1979872385989</v>
          </cell>
          <cell r="AZ31">
            <v>0.17649999999999999</v>
          </cell>
          <cell r="BA31">
            <v>0.1350613915416099</v>
          </cell>
          <cell r="BC31">
            <v>-1718.7180000000001</v>
          </cell>
          <cell r="BF31" t="str">
            <v>01/07/98</v>
          </cell>
        </row>
        <row r="32">
          <cell r="T32" t="e">
            <v>#REF!</v>
          </cell>
          <cell r="AD32" t="str">
            <v>(תאומים בשל אינפלציה) התשמ"ה-1985</v>
          </cell>
          <cell r="AJ32" t="str">
            <v xml:space="preserve"> </v>
          </cell>
          <cell r="AY32">
            <v>-1404.8756999576431</v>
          </cell>
          <cell r="AZ32">
            <v>0.17649999999999999</v>
          </cell>
          <cell r="BA32">
            <v>0.14128943758573387</v>
          </cell>
          <cell r="BC32">
            <v>-1754.9829999999999</v>
          </cell>
          <cell r="BE32" t="str">
            <v>|קזוז רווח הון ראלי מהפסד הון</v>
          </cell>
          <cell r="BF32" t="str">
            <v>03/08/98</v>
          </cell>
        </row>
        <row r="33">
          <cell r="AJ33" t="str">
            <v xml:space="preserve"> </v>
          </cell>
          <cell r="AT33">
            <v>68.174000000000007</v>
          </cell>
          <cell r="AV33">
            <v>-68.174000000000007</v>
          </cell>
          <cell r="AY33">
            <v>-1215.4312985272788</v>
          </cell>
          <cell r="AZ33">
            <v>0.17649999999999999</v>
          </cell>
          <cell r="BA33">
            <v>0.12311015118790491</v>
          </cell>
          <cell r="BB33">
            <v>-68.174000000000007</v>
          </cell>
          <cell r="BC33">
            <v>-1742.5340000000001</v>
          </cell>
          <cell r="BE33" t="str">
            <v>השנה</v>
          </cell>
          <cell r="BF33" t="str">
            <v>20/08/98</v>
          </cell>
          <cell r="BH33">
            <v>0</v>
          </cell>
          <cell r="BL33">
            <v>0</v>
          </cell>
        </row>
        <row r="34">
          <cell r="O34" t="str">
            <v>|לדעתנו, בכפיפות לאמור בפיסקה הקודמת, ההתאמה הנ"ל נערכה בהתאם להוראות פקודת</v>
          </cell>
          <cell r="W34" t="str">
            <v>סכום השנויים בהון ובנכסים של השותפות: (הסכום בשורה 4.9 בדו"ח</v>
          </cell>
          <cell r="Y34">
            <v>7</v>
          </cell>
          <cell r="AD34" t="str">
            <v>השפעת האינפלציה בגין אובדן ממירים וגריעת</v>
          </cell>
          <cell r="AO34" t="str">
            <v>|כמבקרי החשבונות של השותפות הנ"ל הרינו מאשרים בזה כי בהתאם לספרי החשבונות של</v>
          </cell>
          <cell r="AY34">
            <v>-887.2320660420902</v>
          </cell>
          <cell r="AZ34">
            <v>0.17649999999999999</v>
          </cell>
          <cell r="BA34">
            <v>8.276939094221758E-2</v>
          </cell>
          <cell r="BC34">
            <v>-1891.961</v>
          </cell>
          <cell r="BF34" t="str">
            <v>20/09/98</v>
          </cell>
        </row>
        <row r="35">
          <cell r="O35" t="str">
            <v>מס הכנסה וחוק מס הכנסה (תאומים בשל אינפלציה) התשמ"ה-1985.</v>
          </cell>
          <cell r="W35" t="str">
            <v>השותפות)</v>
          </cell>
          <cell r="AD35" t="str">
            <v>הוצאות התקנה בגין מנויים שפרשו (נספח א')</v>
          </cell>
          <cell r="AO35" t="str">
            <v>|השותפות אשר בוקרו על ידנו, שולמו על ידה מקדמות על הוצאות עודפות בגין השנה</v>
          </cell>
          <cell r="AY35">
            <v>0</v>
          </cell>
          <cell r="AZ35">
            <v>0.17649999999999999</v>
          </cell>
          <cell r="BA35">
            <v>0</v>
          </cell>
          <cell r="BC35">
            <v>-168.767</v>
          </cell>
          <cell r="BE35" t="str">
            <v>|קזוז סכום אינפלציוני</v>
          </cell>
          <cell r="BF35" t="str">
            <v>01/02/99</v>
          </cell>
          <cell r="BQ35">
            <v>17094.646000000001</v>
          </cell>
        </row>
        <row r="36">
          <cell r="T36">
            <v>0</v>
          </cell>
          <cell r="AD36" t="str">
            <v xml:space="preserve">                      (ראה 1)</v>
          </cell>
          <cell r="AM36" t="str">
            <v>ש"ח.</v>
          </cell>
          <cell r="AN36">
            <v>704250</v>
          </cell>
          <cell r="AO36" t="str">
            <v>הנ"ל בסך</v>
          </cell>
          <cell r="BE36" t="str">
            <v>|מהפסד הון לפי יחס</v>
          </cell>
        </row>
        <row r="37">
          <cell r="W37" t="str">
            <v xml:space="preserve">חלקה של השותפות הנ"ל בהון, בנכסים הקבועים ובשנויים בהם, </v>
          </cell>
          <cell r="Y37">
            <v>8</v>
          </cell>
          <cell r="AJ37" t="str">
            <v xml:space="preserve"> </v>
          </cell>
          <cell r="AT37">
            <v>1</v>
          </cell>
          <cell r="AV37">
            <v>-1.958</v>
          </cell>
          <cell r="AX37">
            <v>-1.958</v>
          </cell>
          <cell r="BE37" t="str">
            <v>1:3.5</v>
          </cell>
          <cell r="BQ37">
            <v>-199.678</v>
          </cell>
        </row>
        <row r="38">
          <cell r="T38" t="e">
            <v>#REF!</v>
          </cell>
          <cell r="W38" t="str">
            <v>של שותפות אחרת</v>
          </cell>
          <cell r="AJ38" t="str">
            <v xml:space="preserve"> </v>
          </cell>
        </row>
        <row r="39">
          <cell r="W39" t="str">
            <v xml:space="preserve">(סה"כ הסכומים המופיעים בשורות </v>
          </cell>
          <cell r="AM39" t="str">
            <v>סכום המקדמות הנ"ל שולם לפ"ש גוש דן בתיק נכויים מס' 939240727.</v>
          </cell>
          <cell r="BC39">
            <v>-14032.855</v>
          </cell>
          <cell r="BE39" t="str">
            <v>סה"כ</v>
          </cell>
          <cell r="BQ39">
            <v>16894.968000000001</v>
          </cell>
        </row>
        <row r="40">
          <cell r="T40">
            <v>-8384.4030000000002</v>
          </cell>
          <cell r="W40" t="str">
            <v xml:space="preserve">3.31- 4.1- 4.9 כפול חלקה של השותפות הנ"ל </v>
          </cell>
          <cell r="AD40" t="str">
            <v>נכוי בשל פחת (ראה 2)</v>
          </cell>
          <cell r="AM40" t="str">
            <v xml:space="preserve"> </v>
          </cell>
          <cell r="BE40" t="str">
            <v>תשלום נכוי במקור בגין השנה:</v>
          </cell>
        </row>
        <row r="41">
          <cell r="W41" t="str">
            <v xml:space="preserve">ברווחים של השותפות האחרת)- להלן:        X %     =  </v>
          </cell>
          <cell r="AM41" t="str">
            <v xml:space="preserve"> </v>
          </cell>
          <cell r="AV41">
            <v>37.766999999999996</v>
          </cell>
          <cell r="AX41">
            <v>0</v>
          </cell>
          <cell r="AY41">
            <v>-3.4098316947175475</v>
          </cell>
          <cell r="AZ41">
            <v>37.767000000000003</v>
          </cell>
          <cell r="BA41">
            <v>0.17647058823529416</v>
          </cell>
          <cell r="BB41">
            <v>0</v>
          </cell>
          <cell r="BC41">
            <v>-3.4103999999999997</v>
          </cell>
          <cell r="BF41">
            <v>1.98</v>
          </cell>
        </row>
        <row r="42">
          <cell r="T42" t="e">
            <v>#REF!</v>
          </cell>
          <cell r="AD42" t="str">
            <v>רווח לחלוקה בין השותפים כמפורט בט' 1392/ג'</v>
          </cell>
          <cell r="AM42" t="str">
            <v>זקיפת המקדמות על הוצאות עודפות בין השותפים:</v>
          </cell>
          <cell r="AY42">
            <v>-8.9735760957763357</v>
          </cell>
          <cell r="AZ42">
            <v>0.17649999999999999</v>
          </cell>
          <cell r="BA42">
            <v>0.16136236739251819</v>
          </cell>
          <cell r="BC42">
            <v>-9.8154000000000003</v>
          </cell>
          <cell r="BF42">
            <v>3.98</v>
          </cell>
        </row>
        <row r="43">
          <cell r="N43" t="str">
            <v xml:space="preserve">רמת - גן , 16 באוגוסט 1998                </v>
          </cell>
          <cell r="W43" t="str">
            <v>סה"כ לענין השותפות: (סיכום שלילי יירשם בסוגריים)</v>
          </cell>
          <cell r="Y43">
            <v>9</v>
          </cell>
          <cell r="AK43" t="str">
            <v>ש"ח</v>
          </cell>
          <cell r="AR43" t="str">
            <v xml:space="preserve"> </v>
          </cell>
          <cell r="AT43">
            <v>-83.915999999999997</v>
          </cell>
          <cell r="AY43">
            <v>-1.7815712023160646</v>
          </cell>
          <cell r="AZ43">
            <v>0.17649999999999999</v>
          </cell>
          <cell r="BA43">
            <v>0.15651932165693649</v>
          </cell>
          <cell r="BC43">
            <v>-2.0089999999999999</v>
          </cell>
          <cell r="BE43" t="str">
            <v>סה"כ</v>
          </cell>
          <cell r="BF43">
            <v>4.9800000000000004</v>
          </cell>
        </row>
        <row r="44">
          <cell r="AD44" t="str">
            <v>הפסד הון לצרכי מס הכנסה לחלוקה בין</v>
          </cell>
          <cell r="AJ44" t="str">
            <v xml:space="preserve"> </v>
          </cell>
          <cell r="AR44" t="str">
            <v xml:space="preserve"> </v>
          </cell>
          <cell r="AY44">
            <v>-0.25259203699456345</v>
          </cell>
          <cell r="AZ44">
            <v>0.17649999999999999</v>
          </cell>
          <cell r="BA44">
            <v>0.13785557986870889</v>
          </cell>
          <cell r="BC44">
            <v>-0.32339999999999997</v>
          </cell>
          <cell r="BF44">
            <v>6.98</v>
          </cell>
        </row>
        <row r="45">
          <cell r="T45">
            <v>83.915999999999997</v>
          </cell>
          <cell r="AD45" t="str">
            <v xml:space="preserve">               השותפים (ראה נספח ב')</v>
          </cell>
          <cell r="AK45">
            <v>492975.00000000006</v>
          </cell>
          <cell r="AL45" t="str">
            <v>עורק שרותי מידע מקומי בע"מ</v>
          </cell>
          <cell r="AR45" t="str">
            <v xml:space="preserve"> </v>
          </cell>
          <cell r="AY45">
            <v>-0.46015075116786996</v>
          </cell>
          <cell r="AZ45">
            <v>0.17649999999999999</v>
          </cell>
          <cell r="BA45">
            <v>0.13444232342514328</v>
          </cell>
          <cell r="BC45">
            <v>-0.60409999999999986</v>
          </cell>
          <cell r="BF45">
            <v>7.98</v>
          </cell>
        </row>
        <row r="46">
          <cell r="W46" t="str">
            <v>הכפל באחוז חלקה של החברה ברווחי השותפות:</v>
          </cell>
          <cell r="Y46">
            <v>9</v>
          </cell>
          <cell r="AJ46" t="str">
            <v xml:space="preserve"> </v>
          </cell>
          <cell r="AR46" t="str">
            <v xml:space="preserve"> </v>
          </cell>
          <cell r="AY46">
            <v>-1.7217571500640301</v>
          </cell>
          <cell r="AZ46">
            <v>0.17649999999999999</v>
          </cell>
          <cell r="BA46">
            <v>0.13972602739726026</v>
          </cell>
          <cell r="BC46">
            <v>-2.1748999999999996</v>
          </cell>
          <cell r="BF46">
            <v>8.98</v>
          </cell>
        </row>
        <row r="47">
          <cell r="T47">
            <v>30.59</v>
          </cell>
          <cell r="AD47" t="str">
            <v>תרומות מוכרות לחלוקה בין השותפים (לפי פרוט מצורף)</v>
          </cell>
          <cell r="AK47">
            <v>211275</v>
          </cell>
          <cell r="AL47" t="str">
            <v>ידיעות תקשורת בע"מ</v>
          </cell>
          <cell r="AR47" t="str">
            <v xml:space="preserve"> </v>
          </cell>
          <cell r="AY47">
            <v>-6.4982667604814068E-2</v>
          </cell>
          <cell r="AZ47">
            <v>0.17649999999999999</v>
          </cell>
          <cell r="BA47">
            <v>8.1924577373212015E-2</v>
          </cell>
          <cell r="BC47">
            <v>-0.14000000000000001</v>
          </cell>
          <cell r="BF47">
            <v>10.98</v>
          </cell>
        </row>
        <row r="48">
          <cell r="AJ48" t="str">
            <v xml:space="preserve"> </v>
          </cell>
          <cell r="AR48" t="str">
            <v xml:space="preserve"> </v>
          </cell>
          <cell r="AY48">
            <v>7.3487752041326265E-2</v>
          </cell>
          <cell r="AZ48">
            <v>0.17649999999999999</v>
          </cell>
          <cell r="BA48">
            <v>-2.1176470588235241E-2</v>
          </cell>
          <cell r="BC48">
            <v>-0.61250000000000004</v>
          </cell>
          <cell r="BF48">
            <v>11.98</v>
          </cell>
        </row>
        <row r="49">
          <cell r="N49" t="str">
            <v>קסלמן וקסלמן</v>
          </cell>
          <cell r="Q49">
            <v>114330.95240872243</v>
          </cell>
          <cell r="T49" t="str">
            <v>הערות:</v>
          </cell>
          <cell r="W49" t="str">
            <v xml:space="preserve">  סיכום ההון כהגדרתו בסעיף 7(א) לחוק: (סיכום שלילי יירשם בסוגריים)</v>
          </cell>
          <cell r="Y49">
            <v>10</v>
          </cell>
          <cell r="AJ49" t="str">
            <v xml:space="preserve"> </v>
          </cell>
          <cell r="AK49">
            <v>704250</v>
          </cell>
          <cell r="AR49" t="str">
            <v xml:space="preserve"> </v>
          </cell>
          <cell r="AY49">
            <v>5.3097727965564613E-3</v>
          </cell>
          <cell r="AZ49">
            <v>0.17649999999999999</v>
          </cell>
          <cell r="BA49">
            <v>-7.3968026723931768E-3</v>
          </cell>
          <cell r="BC49">
            <v>-0.12669999999999998</v>
          </cell>
          <cell r="BF49">
            <v>12.98</v>
          </cell>
        </row>
        <row r="50">
          <cell r="N50" t="str">
            <v>רואי חשבון</v>
          </cell>
          <cell r="AD50" t="str">
            <v>השפעת האינפלציה בגין אובדן ממירים וגריעת הוצאות התקנה בגין מנויים שפרשו נדרשה כהוצאה הואיל והם</v>
          </cell>
          <cell r="AF50" t="str">
            <v>(1</v>
          </cell>
          <cell r="AJ50" t="str">
            <v xml:space="preserve"> </v>
          </cell>
        </row>
        <row r="51">
          <cell r="W51" t="str">
            <v xml:space="preserve"> הכפל כאמור בסעיף 7(ב) - סיכום חיובי, או 7(ד) לחוק - סיכום שלילי - לפי הענין:</v>
          </cell>
          <cell r="AD51" t="str">
            <v>מהווים נכס קבוע.</v>
          </cell>
          <cell r="AJ51" t="str">
            <v xml:space="preserve"> </v>
          </cell>
          <cell r="BH51">
            <v>8384.4030000000002</v>
          </cell>
          <cell r="BL51">
            <v>16895</v>
          </cell>
        </row>
        <row r="52">
          <cell r="Q52">
            <v>0.17649999999999999</v>
          </cell>
          <cell r="W52" t="str">
            <v xml:space="preserve">שיעור עליית שער החליפין על פי חוזר הנציבות מס' 86/4 </v>
          </cell>
          <cell r="Y52">
            <v>11</v>
          </cell>
          <cell r="AD52" t="str">
            <v>כולל נכוי בשל פחת בסך 31 אלפי ש"ח בגין כלי רכב פרטיים ביחס לסכום ההוצאה המוכרת ע"פ התקנות.</v>
          </cell>
          <cell r="AF52" t="str">
            <v>(2</v>
          </cell>
          <cell r="AJ52" t="str">
            <v xml:space="preserve"> </v>
          </cell>
        </row>
        <row r="53">
          <cell r="L53" t="str">
            <v>.1</v>
          </cell>
          <cell r="T53" t="str">
            <v>הוצאות התפעול כוללות סכומים כמפורט בבאור 15 לדוחות הכספיים.</v>
          </cell>
          <cell r="W53" t="str">
            <v>מיום 1 באוגוסט 1986</v>
          </cell>
          <cell r="AJ53" t="str">
            <v xml:space="preserve"> </v>
          </cell>
          <cell r="BC53">
            <v>-19.2164</v>
          </cell>
          <cell r="BE53" t="str">
            <v>סה"כ</v>
          </cell>
        </row>
        <row r="54">
          <cell r="AJ54" t="str">
            <v xml:space="preserve"> </v>
          </cell>
          <cell r="AL54" t="str">
            <v xml:space="preserve">          רמת - גן , 16 באוגוסט 1998                </v>
          </cell>
        </row>
        <row r="55">
          <cell r="W55" t="str">
            <v xml:space="preserve"> תוצאה חיובית תנוכה בדו"ח התאום שורה 17 בגבולות התיקרות / </v>
          </cell>
          <cell r="Y55">
            <v>12</v>
          </cell>
          <cell r="AJ55" t="str">
            <v xml:space="preserve"> </v>
          </cell>
        </row>
        <row r="56">
          <cell r="P56">
            <v>36023</v>
          </cell>
          <cell r="Q56">
            <v>20179</v>
          </cell>
          <cell r="W56" t="str">
            <v xml:space="preserve"> תוצאה שלילית תועבר לדו"ח בשורה 16:</v>
          </cell>
          <cell r="AJ56" t="str">
            <v>בכבוד רב,</v>
          </cell>
          <cell r="BE56" t="str">
            <v>תשלום מקדמות עודפות בגין השנה:</v>
          </cell>
        </row>
        <row r="57">
          <cell r="V57" t="str">
            <v>מנהל</v>
          </cell>
          <cell r="Y57" t="str">
            <v>מנהל</v>
          </cell>
          <cell r="AY57">
            <v>-12.569561514798675</v>
          </cell>
          <cell r="AZ57">
            <v>0.17649999999999999</v>
          </cell>
          <cell r="BA57">
            <v>0.16006692693809277</v>
          </cell>
          <cell r="BC57">
            <v>-13.860000000000001</v>
          </cell>
          <cell r="BF57" t="str">
            <v>25/02/98</v>
          </cell>
        </row>
        <row r="58">
          <cell r="L58" t="str">
            <v>.2</v>
          </cell>
          <cell r="P58">
            <v>0</v>
          </cell>
          <cell r="X58" t="str">
            <v>:הערה</v>
          </cell>
          <cell r="AY58">
            <v>-70.122179451315333</v>
          </cell>
          <cell r="AZ58">
            <v>0.17649999999999999</v>
          </cell>
          <cell r="BA58">
            <v>0.1571627260083448</v>
          </cell>
          <cell r="BC58">
            <v>-78.750000000000014</v>
          </cell>
          <cell r="BF58" t="str">
            <v>24/03/98</v>
          </cell>
        </row>
        <row r="59">
          <cell r="X59" t="str">
            <v xml:space="preserve">יש לשים לב לכך, שפרט לסכומים בשורות 3 ו - 6 שיש לרשמם תמיד בסוגריים - יתר הסכומים המבטאים הון, תיאומי הון ושינויים נטו </v>
          </cell>
          <cell r="AY59">
            <v>-20.201476544561267</v>
          </cell>
          <cell r="AZ59">
            <v>0.17649999999999999</v>
          </cell>
          <cell r="BA59">
            <v>0.11319240032111311</v>
          </cell>
          <cell r="BC59">
            <v>-31.500000000000004</v>
          </cell>
          <cell r="BF59" t="str">
            <v>20/04/98</v>
          </cell>
        </row>
        <row r="60">
          <cell r="X60" t="str">
            <v xml:space="preserve">עשויים להיות גם בסיכום שליליברשימות המתאימות או בדו"ח השותפות. </v>
          </cell>
          <cell r="AY60">
            <v>-19.037807262765394</v>
          </cell>
          <cell r="AZ60">
            <v>0.17649999999999999</v>
          </cell>
          <cell r="BA60">
            <v>0.14222954420648004</v>
          </cell>
          <cell r="BC60">
            <v>-23.625000000000004</v>
          </cell>
          <cell r="BF60" t="str">
            <v>24/05/98</v>
          </cell>
        </row>
        <row r="61">
          <cell r="X61" t="str">
            <v>אי לכך בנספח זה, יש להקפיד ולרשום בסוגריים  כל סיכום המתקבל כסכום שלילי.</v>
          </cell>
          <cell r="AJ61" t="str">
            <v>קסלמן וקסלמן</v>
          </cell>
          <cell r="AY61">
            <v>-30.684488051553885</v>
          </cell>
          <cell r="AZ61">
            <v>0.17649999999999999</v>
          </cell>
          <cell r="BA61">
            <v>0.137544435329505</v>
          </cell>
          <cell r="BC61">
            <v>-39.375000000000007</v>
          </cell>
          <cell r="BF61" t="str">
            <v>24/06/98</v>
          </cell>
        </row>
        <row r="62">
          <cell r="AB62">
            <v>26788</v>
          </cell>
          <cell r="AG62" t="str">
            <v>סה"כ סכום ההון: (סיכום שלילי יירשם בסוגריים)</v>
          </cell>
          <cell r="AJ62" t="str">
            <v>רואי חשבון</v>
          </cell>
          <cell r="AN62">
            <v>65663.821200000006</v>
          </cell>
          <cell r="AO62" t="str">
            <v>סה"כ סכום הנכסים הקבועים:</v>
          </cell>
          <cell r="AY62">
            <v>-24.04918329214636</v>
          </cell>
          <cell r="AZ62">
            <v>0.17649999999999999</v>
          </cell>
          <cell r="BA62">
            <v>0.13475177304964547</v>
          </cell>
          <cell r="BC62">
            <v>-31.500000000000004</v>
          </cell>
          <cell r="BF62" t="str">
            <v>26/07/98</v>
          </cell>
          <cell r="BH62">
            <v>36023</v>
          </cell>
          <cell r="BI62">
            <v>29568.382999999998</v>
          </cell>
          <cell r="BJ62" t="str">
            <v>ראה מכתבנו מיום</v>
          </cell>
          <cell r="BK62" t="str">
            <v>סה"כ תאומי ההון: (סיכום שלילי יירשם בסוגריים)</v>
          </cell>
        </row>
        <row r="63">
          <cell r="AY63">
            <v>-68.687087546705385</v>
          </cell>
          <cell r="AZ63">
            <v>0.17649999999999999</v>
          </cell>
          <cell r="BA63">
            <v>0.12828858150257672</v>
          </cell>
          <cell r="BC63">
            <v>-94.5</v>
          </cell>
          <cell r="BF63" t="str">
            <v>17/08/98</v>
          </cell>
          <cell r="BH63" t="str">
            <v>קסלמן וקסלמן רו"ח</v>
          </cell>
        </row>
        <row r="64">
          <cell r="L64" t="str">
            <v>ראה מכתבנו מיום</v>
          </cell>
          <cell r="AJ64" t="str">
            <v xml:space="preserve"> </v>
          </cell>
          <cell r="AY64">
            <v>-29.644369347276591</v>
          </cell>
          <cell r="AZ64">
            <v>0.17649999999999999</v>
          </cell>
          <cell r="BA64">
            <v>8.3051288726893935E-2</v>
          </cell>
          <cell r="BC64">
            <v>-62.999999999999993</v>
          </cell>
          <cell r="BF64" t="str">
            <v>15/09/98</v>
          </cell>
          <cell r="BN64" t="str">
            <v>חותמת המייצג לשם זהוי:</v>
          </cell>
        </row>
        <row r="65">
          <cell r="AY65">
            <v>2.6126923779782443</v>
          </cell>
          <cell r="AZ65">
            <v>0.17649999999999999</v>
          </cell>
          <cell r="BA65">
            <v>-9.7595810521303727E-3</v>
          </cell>
          <cell r="BC65">
            <v>-47.25</v>
          </cell>
          <cell r="BF65" t="str">
            <v>15/10/98</v>
          </cell>
          <cell r="BS65" t="str">
            <v>קסלמן וקסלמן רו"ח</v>
          </cell>
        </row>
        <row r="66">
          <cell r="O66" t="str">
            <v>קסלמן וקסלמן רו"ח</v>
          </cell>
          <cell r="T66" t="str">
            <v xml:space="preserve">חותמת המייצג לשם זהוי: </v>
          </cell>
          <cell r="X66" t="str">
            <v xml:space="preserve">:חתימת המנהלים </v>
          </cell>
          <cell r="AY66">
            <v>0.19263999695580428</v>
          </cell>
          <cell r="AZ66">
            <v>0.17649999999999999</v>
          </cell>
          <cell r="BA66">
            <v>-2.1587910769967911E-3</v>
          </cell>
          <cell r="BC66">
            <v>-15.749999999999998</v>
          </cell>
          <cell r="BF66" t="str">
            <v>24/11/98</v>
          </cell>
        </row>
        <row r="67">
          <cell r="AX67" t="str">
            <v>7TG</v>
          </cell>
          <cell r="AY67">
            <v>1.4719636136825172</v>
          </cell>
          <cell r="AZ67">
            <v>0.17649999999999999</v>
          </cell>
          <cell r="BA67">
            <v>-5.4984460913219957E-3</v>
          </cell>
          <cell r="BC67">
            <v>-47.25</v>
          </cell>
          <cell r="BF67" t="str">
            <v>23/12/98</v>
          </cell>
        </row>
        <row r="68">
          <cell r="O68" t="str">
            <v>1TG</v>
          </cell>
          <cell r="AM68" t="str">
            <v>6tg</v>
          </cell>
          <cell r="AY68">
            <v>0</v>
          </cell>
          <cell r="AZ68">
            <v>0.17649999999999999</v>
          </cell>
          <cell r="BA68">
            <v>0</v>
          </cell>
          <cell r="BC68">
            <v>-55.838999999999999</v>
          </cell>
          <cell r="BF68" t="str">
            <v>31/12/98</v>
          </cell>
        </row>
        <row r="69">
          <cell r="BR69">
            <v>36037</v>
          </cell>
          <cell r="BS69" t="str">
            <v>ראה מכתבנו מיום</v>
          </cell>
        </row>
        <row r="71">
          <cell r="BC71">
            <v>-542.19900000000007</v>
          </cell>
        </row>
        <row r="72">
          <cell r="T72" t="str">
            <v>2tg</v>
          </cell>
          <cell r="AT72">
            <v>68.174000000000007</v>
          </cell>
          <cell r="AV72">
            <v>-68.174000000000007</v>
          </cell>
          <cell r="AX72">
            <v>-16258.099163942479</v>
          </cell>
          <cell r="BB72">
            <v>-68.174000000000007</v>
          </cell>
          <cell r="BC72" t="str">
            <v>קזוז רווח ראלי מהפסד הון</v>
          </cell>
          <cell r="BE72" t="str">
            <v>סה"כ</v>
          </cell>
        </row>
        <row r="74">
          <cell r="AZ74" t="str">
            <v>סה"כ נטו שנויים בהון ובנכסים במשך השנה:</v>
          </cell>
        </row>
        <row r="75">
          <cell r="AX75">
            <v>123638.39060872243</v>
          </cell>
        </row>
        <row r="76">
          <cell r="T76" t="str">
            <v>ערוצי זהב ושות'</v>
          </cell>
        </row>
        <row r="77">
          <cell r="T77" t="str">
            <v>שותפות רשומה</v>
          </cell>
        </row>
        <row r="78">
          <cell r="T78" t="str">
            <v>פרוטים</v>
          </cell>
          <cell r="BD78" t="str">
            <v>דיבידנד ששולם למעט מתוך דיבידנד שנתקבל</v>
          </cell>
        </row>
        <row r="79">
          <cell r="T79" t="str">
            <v>דוח רווח והפסד מותאם לצרכי מס הכנסה</v>
          </cell>
        </row>
        <row r="80">
          <cell r="T80" t="str">
            <v>לשנת המס 1998</v>
          </cell>
        </row>
        <row r="82">
          <cell r="AA82" t="str">
            <v>נסיעות</v>
          </cell>
          <cell r="AC82" t="str">
            <v>השתתפות</v>
          </cell>
        </row>
        <row r="83">
          <cell r="V83" t="str">
            <v>סה"כ</v>
          </cell>
          <cell r="X83" t="str">
            <v>רכב</v>
          </cell>
          <cell r="AA83" t="str">
            <v>לחו"ל</v>
          </cell>
          <cell r="AC83" t="str">
            <v>בהוצאות</v>
          </cell>
        </row>
        <row r="85">
          <cell r="V85">
            <v>3727.1759999999999</v>
          </cell>
          <cell r="X85">
            <v>3560.145</v>
          </cell>
          <cell r="AA85">
            <v>167.03100000000001</v>
          </cell>
          <cell r="AD85" t="str">
            <v>תפעול</v>
          </cell>
        </row>
        <row r="87">
          <cell r="V87">
            <v>180.64</v>
          </cell>
          <cell r="X87">
            <v>180.64</v>
          </cell>
          <cell r="AD87" t="str">
            <v>מכירה</v>
          </cell>
        </row>
        <row r="89">
          <cell r="V89">
            <v>762.74599999999998</v>
          </cell>
          <cell r="X89">
            <v>762.74599999999998</v>
          </cell>
          <cell r="AD89" t="str">
            <v>הנהלה</v>
          </cell>
        </row>
        <row r="91">
          <cell r="V91">
            <v>4670.5619999999999</v>
          </cell>
          <cell r="X91">
            <v>4503.5309999999999</v>
          </cell>
          <cell r="AA91">
            <v>167.03100000000001</v>
          </cell>
          <cell r="AC91">
            <v>0</v>
          </cell>
        </row>
        <row r="93">
          <cell r="V93">
            <v>0</v>
          </cell>
          <cell r="X93">
            <v>0</v>
          </cell>
          <cell r="AC93">
            <v>0</v>
          </cell>
          <cell r="AD93" t="str">
            <v>פחות פחת</v>
          </cell>
        </row>
        <row r="95">
          <cell r="V95">
            <v>4503.5309999999999</v>
          </cell>
          <cell r="X95">
            <v>4503.5309999999999</v>
          </cell>
          <cell r="AC95">
            <v>0</v>
          </cell>
        </row>
        <row r="96">
          <cell r="AD96" t="str">
            <v>הוון</v>
          </cell>
        </row>
        <row r="98">
          <cell r="V98">
            <v>4503.5309999999999</v>
          </cell>
          <cell r="X98">
            <v>4503.5309999999999</v>
          </cell>
          <cell r="AC98">
            <v>0</v>
          </cell>
          <cell r="AD98" t="str">
            <v>סה"כ הוצ'</v>
          </cell>
        </row>
        <row r="100">
          <cell r="AA100">
            <v>-157.4935299</v>
          </cell>
          <cell r="AD100" t="str">
            <v>מוכר</v>
          </cell>
        </row>
        <row r="102">
          <cell r="AA102">
            <v>9.5374701000000073</v>
          </cell>
          <cell r="AD102" t="str">
            <v>מעל למוכר</v>
          </cell>
        </row>
        <row r="104">
          <cell r="AD104" t="str">
            <v>הוצאות לא מוכרות</v>
          </cell>
        </row>
        <row r="105">
          <cell r="AC105">
            <v>27.323</v>
          </cell>
          <cell r="AE105" t="str">
            <v>בגוד</v>
          </cell>
        </row>
        <row r="106">
          <cell r="AC106">
            <v>88.558000000000007</v>
          </cell>
          <cell r="AE106" t="str">
            <v>כבודים</v>
          </cell>
        </row>
        <row r="107">
          <cell r="AC107">
            <v>0</v>
          </cell>
          <cell r="AD107" t="str">
            <v>טיולים ,מסיבות נופש,פרסים,נק' זהב</v>
          </cell>
        </row>
        <row r="108">
          <cell r="AC108">
            <v>1.446</v>
          </cell>
          <cell r="AE108" t="str">
            <v>מתנות</v>
          </cell>
        </row>
        <row r="109">
          <cell r="AC109">
            <v>0</v>
          </cell>
          <cell r="AE109" t="str">
            <v>חיוב טל"מ</v>
          </cell>
        </row>
        <row r="110">
          <cell r="AC110">
            <v>0</v>
          </cell>
          <cell r="AE110" t="str">
            <v>שווי</v>
          </cell>
        </row>
        <row r="111">
          <cell r="AC111">
            <v>0</v>
          </cell>
          <cell r="AD111" t="str">
            <v>שווי בכירים</v>
          </cell>
        </row>
        <row r="112">
          <cell r="AC112">
            <v>42.567</v>
          </cell>
          <cell r="AD112" t="str">
            <v>כבוד מחוץ לעסק</v>
          </cell>
        </row>
        <row r="114">
          <cell r="AC114">
            <v>159.89400000000001</v>
          </cell>
        </row>
        <row r="116">
          <cell r="AB116" t="str">
            <v>בדיקת "מעגל" רכוש</v>
          </cell>
        </row>
        <row r="117">
          <cell r="T117">
            <v>-26663.710000000006</v>
          </cell>
          <cell r="V117" t="str">
            <v xml:space="preserve"> בקורת תוספות רכוש קבוע</v>
          </cell>
          <cell r="AA117" t="str">
            <v>מס</v>
          </cell>
          <cell r="AC117" t="str">
            <v>ספרים</v>
          </cell>
        </row>
        <row r="118">
          <cell r="T118" t="str">
            <v>====</v>
          </cell>
          <cell r="AA118">
            <v>120746</v>
          </cell>
          <cell r="AC118">
            <v>122451.887</v>
          </cell>
          <cell r="AD118" t="str">
            <v>י.פ. רכוש קבוע</v>
          </cell>
        </row>
        <row r="119">
          <cell r="AA119">
            <v>45571.370999999999</v>
          </cell>
          <cell r="AC119">
            <v>45571.370999999999</v>
          </cell>
          <cell r="AD119" t="str">
            <v>רכישות השנה</v>
          </cell>
        </row>
        <row r="120">
          <cell r="O120">
            <v>11</v>
          </cell>
          <cell r="Q120">
            <v>11</v>
          </cell>
          <cell r="S120">
            <v>1</v>
          </cell>
          <cell r="T120">
            <v>0</v>
          </cell>
          <cell r="U120">
            <v>9</v>
          </cell>
          <cell r="V120" t="str">
            <v>גריעות</v>
          </cell>
          <cell r="W120">
            <v>9</v>
          </cell>
          <cell r="X120">
            <v>9</v>
          </cell>
          <cell r="Y120">
            <v>1</v>
          </cell>
          <cell r="AA120">
            <v>-322.38900000000001</v>
          </cell>
          <cell r="AC120">
            <v>-322.38900000000001</v>
          </cell>
          <cell r="AD120" t="str">
            <v>תמורה ממכירת רכוש</v>
          </cell>
        </row>
        <row r="121">
          <cell r="T121">
            <v>0</v>
          </cell>
          <cell r="AA121">
            <v>23.48</v>
          </cell>
          <cell r="AC121">
            <v>533.00199999999995</v>
          </cell>
          <cell r="AD121" t="str">
            <v>רווח הון</v>
          </cell>
        </row>
        <row r="122">
          <cell r="AA122">
            <v>-17094.646000000001</v>
          </cell>
          <cell r="AC122">
            <v>0</v>
          </cell>
          <cell r="AD122" t="str">
            <v>פחת השנה</v>
          </cell>
        </row>
        <row r="123">
          <cell r="T123">
            <v>0</v>
          </cell>
          <cell r="AA123">
            <v>-1216.1489999999999</v>
          </cell>
          <cell r="AC123">
            <v>-1216.1489999999999</v>
          </cell>
          <cell r="AD123" t="str">
            <v>גריעת שלוחות וממירים</v>
          </cell>
        </row>
        <row r="124">
          <cell r="T124">
            <v>533.00199999999995</v>
          </cell>
          <cell r="V124" t="str">
            <v>רווח(הפסד)</v>
          </cell>
          <cell r="AA124">
            <v>147707.66699999999</v>
          </cell>
          <cell r="AC124">
            <v>167017.72200000001</v>
          </cell>
          <cell r="AD124" t="str">
            <v>י.ס. רכוש קבוע</v>
          </cell>
        </row>
        <row r="125">
          <cell r="V125" t="str">
            <v>נטרול הוצאות נתוק והפעלה</v>
          </cell>
          <cell r="AA125">
            <v>-32240.375999999989</v>
          </cell>
          <cell r="AC125">
            <v>-21917.114999999991</v>
          </cell>
          <cell r="AD125" t="str">
            <v>הפרש</v>
          </cell>
        </row>
        <row r="126">
          <cell r="T126">
            <v>-1216.1489999999999</v>
          </cell>
          <cell r="V126" t="str">
            <v>נטרול מחיקת ממירים</v>
          </cell>
          <cell r="AC126" t="str">
            <v>בדיקת סבירות ניכוי בשל פחת</v>
          </cell>
        </row>
        <row r="127">
          <cell r="T127">
            <v>-683.14699999999993</v>
          </cell>
          <cell r="V127" t="str">
            <v>תמורה</v>
          </cell>
        </row>
        <row r="128">
          <cell r="T128">
            <v>1005.5359999999999</v>
          </cell>
          <cell r="V128" t="str">
            <v>בקורת תמורה</v>
          </cell>
          <cell r="AA128">
            <v>0.58641713834859865</v>
          </cell>
          <cell r="AB128" t="str">
            <v>=</v>
          </cell>
          <cell r="AC128">
            <v>17094.646000000001</v>
          </cell>
          <cell r="AD128" t="str">
            <v>פחת למס 98=</v>
          </cell>
        </row>
        <row r="129">
          <cell r="T129">
            <v>322.38900000000001</v>
          </cell>
          <cell r="V129" t="str">
            <v>לפי טופס 1392</v>
          </cell>
          <cell r="AC129">
            <v>29151</v>
          </cell>
          <cell r="AD129" t="str">
            <v>פחת למס 97</v>
          </cell>
        </row>
        <row r="137">
          <cell r="AC137">
            <v>0.58641713834859865</v>
          </cell>
        </row>
        <row r="138">
          <cell r="AC138" t="e">
            <v>#VALUE!</v>
          </cell>
        </row>
        <row r="139">
          <cell r="AC139">
            <v>-17094.646000000001</v>
          </cell>
          <cell r="AD139" t="str">
            <v>פחת נומינלי השנה</v>
          </cell>
        </row>
        <row r="141">
          <cell r="AC141" t="e">
            <v>#VALUE!</v>
          </cell>
          <cell r="AD141" t="str">
            <v>ניכוי בשל פחת חזוי</v>
          </cell>
        </row>
        <row r="142">
          <cell r="AC142">
            <v>8384.4030000000002</v>
          </cell>
          <cell r="AD142" t="str">
            <v>ניכוי בשל פחת בספרים</v>
          </cell>
        </row>
        <row r="143">
          <cell r="AA143" t="e">
            <v>#VALUE!</v>
          </cell>
          <cell r="AB143"/>
          <cell r="AC143" t="e">
            <v>#VALUE!</v>
          </cell>
          <cell r="AD143" t="str">
            <v>הפרש</v>
          </cell>
        </row>
        <row r="144">
          <cell r="Z144" t="str">
            <v>10TG</v>
          </cell>
        </row>
        <row r="147">
          <cell r="V147">
            <v>4503.5309999999999</v>
          </cell>
          <cell r="W147"/>
          <cell r="X147"/>
          <cell r="Y147"/>
          <cell r="Z147"/>
          <cell r="AA147" t="str">
            <v>|הוצאות אחזקת רכב בספרים לא כולל פחת</v>
          </cell>
        </row>
        <row r="148">
          <cell r="V148">
            <v>0</v>
          </cell>
          <cell r="W148"/>
          <cell r="X148"/>
          <cell r="Y148"/>
          <cell r="Z148"/>
          <cell r="AA148" t="str">
            <v>פחת כלי רכב לפי טופס י"א</v>
          </cell>
        </row>
        <row r="149">
          <cell r="AA149" t="str">
            <v>חויב כהכנסת עבודה בידי העובדים</v>
          </cell>
        </row>
        <row r="150">
          <cell r="V150">
            <v>-4103.1670941000002</v>
          </cell>
          <cell r="W150"/>
          <cell r="X150"/>
          <cell r="Y150"/>
          <cell r="Z150"/>
          <cell r="AA150" t="str">
            <v>הוצאות מוכרות על פי התקנות</v>
          </cell>
        </row>
        <row r="151">
          <cell r="T151">
            <v>400.36390589999974</v>
          </cell>
        </row>
        <row r="165">
          <cell r="AX165">
            <v>9</v>
          </cell>
        </row>
        <row r="169">
          <cell r="AA169">
            <v>9</v>
          </cell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>
            <v>10</v>
          </cell>
          <cell r="AM169">
            <v>9</v>
          </cell>
          <cell r="AN169">
            <v>9</v>
          </cell>
          <cell r="AO169">
            <v>9</v>
          </cell>
          <cell r="AP169"/>
          <cell r="AQ169">
            <v>9</v>
          </cell>
          <cell r="AR169">
            <v>9</v>
          </cell>
          <cell r="AS169">
            <v>9</v>
          </cell>
          <cell r="AT169" t="str">
            <v xml:space="preserve">  |</v>
          </cell>
          <cell r="AU169" t="str">
            <v xml:space="preserve">    |</v>
          </cell>
          <cell r="AV169">
            <v>1</v>
          </cell>
          <cell r="AW169">
            <v>12</v>
          </cell>
        </row>
        <row r="170">
          <cell r="AA170" t="str">
            <v xml:space="preserve"> </v>
          </cell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 t="str">
            <v xml:space="preserve">       פירוט חישוב הנכסים הקבועים של החברה :‎7 מצורפת לנספח ‎3 'רשימה מס</v>
          </cell>
          <cell r="AM170"/>
          <cell r="AN170"/>
          <cell r="AO170"/>
          <cell r="AP170"/>
          <cell r="AQ170"/>
          <cell r="AR170"/>
          <cell r="AS170"/>
          <cell r="AT170" t="str">
            <v xml:space="preserve">  |</v>
          </cell>
          <cell r="AU170" t="str">
            <v xml:space="preserve">    |</v>
          </cell>
          <cell r="AV170"/>
          <cell r="AW170"/>
          <cell r="AX170" t="str">
            <v>עורק שרותי מידע מקומי בע"מ</v>
          </cell>
        </row>
        <row r="171">
          <cell r="AA171" t="str">
            <v xml:space="preserve"> </v>
          </cell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 t="str">
            <v xml:space="preserve">  |</v>
          </cell>
          <cell r="AU171" t="str">
            <v xml:space="preserve">    |</v>
          </cell>
          <cell r="AV171"/>
          <cell r="AW171" t="str">
            <v xml:space="preserve">       פירוט חישוב תאומי ההון  </v>
          </cell>
          <cell r="AX171" t="str">
            <v>מממממממממממ</v>
          </cell>
        </row>
        <row r="172">
          <cell r="AT172" t="str">
            <v xml:space="preserve">  |</v>
          </cell>
          <cell r="AU172" t="str">
            <v xml:space="preserve">    |</v>
          </cell>
          <cell r="AV172" t="str">
            <v xml:space="preserve"> </v>
          </cell>
          <cell r="AW172" t="str">
            <v xml:space="preserve">       ממממממממממ</v>
          </cell>
        </row>
        <row r="173">
          <cell r="AA173" t="str">
            <v xml:space="preserve"> </v>
          </cell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 t="str">
            <v xml:space="preserve">      עורק שרותי מידע מקומי בע"מ</v>
          </cell>
          <cell r="AN173"/>
          <cell r="AO173" t="str">
            <v>:(שם החברה (או האגודה השיתופית</v>
          </cell>
          <cell r="AP173"/>
          <cell r="AQ173"/>
          <cell r="AR173"/>
          <cell r="AS173"/>
          <cell r="AT173" t="str">
            <v xml:space="preserve">  |</v>
          </cell>
          <cell r="AU173" t="str">
            <v xml:space="preserve">    |</v>
          </cell>
          <cell r="AV173" t="str">
            <v xml:space="preserve"> </v>
          </cell>
        </row>
        <row r="174">
          <cell r="AA174" t="str">
            <v xml:space="preserve">         ההון של ,‎1985-לתוספת א לחוק מס הכנסה (תאומים בשל אינפלציה) התשמ"ה ‎1 לפי סעיף</v>
          </cell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 t="str">
            <v>מממממממממממ</v>
          </cell>
          <cell r="AN174" t="str">
            <v>מממממממממממ</v>
          </cell>
          <cell r="AO174"/>
          <cell r="AP174"/>
          <cell r="AQ174"/>
          <cell r="AR174"/>
          <cell r="AS174"/>
          <cell r="AT174" t="str">
            <v xml:space="preserve">  |</v>
          </cell>
          <cell r="AU174" t="str">
            <v xml:space="preserve">    |</v>
          </cell>
          <cell r="AV174" t="str">
            <v xml:space="preserve">    1994 :שנת המס  </v>
          </cell>
        </row>
        <row r="175">
          <cell r="AT175" t="str">
            <v xml:space="preserve">  |</v>
          </cell>
          <cell r="AU175" t="str">
            <v xml:space="preserve">    |</v>
          </cell>
          <cell r="AV175" t="str">
            <v xml:space="preserve"> </v>
          </cell>
          <cell r="AW175"/>
          <cell r="AX175" t="str">
            <v>_</v>
          </cell>
        </row>
        <row r="176">
          <cell r="AA176" t="str">
            <v xml:space="preserve"> </v>
          </cell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 t="str">
            <v xml:space="preserve">  |</v>
          </cell>
          <cell r="AU176" t="str">
            <v xml:space="preserve">    |</v>
          </cell>
          <cell r="AV176" t="str">
            <v xml:space="preserve">  תאומי ,‎1985-לתוספת  א לחוק  מס  הכנסה (תאומים בשל אינפלציה) התשמ"ה  ‎3  לפי סעיף</v>
          </cell>
          <cell r="AW176"/>
          <cell r="AX176" t="str">
            <v xml:space="preserve">תאור הרישומים,היתרות,ההפקדות או הפעולות    |  </v>
          </cell>
          <cell r="AY176">
            <v>9</v>
          </cell>
          <cell r="AZ176">
            <v>9</v>
          </cell>
          <cell r="BA176">
            <v>9</v>
          </cell>
          <cell r="BB176" t="str">
            <v>|</v>
          </cell>
        </row>
        <row r="177">
          <cell r="AT177" t="str">
            <v xml:space="preserve">  |</v>
          </cell>
          <cell r="AU177" t="str">
            <v xml:space="preserve">    |</v>
          </cell>
          <cell r="AV177"/>
          <cell r="AW177"/>
          <cell r="AX177" t="str">
            <v xml:space="preserve">                       המחיבים תאום הון    |</v>
          </cell>
          <cell r="AY177"/>
          <cell r="AZ177"/>
          <cell r="BA177"/>
          <cell r="BB177" t="str">
            <v>|</v>
          </cell>
        </row>
        <row r="178">
          <cell r="AA178" t="str">
            <v xml:space="preserve">        ³</v>
          </cell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 t="str">
            <v>מ</v>
          </cell>
          <cell r="AM178" t="str">
            <v>מ|ממממממממממ</v>
          </cell>
          <cell r="AN178" t="str">
            <v>מ</v>
          </cell>
          <cell r="AO178" t="str">
            <v>ממממממממממממממממ|ממ</v>
          </cell>
          <cell r="AP178"/>
          <cell r="AQ178"/>
          <cell r="AR178" t="str">
            <v>מ</v>
          </cell>
          <cell r="AS178" t="str">
            <v>ממ³</v>
          </cell>
          <cell r="AT178" t="str">
            <v xml:space="preserve">  |</v>
          </cell>
          <cell r="AU178" t="str">
            <v xml:space="preserve">    |</v>
          </cell>
          <cell r="AV178" t="str">
            <v xml:space="preserve"> </v>
          </cell>
          <cell r="AW178"/>
          <cell r="AX178" t="str">
            <v>___________________</v>
          </cell>
          <cell r="AY178"/>
          <cell r="AZ178"/>
          <cell r="BA178"/>
          <cell r="BB178" t="str">
            <v>|</v>
          </cell>
        </row>
        <row r="179">
          <cell r="AA179" t="str">
            <v xml:space="preserve">        ³ תאור פריט לפי הרשום במאזן בתום שנת המס הקודמת³      הסכום     ³               </v>
          </cell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 t="str">
            <v xml:space="preserve">           ³                                                  ³    סעיף קטן³</v>
          </cell>
          <cell r="AM179"/>
          <cell r="AN179" t="str">
            <v xml:space="preserve">תאור הנכסים הקבועים, לפי הרשום במאזן לתום  |  </v>
          </cell>
          <cell r="AO179"/>
          <cell r="AP179"/>
          <cell r="AQ179"/>
          <cell r="AR179" t="str">
            <v xml:space="preserve"> סעיף קטן</v>
          </cell>
          <cell r="AS179" t="str">
            <v xml:space="preserve">  |</v>
          </cell>
          <cell r="AT179" t="str">
            <v xml:space="preserve">  |</v>
          </cell>
          <cell r="AU179" t="str">
            <v xml:space="preserve">    |</v>
          </cell>
          <cell r="AV179"/>
          <cell r="AW179" t="str">
            <v>_</v>
          </cell>
          <cell r="AX179"/>
          <cell r="AY179"/>
          <cell r="AZ179"/>
          <cell r="BA179"/>
          <cell r="BB179" t="str">
            <v>|</v>
          </cell>
        </row>
        <row r="180">
          <cell r="AA180" t="str">
            <v xml:space="preserve">        ³</v>
          </cell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 t="str">
            <v xml:space="preserve">                           שנת המס הקודמת  |</v>
          </cell>
          <cell r="AO180"/>
          <cell r="AP180"/>
          <cell r="AQ180"/>
          <cell r="AR180" t="str">
            <v xml:space="preserve">  בהגדרה</v>
          </cell>
          <cell r="AS180" t="str">
            <v xml:space="preserve">  |</v>
          </cell>
          <cell r="AT180" t="str">
            <v xml:space="preserve">  |</v>
          </cell>
          <cell r="AU180" t="str">
            <v xml:space="preserve">    |</v>
          </cell>
          <cell r="AV180" t="str">
            <v xml:space="preserve">³                  ³         תאור הרישומים, היתרות, ההפקדות או      </v>
          </cell>
          <cell r="AW180" t="str">
            <v xml:space="preserve">             ³                                                  ³    סעיף קטן³</v>
          </cell>
          <cell r="AX180" t="str">
            <v xml:space="preserve"> סכום שנרשם בספרים כהוצאה אך לא הוצא</v>
          </cell>
          <cell r="AY180"/>
          <cell r="AZ180"/>
          <cell r="BA180"/>
          <cell r="BB180" t="str">
            <v>|</v>
          </cell>
        </row>
        <row r="181">
          <cell r="AA181" t="str">
            <v xml:space="preserve">        ³</v>
          </cell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 t="str">
            <v>מ</v>
          </cell>
          <cell r="AM181"/>
          <cell r="AN181" t="str">
            <v>מ</v>
          </cell>
          <cell r="AO181" t="str">
            <v>ממממממממממממממממ|ממ</v>
          </cell>
          <cell r="AP181"/>
          <cell r="AQ181"/>
          <cell r="AR181" t="str">
            <v>מ</v>
          </cell>
          <cell r="AS181" t="str">
            <v>ממ³</v>
          </cell>
          <cell r="AT181" t="str">
            <v xml:space="preserve">  |</v>
          </cell>
          <cell r="AU181" t="str">
            <v xml:space="preserve">    |</v>
          </cell>
          <cell r="AV181" t="str">
            <v>³     לזיהוי הפריט³                                                  ³        הסכום³</v>
          </cell>
          <cell r="AW181" t="str">
            <v xml:space="preserve">  לזיהוי הפריט³                                                  ³      הסכום³</v>
          </cell>
          <cell r="AX181" t="str">
            <v>מ</v>
          </cell>
          <cell r="AY181"/>
          <cell r="AZ181"/>
          <cell r="BA181"/>
          <cell r="BB181" t="str">
            <v>|</v>
          </cell>
        </row>
        <row r="182">
          <cell r="AA182" t="str">
            <v xml:space="preserve">        ³</v>
          </cell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 t="str">
            <v xml:space="preserve">       |</v>
          </cell>
          <cell r="AR182"/>
          <cell r="AS182" t="str">
            <v xml:space="preserve">  |</v>
          </cell>
          <cell r="AT182" t="str">
            <v xml:space="preserve">  |</v>
          </cell>
          <cell r="AU182" t="str">
            <v xml:space="preserve">    |</v>
          </cell>
          <cell r="AV182" t="str">
            <v>³____________________</v>
          </cell>
          <cell r="AW182" t="str">
            <v>____________________</v>
          </cell>
          <cell r="AX182" t="str">
            <v xml:space="preserve"> בפועל ולא הותר בנכוי לענין חישוב </v>
          </cell>
          <cell r="AY182" t="str">
            <v>מממממממממ</v>
          </cell>
          <cell r="AZ182"/>
          <cell r="BA182"/>
          <cell r="BB182" t="str">
            <v>|</v>
          </cell>
        </row>
        <row r="183">
          <cell r="AA183" t="str">
            <v xml:space="preserve">        ³</v>
          </cell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 t="str">
            <v>ממממממממממממממממ|ממ</v>
          </cell>
          <cell r="AP183"/>
          <cell r="AQ183"/>
          <cell r="AR183" t="str">
            <v>מ</v>
          </cell>
          <cell r="AS183" t="str">
            <v>ממ³</v>
          </cell>
          <cell r="AT183" t="str">
            <v xml:space="preserve">  |</v>
          </cell>
          <cell r="AU183" t="str">
            <v xml:space="preserve">    |</v>
          </cell>
          <cell r="AV183" t="str">
            <v>³                  ³                                                  ³            ³</v>
          </cell>
          <cell r="AW183"/>
          <cell r="AX183" t="str">
            <v>מ</v>
          </cell>
          <cell r="AY183"/>
          <cell r="AZ183"/>
          <cell r="BA183"/>
          <cell r="BB183" t="str">
            <v>|</v>
          </cell>
        </row>
        <row r="184">
          <cell r="AA184" t="str">
            <v xml:space="preserve">        ³</v>
          </cell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 t="str">
            <v xml:space="preserve">       |</v>
          </cell>
          <cell r="AR184"/>
          <cell r="AS184" t="str">
            <v xml:space="preserve">  |</v>
          </cell>
          <cell r="AT184" t="str">
            <v xml:space="preserve">  |</v>
          </cell>
          <cell r="AU184" t="str">
            <v xml:space="preserve">    |</v>
          </cell>
          <cell r="AV184" t="str">
            <v>³</v>
          </cell>
          <cell r="AW184"/>
          <cell r="AX184" t="str">
            <v xml:space="preserve">ההכנסה החייבת </v>
          </cell>
          <cell r="AY184" t="str">
            <v xml:space="preserve">         :ההון של החברה מסתכם כמפורט להלן</v>
          </cell>
          <cell r="AZ184"/>
          <cell r="BA184"/>
          <cell r="BB184" t="str">
            <v>|</v>
          </cell>
        </row>
        <row r="185">
          <cell r="AA185" t="str">
            <v xml:space="preserve">        ³</v>
          </cell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 t="str">
            <v>מ</v>
          </cell>
          <cell r="AM185"/>
          <cell r="AN185" t="str">
            <v>מ</v>
          </cell>
          <cell r="AO185" t="str">
            <v>ממממממממממממממממ|ממ</v>
          </cell>
          <cell r="AP185"/>
          <cell r="AQ185"/>
          <cell r="AR185" t="str">
            <v>מ</v>
          </cell>
          <cell r="AS185" t="str">
            <v>ממ³</v>
          </cell>
          <cell r="AT185" t="str">
            <v xml:space="preserve">  |</v>
          </cell>
          <cell r="AU185" t="str">
            <v xml:space="preserve">    |</v>
          </cell>
          <cell r="AV185" t="str">
            <v>³</v>
          </cell>
          <cell r="AW185" t="str">
            <v>מ</v>
          </cell>
          <cell r="AX185" t="str">
            <v>מ</v>
          </cell>
          <cell r="AY185"/>
          <cell r="AZ185"/>
          <cell r="BA185"/>
          <cell r="BB185" t="str">
            <v>|</v>
          </cell>
        </row>
        <row r="186">
          <cell r="AA186" t="str">
            <v xml:space="preserve">        ³</v>
          </cell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 t="str">
            <v xml:space="preserve"> |</v>
          </cell>
          <cell r="AN186"/>
          <cell r="AO186"/>
          <cell r="AP186"/>
          <cell r="AQ186" t="str">
            <v xml:space="preserve">       |</v>
          </cell>
          <cell r="AR186"/>
          <cell r="AS186" t="str">
            <v xml:space="preserve">  |</v>
          </cell>
          <cell r="AT186" t="str">
            <v xml:space="preserve">  |</v>
          </cell>
          <cell r="AU186" t="str">
            <v xml:space="preserve">    |</v>
          </cell>
          <cell r="AV186" t="str">
            <v>³</v>
          </cell>
          <cell r="AW186"/>
          <cell r="AX186"/>
          <cell r="AY186" t="str">
            <v>_</v>
          </cell>
          <cell r="AZ186" t="str">
            <v>_</v>
          </cell>
          <cell r="BA186" t="str">
            <v>__</v>
          </cell>
          <cell r="BB186" t="str">
            <v>|</v>
          </cell>
        </row>
        <row r="187">
          <cell r="AA187" t="str">
            <v xml:space="preserve">        ³</v>
          </cell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 t="str">
            <v>מ</v>
          </cell>
          <cell r="AM187" t="str">
            <v>מ|ממממממממממ</v>
          </cell>
          <cell r="AN187" t="str">
            <v>מ</v>
          </cell>
          <cell r="AO187" t="str">
            <v>ממממממממממממממממ|ממ</v>
          </cell>
          <cell r="AP187"/>
          <cell r="AQ187"/>
          <cell r="AR187" t="str">
            <v>מ</v>
          </cell>
          <cell r="AS187" t="str">
            <v>ממ³</v>
          </cell>
          <cell r="AT187" t="str">
            <v xml:space="preserve">  |</v>
          </cell>
          <cell r="AU187" t="str">
            <v xml:space="preserve">    |</v>
          </cell>
          <cell r="AV187" t="str">
            <v>³</v>
          </cell>
          <cell r="AW187" t="str">
            <v>מ</v>
          </cell>
          <cell r="AX187"/>
          <cell r="AY187"/>
          <cell r="AZ187"/>
          <cell r="BA187" t="str">
            <v xml:space="preserve">  |</v>
          </cell>
          <cell r="BB187" t="str">
            <v>|</v>
          </cell>
        </row>
        <row r="188">
          <cell r="AA188" t="str">
            <v xml:space="preserve">        ³</v>
          </cell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 t="str">
            <v xml:space="preserve"> |</v>
          </cell>
          <cell r="AN188"/>
          <cell r="AO188"/>
          <cell r="AP188"/>
          <cell r="AQ188" t="str">
            <v xml:space="preserve">       |</v>
          </cell>
          <cell r="AR188"/>
          <cell r="AS188" t="str">
            <v xml:space="preserve">  |</v>
          </cell>
          <cell r="AT188" t="str">
            <v xml:space="preserve">  |</v>
          </cell>
          <cell r="AU188" t="str">
            <v xml:space="preserve">    |</v>
          </cell>
          <cell r="AV188" t="str">
            <v>³</v>
          </cell>
          <cell r="AW188"/>
          <cell r="AX188"/>
          <cell r="AY188"/>
          <cell r="AZ188"/>
          <cell r="BA188" t="str">
            <v xml:space="preserve">  |</v>
          </cell>
          <cell r="BB188" t="str">
            <v>|</v>
          </cell>
        </row>
        <row r="189">
          <cell r="AA189" t="str">
            <v xml:space="preserve">        ³</v>
          </cell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 t="str">
            <v>מ</v>
          </cell>
          <cell r="AM189" t="str">
            <v>מ|ממממממממממ</v>
          </cell>
          <cell r="AN189" t="str">
            <v>מ</v>
          </cell>
          <cell r="AO189" t="str">
            <v>ממממממממממממממממ|ממ</v>
          </cell>
          <cell r="AP189"/>
          <cell r="AQ189"/>
          <cell r="AR189" t="str">
            <v>מ</v>
          </cell>
          <cell r="AS189" t="str">
            <v>ממ³</v>
          </cell>
          <cell r="AT189" t="str">
            <v xml:space="preserve">  |</v>
          </cell>
          <cell r="AU189" t="str">
            <v xml:space="preserve">    |</v>
          </cell>
          <cell r="AV189" t="str">
            <v>³</v>
          </cell>
          <cell r="AW189" t="str">
            <v>מ</v>
          </cell>
          <cell r="AX189" t="str">
            <v>מ</v>
          </cell>
          <cell r="AY189" t="str">
            <v>_</v>
          </cell>
          <cell r="AZ189"/>
          <cell r="BA189" t="str">
            <v>__³</v>
          </cell>
          <cell r="BB189" t="str">
            <v>|</v>
          </cell>
        </row>
        <row r="190">
          <cell r="AA190" t="str">
            <v xml:space="preserve">        ³</v>
          </cell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 t="str">
            <v xml:space="preserve"> |</v>
          </cell>
          <cell r="AN190"/>
          <cell r="AO190"/>
          <cell r="AP190"/>
          <cell r="AQ190" t="str">
            <v xml:space="preserve">       |</v>
          </cell>
          <cell r="AR190"/>
          <cell r="AS190" t="str">
            <v xml:space="preserve">  |</v>
          </cell>
          <cell r="AT190" t="str">
            <v xml:space="preserve">  |</v>
          </cell>
          <cell r="AU190" t="str">
            <v xml:space="preserve">    |</v>
          </cell>
          <cell r="AV190" t="str">
            <v>³</v>
          </cell>
          <cell r="AW190"/>
          <cell r="AX190"/>
          <cell r="AY190"/>
          <cell r="AZ190" t="str">
            <v xml:space="preserve">       ³</v>
          </cell>
          <cell r="BA190" t="str">
            <v xml:space="preserve">  ³</v>
          </cell>
          <cell r="BB190" t="str">
            <v>|</v>
          </cell>
        </row>
        <row r="191">
          <cell r="AA191" t="str">
            <v xml:space="preserve">        ³</v>
          </cell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 t="str">
            <v>מ</v>
          </cell>
          <cell r="AM191" t="str">
            <v>מ|ממממממממממ</v>
          </cell>
          <cell r="AN191" t="str">
            <v>מ</v>
          </cell>
          <cell r="AO191" t="str">
            <v>ממממממממממממממממ|ממ</v>
          </cell>
          <cell r="AP191"/>
          <cell r="AQ191"/>
          <cell r="AR191" t="str">
            <v>מ</v>
          </cell>
          <cell r="AS191" t="str">
            <v>ממ³</v>
          </cell>
          <cell r="AT191" t="str">
            <v xml:space="preserve">  |</v>
          </cell>
          <cell r="AU191" t="str">
            <v xml:space="preserve">    |</v>
          </cell>
          <cell r="AV191" t="str">
            <v>³</v>
          </cell>
          <cell r="AW191"/>
          <cell r="AX191" t="str">
            <v>מ</v>
          </cell>
          <cell r="AY191"/>
          <cell r="AZ191" t="str">
            <v xml:space="preserve">       ³</v>
          </cell>
          <cell r="BA191" t="str">
            <v xml:space="preserve">  ³</v>
          </cell>
          <cell r="BB191" t="str">
            <v>|</v>
          </cell>
        </row>
        <row r="192">
          <cell r="AA192" t="str">
            <v xml:space="preserve">        ³</v>
          </cell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 t="str">
            <v xml:space="preserve"> |</v>
          </cell>
          <cell r="AN192"/>
          <cell r="AO192"/>
          <cell r="AP192"/>
          <cell r="AQ192" t="str">
            <v xml:space="preserve">       |</v>
          </cell>
          <cell r="AR192"/>
          <cell r="AS192" t="str">
            <v xml:space="preserve">  |</v>
          </cell>
          <cell r="AT192" t="str">
            <v xml:space="preserve">  |</v>
          </cell>
          <cell r="AU192" t="str">
            <v xml:space="preserve">    |</v>
          </cell>
          <cell r="AV192" t="str">
            <v>³</v>
          </cell>
          <cell r="AW192"/>
          <cell r="AX192"/>
          <cell r="AY192" t="str">
            <v>מ</v>
          </cell>
          <cell r="AZ192"/>
          <cell r="BA192" t="str">
            <v>ממ³</v>
          </cell>
          <cell r="BB192" t="str">
            <v>|</v>
          </cell>
        </row>
        <row r="193">
          <cell r="AA193" t="str">
            <v xml:space="preserve">        ³</v>
          </cell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 t="str">
            <v>מ</v>
          </cell>
          <cell r="AM193" t="str">
            <v>מ|ממממממממממ</v>
          </cell>
          <cell r="AN193" t="str">
            <v>מ</v>
          </cell>
          <cell r="AO193" t="str">
            <v>ממממממממממממממממ|ממ</v>
          </cell>
          <cell r="AP193"/>
          <cell r="AQ193"/>
          <cell r="AR193" t="str">
            <v>מ</v>
          </cell>
          <cell r="AS193" t="str">
            <v>ממ³</v>
          </cell>
          <cell r="AT193" t="str">
            <v xml:space="preserve">  |</v>
          </cell>
          <cell r="AU193" t="str">
            <v xml:space="preserve">    |</v>
          </cell>
          <cell r="AV193" t="str">
            <v>³</v>
          </cell>
          <cell r="AW193" t="str">
            <v>מ</v>
          </cell>
          <cell r="AX193" t="str">
            <v>מ</v>
          </cell>
          <cell r="AY193"/>
          <cell r="AZ193" t="str">
            <v xml:space="preserve">       ³</v>
          </cell>
          <cell r="BA193" t="str">
            <v xml:space="preserve">  ³</v>
          </cell>
          <cell r="BB193" t="str">
            <v>|</v>
          </cell>
        </row>
        <row r="194">
          <cell r="AA194" t="str">
            <v xml:space="preserve">        ³</v>
          </cell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 t="str">
            <v xml:space="preserve"> |</v>
          </cell>
          <cell r="AN194"/>
          <cell r="AO194"/>
          <cell r="AP194"/>
          <cell r="AQ194" t="str">
            <v xml:space="preserve">       |</v>
          </cell>
          <cell r="AR194"/>
          <cell r="AS194" t="str">
            <v xml:space="preserve">  |</v>
          </cell>
          <cell r="AT194" t="str">
            <v xml:space="preserve">  |</v>
          </cell>
          <cell r="AU194" t="str">
            <v xml:space="preserve">    |</v>
          </cell>
          <cell r="AV194" t="str">
            <v>³</v>
          </cell>
          <cell r="AW194"/>
          <cell r="AX194"/>
          <cell r="AY194" t="str">
            <v>מ</v>
          </cell>
          <cell r="AZ194"/>
          <cell r="BA194" t="str">
            <v>ממ³</v>
          </cell>
          <cell r="BB194" t="str">
            <v>|</v>
          </cell>
        </row>
        <row r="195">
          <cell r="AA195" t="str">
            <v xml:space="preserve">        ³</v>
          </cell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 t="str">
            <v>מ</v>
          </cell>
          <cell r="AM195" t="str">
            <v>מ|ממממממממממ</v>
          </cell>
          <cell r="AN195" t="str">
            <v>מ</v>
          </cell>
          <cell r="AO195" t="str">
            <v>ממממממממממממממממ|ממ</v>
          </cell>
          <cell r="AP195"/>
          <cell r="AQ195"/>
          <cell r="AR195" t="str">
            <v>מ</v>
          </cell>
          <cell r="AS195" t="str">
            <v>ממ³</v>
          </cell>
          <cell r="AT195" t="str">
            <v xml:space="preserve">  |</v>
          </cell>
          <cell r="AU195" t="str">
            <v xml:space="preserve">    |</v>
          </cell>
          <cell r="AV195" t="str">
            <v>³</v>
          </cell>
          <cell r="AW195" t="str">
            <v>מ</v>
          </cell>
          <cell r="AX195" t="str">
            <v>מ</v>
          </cell>
          <cell r="AY195"/>
          <cell r="AZ195" t="str">
            <v xml:space="preserve">       ³</v>
          </cell>
          <cell r="BA195" t="str">
            <v xml:space="preserve">  ³</v>
          </cell>
          <cell r="BB195" t="str">
            <v>|</v>
          </cell>
        </row>
        <row r="196">
          <cell r="AA196" t="str">
            <v xml:space="preserve">        ³</v>
          </cell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 t="str">
            <v xml:space="preserve"> |</v>
          </cell>
          <cell r="AN196"/>
          <cell r="AO196"/>
          <cell r="AP196"/>
          <cell r="AQ196" t="str">
            <v xml:space="preserve">       |</v>
          </cell>
          <cell r="AR196"/>
          <cell r="AS196" t="str">
            <v xml:space="preserve">  |</v>
          </cell>
          <cell r="AT196" t="str">
            <v xml:space="preserve">  |</v>
          </cell>
          <cell r="AU196" t="str">
            <v xml:space="preserve">    |</v>
          </cell>
          <cell r="AV196" t="str">
            <v>³</v>
          </cell>
          <cell r="AW196"/>
          <cell r="AX196"/>
          <cell r="AY196" t="str">
            <v>מ</v>
          </cell>
          <cell r="AZ196"/>
          <cell r="BA196" t="str">
            <v>ממ³</v>
          </cell>
          <cell r="BB196" t="str">
            <v>|</v>
          </cell>
        </row>
        <row r="197">
          <cell r="AA197" t="str">
            <v xml:space="preserve">        ³</v>
          </cell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 t="str">
            <v>מ</v>
          </cell>
          <cell r="AM197" t="str">
            <v>מ|ממממממממממ</v>
          </cell>
          <cell r="AN197" t="str">
            <v>מ</v>
          </cell>
          <cell r="AO197" t="str">
            <v>ממממממממממממממממ|ממ</v>
          </cell>
          <cell r="AP197"/>
          <cell r="AQ197"/>
          <cell r="AR197" t="str">
            <v>מ</v>
          </cell>
          <cell r="AS197" t="str">
            <v>ממ³</v>
          </cell>
          <cell r="AT197" t="str">
            <v xml:space="preserve">  |</v>
          </cell>
          <cell r="AU197" t="str">
            <v xml:space="preserve">    |</v>
          </cell>
          <cell r="AV197" t="str">
            <v>³</v>
          </cell>
          <cell r="AW197" t="str">
            <v>מ</v>
          </cell>
          <cell r="AX197" t="str">
            <v>מ</v>
          </cell>
          <cell r="AY197"/>
          <cell r="AZ197" t="str">
            <v xml:space="preserve">       ³</v>
          </cell>
          <cell r="BA197" t="str">
            <v xml:space="preserve">  ³</v>
          </cell>
          <cell r="BB197" t="str">
            <v>|</v>
          </cell>
        </row>
        <row r="198">
          <cell r="AA198" t="str">
            <v xml:space="preserve">        ³</v>
          </cell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 t="str">
            <v xml:space="preserve"> |</v>
          </cell>
          <cell r="AN198"/>
          <cell r="AO198"/>
          <cell r="AP198"/>
          <cell r="AQ198" t="str">
            <v xml:space="preserve">       |</v>
          </cell>
          <cell r="AR198"/>
          <cell r="AS198" t="str">
            <v xml:space="preserve">  |</v>
          </cell>
          <cell r="AT198" t="str">
            <v xml:space="preserve">  |</v>
          </cell>
          <cell r="AU198" t="str">
            <v xml:space="preserve">    |</v>
          </cell>
          <cell r="AV198" t="str">
            <v>³</v>
          </cell>
          <cell r="AW198"/>
          <cell r="AX198"/>
          <cell r="AY198"/>
          <cell r="AZ198"/>
          <cell r="BA198" t="str">
            <v>ממ³</v>
          </cell>
          <cell r="BB198" t="str">
            <v>|</v>
          </cell>
        </row>
        <row r="199">
          <cell r="AA199" t="str">
            <v xml:space="preserve">        ³</v>
          </cell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 t="str">
            <v>מ</v>
          </cell>
          <cell r="AM199" t="str">
            <v>מ|ממממממממממ</v>
          </cell>
          <cell r="AN199" t="str">
            <v>מ</v>
          </cell>
          <cell r="AO199" t="str">
            <v>ממממממממממממממממ|ממ</v>
          </cell>
          <cell r="AP199"/>
          <cell r="AQ199"/>
          <cell r="AR199" t="str">
            <v>מ</v>
          </cell>
          <cell r="AS199" t="str">
            <v>ממ³</v>
          </cell>
          <cell r="AT199" t="str">
            <v xml:space="preserve">  |</v>
          </cell>
          <cell r="AU199" t="str">
            <v xml:space="preserve">    |</v>
          </cell>
          <cell r="AV199" t="str">
            <v>³</v>
          </cell>
          <cell r="AW199" t="str">
            <v>מ</v>
          </cell>
          <cell r="AX199" t="str">
            <v>מ</v>
          </cell>
          <cell r="AY199"/>
          <cell r="AZ199" t="str">
            <v xml:space="preserve">       ³</v>
          </cell>
          <cell r="BA199" t="str">
            <v xml:space="preserve">  ³</v>
          </cell>
          <cell r="BB199" t="str">
            <v>|</v>
          </cell>
        </row>
        <row r="200">
          <cell r="AA200" t="str">
            <v xml:space="preserve">        ³</v>
          </cell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 t="str">
            <v xml:space="preserve"> |</v>
          </cell>
          <cell r="AN200"/>
          <cell r="AO200"/>
          <cell r="AP200"/>
          <cell r="AQ200" t="str">
            <v xml:space="preserve">       |</v>
          </cell>
          <cell r="AR200"/>
          <cell r="AS200" t="str">
            <v xml:space="preserve">  |</v>
          </cell>
          <cell r="AT200" t="str">
            <v xml:space="preserve">  |</v>
          </cell>
          <cell r="AU200" t="str">
            <v xml:space="preserve">    |</v>
          </cell>
          <cell r="AV200" t="str">
            <v>³</v>
          </cell>
          <cell r="AW200"/>
          <cell r="AX200"/>
          <cell r="AY200" t="str">
            <v>מ</v>
          </cell>
          <cell r="AZ200"/>
          <cell r="BA200" t="str">
            <v>ממ³</v>
          </cell>
          <cell r="BB200" t="str">
            <v>|</v>
          </cell>
        </row>
        <row r="201">
          <cell r="AA201" t="str">
            <v xml:space="preserve">        ³</v>
          </cell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 t="str">
            <v>מ</v>
          </cell>
          <cell r="AM201" t="str">
            <v>מ|ממממממממממ</v>
          </cell>
          <cell r="AN201" t="str">
            <v>מ</v>
          </cell>
          <cell r="AO201" t="str">
            <v>ממממממממממממממממ|ממ</v>
          </cell>
          <cell r="AP201"/>
          <cell r="AQ201"/>
          <cell r="AR201" t="str">
            <v>מ</v>
          </cell>
          <cell r="AS201" t="str">
            <v>ממ³</v>
          </cell>
          <cell r="AT201" t="str">
            <v xml:space="preserve">  |</v>
          </cell>
          <cell r="AU201" t="str">
            <v xml:space="preserve">    |</v>
          </cell>
          <cell r="AV201" t="str">
            <v>³</v>
          </cell>
          <cell r="AW201" t="str">
            <v>מ</v>
          </cell>
          <cell r="AX201" t="str">
            <v>מ</v>
          </cell>
          <cell r="AY201"/>
          <cell r="AZ201" t="str">
            <v xml:space="preserve">       ³</v>
          </cell>
          <cell r="BA201" t="str">
            <v xml:space="preserve">  ³</v>
          </cell>
          <cell r="BB201" t="str">
            <v>|</v>
          </cell>
        </row>
        <row r="202">
          <cell r="AA202" t="str">
            <v xml:space="preserve">        ³</v>
          </cell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 t="str">
            <v xml:space="preserve"> |</v>
          </cell>
          <cell r="AN202"/>
          <cell r="AO202"/>
          <cell r="AP202"/>
          <cell r="AQ202" t="str">
            <v xml:space="preserve">       |</v>
          </cell>
          <cell r="AR202"/>
          <cell r="AS202" t="str">
            <v xml:space="preserve">  |</v>
          </cell>
          <cell r="AT202" t="str">
            <v xml:space="preserve">  |</v>
          </cell>
          <cell r="AU202" t="str">
            <v xml:space="preserve">    |</v>
          </cell>
          <cell r="AV202" t="str">
            <v>³</v>
          </cell>
          <cell r="AW202"/>
          <cell r="AX202"/>
          <cell r="AY202" t="str">
            <v>מ</v>
          </cell>
          <cell r="AZ202"/>
          <cell r="BA202" t="str">
            <v>ממ³</v>
          </cell>
          <cell r="BB202" t="str">
            <v>|</v>
          </cell>
        </row>
        <row r="203">
          <cell r="AA203" t="str">
            <v xml:space="preserve">        ³</v>
          </cell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 t="str">
            <v>מ</v>
          </cell>
          <cell r="AM203" t="str">
            <v>מ|ממממממממממ</v>
          </cell>
          <cell r="AN203" t="str">
            <v>מ</v>
          </cell>
          <cell r="AO203" t="str">
            <v>ממממממממממממממממ|ממ</v>
          </cell>
          <cell r="AP203"/>
          <cell r="AQ203"/>
          <cell r="AR203" t="str">
            <v>מ</v>
          </cell>
          <cell r="AS203" t="str">
            <v>ממ³</v>
          </cell>
          <cell r="AT203" t="str">
            <v xml:space="preserve">  |</v>
          </cell>
          <cell r="AU203" t="str">
            <v xml:space="preserve">    |</v>
          </cell>
          <cell r="AV203" t="str">
            <v>³</v>
          </cell>
          <cell r="AW203" t="str">
            <v>מ</v>
          </cell>
          <cell r="AX203" t="str">
            <v>מ</v>
          </cell>
          <cell r="AY203"/>
          <cell r="AZ203" t="str">
            <v xml:space="preserve">       ³</v>
          </cell>
          <cell r="BA203" t="str">
            <v xml:space="preserve">  ³</v>
          </cell>
          <cell r="BB203" t="str">
            <v>|</v>
          </cell>
        </row>
        <row r="204">
          <cell r="AA204" t="str">
            <v xml:space="preserve">        ³</v>
          </cell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 t="str">
            <v xml:space="preserve"> |</v>
          </cell>
          <cell r="AN204"/>
          <cell r="AO204"/>
          <cell r="AP204"/>
          <cell r="AQ204" t="str">
            <v xml:space="preserve">       |</v>
          </cell>
          <cell r="AR204"/>
          <cell r="AS204" t="str">
            <v xml:space="preserve">  |</v>
          </cell>
          <cell r="AT204" t="str">
            <v xml:space="preserve">  |</v>
          </cell>
          <cell r="AU204" t="str">
            <v xml:space="preserve">    |</v>
          </cell>
          <cell r="AV204" t="str">
            <v>³</v>
          </cell>
          <cell r="AW204"/>
          <cell r="AX204"/>
          <cell r="AY204" t="str">
            <v>מ</v>
          </cell>
          <cell r="AZ204"/>
          <cell r="BA204" t="str">
            <v>ממ³</v>
          </cell>
          <cell r="BB204" t="str">
            <v>|</v>
          </cell>
        </row>
        <row r="205">
          <cell r="AA205" t="str">
            <v xml:space="preserve">        ³</v>
          </cell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 t="str">
            <v>מ</v>
          </cell>
          <cell r="AM205" t="str">
            <v>מ|ממממממממממ</v>
          </cell>
          <cell r="AN205" t="str">
            <v>מ</v>
          </cell>
          <cell r="AO205" t="str">
            <v>ממממממממממממממממ|ממ</v>
          </cell>
          <cell r="AP205"/>
          <cell r="AQ205"/>
          <cell r="AR205" t="str">
            <v>מ</v>
          </cell>
          <cell r="AS205" t="str">
            <v>ממ³</v>
          </cell>
          <cell r="AT205" t="str">
            <v xml:space="preserve">  |</v>
          </cell>
          <cell r="AU205" t="str">
            <v xml:space="preserve">    |</v>
          </cell>
          <cell r="AV205" t="str">
            <v>³</v>
          </cell>
          <cell r="AW205" t="str">
            <v>מ</v>
          </cell>
          <cell r="AX205" t="str">
            <v>מ</v>
          </cell>
          <cell r="AY205"/>
          <cell r="AZ205" t="str">
            <v xml:space="preserve">       ³</v>
          </cell>
          <cell r="BA205" t="str">
            <v xml:space="preserve">  ³</v>
          </cell>
          <cell r="BB205" t="str">
            <v>|</v>
          </cell>
        </row>
        <row r="206">
          <cell r="AA206" t="str">
            <v xml:space="preserve">        ³</v>
          </cell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 t="str">
            <v xml:space="preserve"> |</v>
          </cell>
          <cell r="AN206"/>
          <cell r="AO206"/>
          <cell r="AP206"/>
          <cell r="AQ206" t="str">
            <v xml:space="preserve">       |</v>
          </cell>
          <cell r="AR206"/>
          <cell r="AS206" t="str">
            <v xml:space="preserve">  |</v>
          </cell>
          <cell r="AT206" t="str">
            <v xml:space="preserve">  |</v>
          </cell>
          <cell r="AU206" t="str">
            <v xml:space="preserve">    |</v>
          </cell>
          <cell r="AV206" t="str">
            <v>³</v>
          </cell>
          <cell r="AW206"/>
          <cell r="AX206"/>
          <cell r="AY206" t="str">
            <v>מ</v>
          </cell>
          <cell r="AZ206"/>
          <cell r="BA206" t="str">
            <v>ממ³</v>
          </cell>
          <cell r="BB206" t="str">
            <v>|</v>
          </cell>
        </row>
        <row r="207">
          <cell r="AA207" t="str">
            <v xml:space="preserve">        ³</v>
          </cell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 t="str">
            <v>מ</v>
          </cell>
          <cell r="AM207" t="str">
            <v>מ|ממממממממממ</v>
          </cell>
          <cell r="AN207" t="str">
            <v>מ</v>
          </cell>
          <cell r="AO207" t="str">
            <v>ממממממממממממממממ|ממ</v>
          </cell>
          <cell r="AP207"/>
          <cell r="AQ207"/>
          <cell r="AR207" t="str">
            <v>מ</v>
          </cell>
          <cell r="AS207" t="str">
            <v>ממ³</v>
          </cell>
          <cell r="AT207" t="str">
            <v xml:space="preserve">  |</v>
          </cell>
          <cell r="AU207" t="str">
            <v xml:space="preserve">    |</v>
          </cell>
          <cell r="AV207" t="str">
            <v>³</v>
          </cell>
          <cell r="AW207" t="str">
            <v>מ</v>
          </cell>
          <cell r="AX207" t="str">
            <v>מ</v>
          </cell>
          <cell r="AY207"/>
          <cell r="AZ207" t="str">
            <v xml:space="preserve">       ³</v>
          </cell>
          <cell r="BA207" t="str">
            <v xml:space="preserve">  ³</v>
          </cell>
          <cell r="BB207" t="str">
            <v>|</v>
          </cell>
        </row>
        <row r="208">
          <cell r="AA208" t="str">
            <v xml:space="preserve">        ³</v>
          </cell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 t="str">
            <v xml:space="preserve"> |</v>
          </cell>
          <cell r="AN208"/>
          <cell r="AO208"/>
          <cell r="AP208"/>
          <cell r="AQ208" t="str">
            <v xml:space="preserve">       |</v>
          </cell>
          <cell r="AR208"/>
          <cell r="AS208" t="str">
            <v xml:space="preserve">  |</v>
          </cell>
          <cell r="AT208" t="str">
            <v xml:space="preserve">  |</v>
          </cell>
          <cell r="AU208" t="str">
            <v xml:space="preserve">    |</v>
          </cell>
          <cell r="AV208" t="str">
            <v>³</v>
          </cell>
          <cell r="AW208"/>
          <cell r="AX208"/>
          <cell r="AY208" t="str">
            <v>מ</v>
          </cell>
          <cell r="AZ208"/>
          <cell r="BA208" t="str">
            <v>ממ³</v>
          </cell>
          <cell r="BB208" t="str">
            <v>|</v>
          </cell>
        </row>
        <row r="209">
          <cell r="AA209" t="str">
            <v xml:space="preserve">        ³</v>
          </cell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 t="str">
            <v>מ</v>
          </cell>
          <cell r="AM209" t="str">
            <v>מ|ממממממממממ</v>
          </cell>
          <cell r="AN209" t="str">
            <v>מ</v>
          </cell>
          <cell r="AO209" t="str">
            <v>ממממממממממממממממ|ממ</v>
          </cell>
          <cell r="AP209"/>
          <cell r="AQ209"/>
          <cell r="AR209" t="str">
            <v>מ</v>
          </cell>
          <cell r="AS209" t="str">
            <v>ממ³</v>
          </cell>
          <cell r="AT209" t="str">
            <v xml:space="preserve">  |</v>
          </cell>
          <cell r="AU209" t="str">
            <v xml:space="preserve">    |</v>
          </cell>
          <cell r="AV209" t="str">
            <v>³</v>
          </cell>
          <cell r="AW209" t="str">
            <v>מ</v>
          </cell>
          <cell r="AX209" t="str">
            <v>מ</v>
          </cell>
          <cell r="AY209"/>
          <cell r="AZ209" t="str">
            <v xml:space="preserve">       ³</v>
          </cell>
          <cell r="BA209" t="str">
            <v xml:space="preserve">  ³</v>
          </cell>
          <cell r="BB209" t="str">
            <v>|</v>
          </cell>
        </row>
        <row r="210">
          <cell r="AA210" t="str">
            <v xml:space="preserve">        ³</v>
          </cell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 t="str">
            <v xml:space="preserve"> |</v>
          </cell>
          <cell r="AN210"/>
          <cell r="AO210"/>
          <cell r="AP210"/>
          <cell r="AQ210" t="str">
            <v xml:space="preserve">       |</v>
          </cell>
          <cell r="AR210"/>
          <cell r="AS210" t="str">
            <v xml:space="preserve">  |</v>
          </cell>
          <cell r="AT210" t="str">
            <v xml:space="preserve">  |</v>
          </cell>
          <cell r="AU210" t="str">
            <v xml:space="preserve">    |</v>
          </cell>
          <cell r="AV210" t="str">
            <v>³</v>
          </cell>
          <cell r="AW210"/>
          <cell r="AX210"/>
          <cell r="AY210" t="str">
            <v>מ</v>
          </cell>
          <cell r="AZ210"/>
          <cell r="BA210" t="str">
            <v>ממ³</v>
          </cell>
          <cell r="BB210" t="str">
            <v>|</v>
          </cell>
        </row>
        <row r="211">
          <cell r="AA211" t="str">
            <v xml:space="preserve">        ³</v>
          </cell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 t="str">
            <v>מ</v>
          </cell>
          <cell r="AM211" t="str">
            <v>מ|ממממממממממ</v>
          </cell>
          <cell r="AN211" t="str">
            <v>מ</v>
          </cell>
          <cell r="AO211" t="str">
            <v>ממממממממממממממממ|ממ</v>
          </cell>
          <cell r="AP211"/>
          <cell r="AQ211"/>
          <cell r="AR211" t="str">
            <v>מ</v>
          </cell>
          <cell r="AS211" t="str">
            <v>ממ³</v>
          </cell>
          <cell r="AT211" t="str">
            <v xml:space="preserve">  |</v>
          </cell>
          <cell r="AU211" t="str">
            <v xml:space="preserve">    |</v>
          </cell>
          <cell r="AV211" t="str">
            <v>³</v>
          </cell>
          <cell r="AW211" t="str">
            <v>מ</v>
          </cell>
          <cell r="AX211" t="str">
            <v>מ</v>
          </cell>
          <cell r="AY211"/>
          <cell r="AZ211" t="str">
            <v xml:space="preserve">       ³</v>
          </cell>
          <cell r="BA211" t="str">
            <v xml:space="preserve">  ³</v>
          </cell>
          <cell r="BB211" t="str">
            <v>|</v>
          </cell>
        </row>
        <row r="212">
          <cell r="AA212" t="str">
            <v xml:space="preserve">        ³</v>
          </cell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 t="str">
            <v xml:space="preserve"> |</v>
          </cell>
          <cell r="AN212"/>
          <cell r="AO212"/>
          <cell r="AP212"/>
          <cell r="AQ212" t="str">
            <v xml:space="preserve">       |</v>
          </cell>
          <cell r="AR212"/>
          <cell r="AS212" t="str">
            <v xml:space="preserve">  |</v>
          </cell>
          <cell r="AT212" t="str">
            <v xml:space="preserve">  |</v>
          </cell>
          <cell r="AU212" t="str">
            <v xml:space="preserve">    |</v>
          </cell>
          <cell r="AV212" t="str">
            <v>³</v>
          </cell>
          <cell r="AW212"/>
          <cell r="AX212"/>
          <cell r="AY212" t="str">
            <v>מ</v>
          </cell>
          <cell r="AZ212"/>
          <cell r="BA212" t="str">
            <v>ממ³</v>
          </cell>
          <cell r="BB212" t="str">
            <v>|</v>
          </cell>
        </row>
        <row r="213">
          <cell r="AA213" t="str">
            <v xml:space="preserve">        ³</v>
          </cell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 t="str">
            <v>מ</v>
          </cell>
          <cell r="AM213" t="str">
            <v>מ|ממממממממממ</v>
          </cell>
          <cell r="AN213" t="str">
            <v>מ</v>
          </cell>
          <cell r="AO213" t="str">
            <v>ממממממממממממממממ|ממ</v>
          </cell>
          <cell r="AP213"/>
          <cell r="AQ213"/>
          <cell r="AR213" t="str">
            <v>מ</v>
          </cell>
          <cell r="AS213" t="str">
            <v>ממ³</v>
          </cell>
          <cell r="AT213" t="str">
            <v xml:space="preserve">  |</v>
          </cell>
          <cell r="AU213" t="str">
            <v xml:space="preserve">    |</v>
          </cell>
          <cell r="AV213" t="str">
            <v>³</v>
          </cell>
          <cell r="AW213" t="str">
            <v>מ</v>
          </cell>
          <cell r="AX213" t="str">
            <v>מ</v>
          </cell>
          <cell r="AY213"/>
          <cell r="AZ213" t="str">
            <v xml:space="preserve">       ³</v>
          </cell>
          <cell r="BA213" t="str">
            <v xml:space="preserve">  ³</v>
          </cell>
          <cell r="BB213" t="str">
            <v>|</v>
          </cell>
        </row>
        <row r="214">
          <cell r="AA214" t="str">
            <v xml:space="preserve">        ³</v>
          </cell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 t="str">
            <v xml:space="preserve"> |</v>
          </cell>
          <cell r="AN214"/>
          <cell r="AO214"/>
          <cell r="AP214"/>
          <cell r="AQ214" t="str">
            <v xml:space="preserve">       |</v>
          </cell>
          <cell r="AR214"/>
          <cell r="AS214" t="str">
            <v xml:space="preserve">  |</v>
          </cell>
          <cell r="AT214" t="str">
            <v xml:space="preserve">  |</v>
          </cell>
          <cell r="AU214" t="str">
            <v xml:space="preserve">    |</v>
          </cell>
          <cell r="AV214" t="str">
            <v>³</v>
          </cell>
          <cell r="AW214"/>
          <cell r="AX214"/>
          <cell r="AY214" t="str">
            <v>מ</v>
          </cell>
          <cell r="AZ214"/>
          <cell r="BA214" t="str">
            <v>ממ³</v>
          </cell>
          <cell r="BB214" t="str">
            <v>|</v>
          </cell>
        </row>
        <row r="215">
          <cell r="AA215" t="str">
            <v xml:space="preserve">        ³</v>
          </cell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 t="str">
            <v>מ</v>
          </cell>
          <cell r="AM215" t="str">
            <v>מ|ממממממממממ</v>
          </cell>
          <cell r="AN215" t="str">
            <v>מ</v>
          </cell>
          <cell r="AO215" t="str">
            <v>ממממממממממממממממ|ממ</v>
          </cell>
          <cell r="AP215"/>
          <cell r="AQ215"/>
          <cell r="AR215" t="str">
            <v>מ</v>
          </cell>
          <cell r="AS215" t="str">
            <v>ממ³</v>
          </cell>
          <cell r="AT215" t="str">
            <v xml:space="preserve">  |</v>
          </cell>
          <cell r="AU215" t="str">
            <v xml:space="preserve">    |</v>
          </cell>
          <cell r="AV215" t="str">
            <v>³</v>
          </cell>
          <cell r="AW215" t="str">
            <v>מ</v>
          </cell>
          <cell r="AX215" t="str">
            <v>מ</v>
          </cell>
          <cell r="AY215"/>
          <cell r="AZ215" t="str">
            <v xml:space="preserve">       ³</v>
          </cell>
          <cell r="BA215" t="str">
            <v xml:space="preserve">  ³</v>
          </cell>
          <cell r="BB215" t="str">
            <v>|</v>
          </cell>
        </row>
        <row r="216">
          <cell r="AA216" t="str">
            <v xml:space="preserve">        ³</v>
          </cell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 t="str">
            <v xml:space="preserve"> |</v>
          </cell>
          <cell r="AN216"/>
          <cell r="AO216"/>
          <cell r="AP216"/>
          <cell r="AQ216" t="str">
            <v xml:space="preserve">       |</v>
          </cell>
          <cell r="AR216"/>
          <cell r="AS216" t="str">
            <v xml:space="preserve">  |</v>
          </cell>
          <cell r="AT216" t="str">
            <v xml:space="preserve">  |</v>
          </cell>
          <cell r="AU216" t="str">
            <v xml:space="preserve">    |</v>
          </cell>
          <cell r="AV216" t="str">
            <v>³</v>
          </cell>
          <cell r="AW216"/>
          <cell r="AX216"/>
          <cell r="AY216" t="str">
            <v>מ</v>
          </cell>
          <cell r="AZ216"/>
          <cell r="BA216" t="str">
            <v>ממ³</v>
          </cell>
          <cell r="BB216" t="str">
            <v>|</v>
          </cell>
        </row>
        <row r="217">
          <cell r="AA217" t="str">
            <v xml:space="preserve">        ³</v>
          </cell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 t="str">
            <v>מ</v>
          </cell>
          <cell r="AM217" t="str">
            <v>מ|ממממממממממ</v>
          </cell>
          <cell r="AN217" t="str">
            <v>מ</v>
          </cell>
          <cell r="AO217" t="str">
            <v>ממממממממממממממממ|ממ</v>
          </cell>
          <cell r="AP217"/>
          <cell r="AQ217"/>
          <cell r="AR217" t="str">
            <v>מ</v>
          </cell>
          <cell r="AS217" t="str">
            <v>ממ³</v>
          </cell>
          <cell r="AT217" t="str">
            <v xml:space="preserve">  |</v>
          </cell>
          <cell r="AU217" t="str">
            <v xml:space="preserve">    |</v>
          </cell>
          <cell r="AV217" t="str">
            <v>³</v>
          </cell>
          <cell r="AW217" t="str">
            <v>מ</v>
          </cell>
          <cell r="AX217" t="str">
            <v>מ</v>
          </cell>
          <cell r="AY217"/>
          <cell r="AZ217" t="str">
            <v xml:space="preserve">       ³</v>
          </cell>
          <cell r="BA217" t="str">
            <v xml:space="preserve">  ³</v>
          </cell>
          <cell r="BB217" t="str">
            <v>|</v>
          </cell>
        </row>
        <row r="218">
          <cell r="AA218" t="str">
            <v xml:space="preserve">        ³</v>
          </cell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 t="str">
            <v xml:space="preserve"> |</v>
          </cell>
          <cell r="AN218"/>
          <cell r="AO218"/>
          <cell r="AP218"/>
          <cell r="AQ218" t="str">
            <v xml:space="preserve">       |</v>
          </cell>
          <cell r="AR218"/>
          <cell r="AS218" t="str">
            <v xml:space="preserve">  |</v>
          </cell>
          <cell r="AT218" t="str">
            <v xml:space="preserve">  |</v>
          </cell>
          <cell r="AU218" t="str">
            <v xml:space="preserve">    |</v>
          </cell>
          <cell r="AV218" t="str">
            <v>³</v>
          </cell>
          <cell r="AW218"/>
          <cell r="AX218"/>
          <cell r="AY218" t="str">
            <v>מ</v>
          </cell>
          <cell r="AZ218"/>
          <cell r="BA218" t="str">
            <v>ממ³</v>
          </cell>
          <cell r="BB218" t="str">
            <v>|</v>
          </cell>
        </row>
        <row r="219">
          <cell r="AA219" t="str">
            <v xml:space="preserve">        ³</v>
          </cell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 t="str">
            <v>מ</v>
          </cell>
          <cell r="AM219" t="str">
            <v>מ|ממממממממממ</v>
          </cell>
          <cell r="AN219" t="str">
            <v>מ</v>
          </cell>
          <cell r="AO219" t="str">
            <v>ממממממממממממממממ|ממ</v>
          </cell>
          <cell r="AP219"/>
          <cell r="AQ219"/>
          <cell r="AR219" t="str">
            <v>מ</v>
          </cell>
          <cell r="AS219" t="str">
            <v>ממ³</v>
          </cell>
          <cell r="AT219" t="str">
            <v xml:space="preserve">  |</v>
          </cell>
          <cell r="AU219" t="str">
            <v xml:space="preserve">    |</v>
          </cell>
          <cell r="AV219" t="str">
            <v>³</v>
          </cell>
          <cell r="AW219" t="str">
            <v>מ</v>
          </cell>
          <cell r="AX219" t="str">
            <v>מ</v>
          </cell>
          <cell r="AY219"/>
          <cell r="AZ219" t="str">
            <v xml:space="preserve">       ³</v>
          </cell>
          <cell r="BA219" t="str">
            <v xml:space="preserve">  ³</v>
          </cell>
          <cell r="BB219" t="str">
            <v>|</v>
          </cell>
        </row>
        <row r="220">
          <cell r="AA220" t="str">
            <v xml:space="preserve">        ³</v>
          </cell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 t="str">
            <v xml:space="preserve"> |</v>
          </cell>
          <cell r="AN220"/>
          <cell r="AO220"/>
          <cell r="AP220"/>
          <cell r="AQ220" t="str">
            <v xml:space="preserve">       |</v>
          </cell>
          <cell r="AR220"/>
          <cell r="AS220" t="str">
            <v xml:space="preserve">  |</v>
          </cell>
          <cell r="AT220" t="str">
            <v xml:space="preserve">  |</v>
          </cell>
          <cell r="AU220" t="str">
            <v xml:space="preserve">    |</v>
          </cell>
          <cell r="AV220" t="str">
            <v>³</v>
          </cell>
          <cell r="AW220"/>
          <cell r="AX220"/>
          <cell r="AY220" t="str">
            <v>מ</v>
          </cell>
          <cell r="AZ220"/>
          <cell r="BA220" t="str">
            <v>ממ³</v>
          </cell>
          <cell r="BB220" t="str">
            <v>|</v>
          </cell>
        </row>
        <row r="221">
          <cell r="AA221" t="str">
            <v xml:space="preserve">        ³</v>
          </cell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 t="str">
            <v>מ</v>
          </cell>
          <cell r="AM221" t="str">
            <v>מ|ממממממממממ</v>
          </cell>
          <cell r="AN221" t="str">
            <v>מ</v>
          </cell>
          <cell r="AO221" t="str">
            <v>ממממממממממממממממ|ממ</v>
          </cell>
          <cell r="AP221"/>
          <cell r="AQ221"/>
          <cell r="AR221" t="str">
            <v>מ</v>
          </cell>
          <cell r="AS221" t="str">
            <v>ממ³</v>
          </cell>
          <cell r="AT221" t="str">
            <v xml:space="preserve">  |</v>
          </cell>
          <cell r="AU221" t="str">
            <v xml:space="preserve">    |</v>
          </cell>
          <cell r="AV221" t="str">
            <v>³</v>
          </cell>
          <cell r="AW221" t="str">
            <v>מ</v>
          </cell>
          <cell r="AX221" t="str">
            <v>מ</v>
          </cell>
          <cell r="AY221"/>
          <cell r="AZ221" t="str">
            <v xml:space="preserve">       ³</v>
          </cell>
          <cell r="BA221" t="str">
            <v xml:space="preserve">  ³</v>
          </cell>
          <cell r="BB221" t="str">
            <v>|</v>
          </cell>
        </row>
        <row r="222">
          <cell r="AA222" t="str">
            <v xml:space="preserve">        ³</v>
          </cell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 t="str">
            <v xml:space="preserve"> |</v>
          </cell>
          <cell r="AN222"/>
          <cell r="AO222"/>
          <cell r="AP222"/>
          <cell r="AQ222" t="str">
            <v xml:space="preserve">       |</v>
          </cell>
          <cell r="AR222"/>
          <cell r="AS222" t="str">
            <v xml:space="preserve">  |</v>
          </cell>
          <cell r="AT222" t="str">
            <v xml:space="preserve">  |</v>
          </cell>
          <cell r="AU222" t="str">
            <v xml:space="preserve">    |</v>
          </cell>
          <cell r="AV222" t="str">
            <v>³</v>
          </cell>
          <cell r="AW222"/>
          <cell r="AX222"/>
          <cell r="AY222" t="str">
            <v>מ</v>
          </cell>
          <cell r="AZ222"/>
          <cell r="BA222" t="str">
            <v>ממ³</v>
          </cell>
          <cell r="BB222" t="str">
            <v>|</v>
          </cell>
        </row>
        <row r="223">
          <cell r="AA223" t="str">
            <v xml:space="preserve">        ³</v>
          </cell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 t="str">
            <v>מ</v>
          </cell>
          <cell r="AM223" t="str">
            <v>מ|ממממממממממ</v>
          </cell>
          <cell r="AN223" t="str">
            <v>מ</v>
          </cell>
          <cell r="AO223" t="str">
            <v>ממממממממממממממממ|ממ</v>
          </cell>
          <cell r="AP223"/>
          <cell r="AQ223"/>
          <cell r="AR223" t="str">
            <v>מ</v>
          </cell>
          <cell r="AS223" t="str">
            <v>ממ³</v>
          </cell>
          <cell r="AT223" t="str">
            <v xml:space="preserve">  |</v>
          </cell>
          <cell r="AU223" t="str">
            <v xml:space="preserve">    |</v>
          </cell>
          <cell r="AV223" t="str">
            <v>³</v>
          </cell>
          <cell r="AW223" t="str">
            <v>מ</v>
          </cell>
          <cell r="AX223" t="str">
            <v>מ</v>
          </cell>
          <cell r="AY223"/>
          <cell r="AZ223" t="str">
            <v xml:space="preserve">       ³</v>
          </cell>
          <cell r="BA223" t="str">
            <v xml:space="preserve">  ³</v>
          </cell>
          <cell r="BB223" t="str">
            <v>|</v>
          </cell>
        </row>
        <row r="224">
          <cell r="AA224" t="str">
            <v xml:space="preserve">        ³</v>
          </cell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 t="str">
            <v xml:space="preserve"> |</v>
          </cell>
          <cell r="AN224"/>
          <cell r="AO224"/>
          <cell r="AP224"/>
          <cell r="AQ224" t="str">
            <v xml:space="preserve">       |</v>
          </cell>
          <cell r="AR224"/>
          <cell r="AS224" t="str">
            <v xml:space="preserve">  |</v>
          </cell>
          <cell r="AT224" t="str">
            <v xml:space="preserve">  |</v>
          </cell>
          <cell r="AU224" t="str">
            <v xml:space="preserve">    |</v>
          </cell>
          <cell r="AV224" t="str">
            <v>³</v>
          </cell>
          <cell r="AW224"/>
          <cell r="AX224"/>
          <cell r="AY224" t="str">
            <v>מ</v>
          </cell>
          <cell r="AZ224"/>
          <cell r="BA224" t="str">
            <v>ממ³</v>
          </cell>
          <cell r="BB224" t="str">
            <v>|</v>
          </cell>
        </row>
        <row r="225">
          <cell r="AA225" t="str">
            <v xml:space="preserve">        ³</v>
          </cell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 t="str">
            <v>מ</v>
          </cell>
          <cell r="AM225" t="str">
            <v>מ|ממממממממממ</v>
          </cell>
          <cell r="AN225" t="str">
            <v>מ</v>
          </cell>
          <cell r="AO225" t="str">
            <v>ממממממממממממממממ|ממ</v>
          </cell>
          <cell r="AP225"/>
          <cell r="AQ225"/>
          <cell r="AR225" t="str">
            <v>מ</v>
          </cell>
          <cell r="AS225" t="str">
            <v>ממ³</v>
          </cell>
          <cell r="AT225" t="str">
            <v xml:space="preserve">  |</v>
          </cell>
          <cell r="AU225" t="str">
            <v xml:space="preserve">    |</v>
          </cell>
          <cell r="AV225" t="str">
            <v>³</v>
          </cell>
          <cell r="AW225" t="str">
            <v>מ</v>
          </cell>
          <cell r="AX225" t="str">
            <v>מ</v>
          </cell>
          <cell r="AY225"/>
          <cell r="AZ225" t="str">
            <v xml:space="preserve">       ³</v>
          </cell>
          <cell r="BA225" t="str">
            <v xml:space="preserve">  ³</v>
          </cell>
          <cell r="BB225" t="str">
            <v>|</v>
          </cell>
        </row>
        <row r="226">
          <cell r="AA226" t="str">
            <v xml:space="preserve">        ³</v>
          </cell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 t="str">
            <v xml:space="preserve"> |</v>
          </cell>
          <cell r="AN226"/>
          <cell r="AO226"/>
          <cell r="AP226"/>
          <cell r="AQ226" t="str">
            <v xml:space="preserve">       |</v>
          </cell>
          <cell r="AR226"/>
          <cell r="AS226" t="str">
            <v xml:space="preserve">  |</v>
          </cell>
          <cell r="AT226" t="str">
            <v xml:space="preserve">  |</v>
          </cell>
          <cell r="AU226" t="str">
            <v xml:space="preserve">    |</v>
          </cell>
          <cell r="AV226" t="str">
            <v>³</v>
          </cell>
          <cell r="AW226"/>
          <cell r="AX226"/>
          <cell r="AY226" t="str">
            <v>מ</v>
          </cell>
          <cell r="AZ226"/>
          <cell r="BA226" t="str">
            <v>ממ³</v>
          </cell>
          <cell r="BB226" t="str">
            <v>|</v>
          </cell>
        </row>
        <row r="227">
          <cell r="AA227" t="str">
            <v xml:space="preserve">        ³</v>
          </cell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 t="str">
            <v>מ</v>
          </cell>
          <cell r="AM227" t="str">
            <v>מ|ממממממממממ</v>
          </cell>
          <cell r="AN227" t="str">
            <v>מ</v>
          </cell>
          <cell r="AO227" t="str">
            <v>ממממממממממממממממ|ממ</v>
          </cell>
          <cell r="AP227"/>
          <cell r="AQ227"/>
          <cell r="AR227" t="str">
            <v>מ</v>
          </cell>
          <cell r="AS227" t="str">
            <v>ממ³</v>
          </cell>
          <cell r="AT227" t="str">
            <v xml:space="preserve">  |</v>
          </cell>
          <cell r="AU227" t="str">
            <v xml:space="preserve">    |</v>
          </cell>
          <cell r="AV227" t="str">
            <v>³</v>
          </cell>
          <cell r="AW227" t="str">
            <v>מ</v>
          </cell>
          <cell r="AX227"/>
          <cell r="AY227"/>
          <cell r="AZ227" t="str">
            <v xml:space="preserve">       ³</v>
          </cell>
          <cell r="BA227" t="str">
            <v xml:space="preserve">  ³</v>
          </cell>
          <cell r="BB227" t="str">
            <v>|</v>
          </cell>
        </row>
        <row r="228">
          <cell r="AA228" t="str">
            <v xml:space="preserve">        ³============³==================================================³===============³</v>
          </cell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 t="str">
            <v xml:space="preserve"> ³</v>
          </cell>
          <cell r="AN228"/>
          <cell r="AO228"/>
          <cell r="AP228"/>
          <cell r="AQ228" t="str">
            <v xml:space="preserve">       |</v>
          </cell>
          <cell r="AR228"/>
          <cell r="AS228" t="str">
            <v xml:space="preserve">  |</v>
          </cell>
          <cell r="AT228" t="str">
            <v xml:space="preserve">  |</v>
          </cell>
          <cell r="AU228" t="str">
            <v xml:space="preserve">    |</v>
          </cell>
          <cell r="AV228" t="str">
            <v>³</v>
          </cell>
          <cell r="AW228"/>
          <cell r="AX228"/>
          <cell r="AY228" t="str">
            <v>מ</v>
          </cell>
          <cell r="AZ228"/>
          <cell r="BA228" t="str">
            <v>ממ³</v>
          </cell>
          <cell r="BB228" t="str">
            <v>|</v>
          </cell>
        </row>
        <row r="229">
          <cell r="AA229" t="str">
            <v xml:space="preserve">        ³</v>
          </cell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 t="str">
            <v>========================</v>
          </cell>
          <cell r="AS229" t="str">
            <v>==|</v>
          </cell>
          <cell r="AT229" t="str">
            <v xml:space="preserve">  |</v>
          </cell>
          <cell r="AU229" t="str">
            <v xml:space="preserve">    |</v>
          </cell>
          <cell r="AV229" t="str">
            <v>³</v>
          </cell>
          <cell r="AW229" t="str">
            <v>מ</v>
          </cell>
          <cell r="AX229"/>
          <cell r="AY229"/>
          <cell r="AZ229" t="str">
            <v xml:space="preserve">       ³</v>
          </cell>
          <cell r="BA229" t="str">
            <v xml:space="preserve">  ³</v>
          </cell>
          <cell r="BB229" t="str">
            <v>|</v>
          </cell>
        </row>
        <row r="230">
          <cell r="AA230" t="str">
            <v xml:space="preserve">        ============================================================================</v>
          </cell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>
            <v>124233.86020000001</v>
          </cell>
          <cell r="AM230" t="str">
            <v xml:space="preserve"> ³                        :סה"כ סכום הנכסים הקבועים |            </v>
          </cell>
          <cell r="AN230"/>
          <cell r="AO230"/>
          <cell r="AP230"/>
          <cell r="AQ230"/>
          <cell r="AR230"/>
          <cell r="AS230" t="str">
            <v xml:space="preserve">  |</v>
          </cell>
          <cell r="AT230" t="str">
            <v xml:space="preserve">  |</v>
          </cell>
          <cell r="AU230" t="str">
            <v xml:space="preserve">    |</v>
          </cell>
          <cell r="AV230" t="str">
            <v>³=============³==================================================³===============³</v>
          </cell>
          <cell r="AW230"/>
          <cell r="AX230"/>
          <cell r="AY230" t="str">
            <v>מ</v>
          </cell>
          <cell r="AZ230"/>
          <cell r="BA230" t="str">
            <v>ממ³</v>
          </cell>
          <cell r="BB230" t="str">
            <v>|</v>
          </cell>
        </row>
        <row r="231">
          <cell r="AA231" t="str">
            <v xml:space="preserve"> </v>
          </cell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 t="str">
            <v>==============</v>
          </cell>
          <cell r="AS231" t="str">
            <v>===</v>
          </cell>
          <cell r="AT231" t="str">
            <v xml:space="preserve">  |</v>
          </cell>
          <cell r="AU231" t="str">
            <v xml:space="preserve">    |</v>
          </cell>
          <cell r="AV231" t="str">
            <v>³                  ³                                                  ³            ³</v>
          </cell>
          <cell r="AW231">
            <v>0</v>
          </cell>
          <cell r="AX231"/>
          <cell r="AY231"/>
          <cell r="AZ231" t="str">
            <v xml:space="preserve">       ³</v>
          </cell>
          <cell r="BA231" t="str">
            <v xml:space="preserve">  ³</v>
          </cell>
          <cell r="BB231" t="str">
            <v>|</v>
          </cell>
        </row>
        <row r="232">
          <cell r="AT232" t="str">
            <v xml:space="preserve">  |</v>
          </cell>
          <cell r="AU232" t="str">
            <v xml:space="preserve">    |</v>
          </cell>
          <cell r="AV232" t="str">
            <v>==================================================================================</v>
          </cell>
          <cell r="AW232"/>
          <cell r="AX232"/>
          <cell r="AY232" t="str">
            <v>מ</v>
          </cell>
          <cell r="AZ232"/>
          <cell r="BA232" t="str">
            <v>ממ³</v>
          </cell>
          <cell r="BB232" t="str">
            <v>|</v>
          </cell>
        </row>
        <row r="233">
          <cell r="AT233" t="str">
            <v xml:space="preserve">  |</v>
          </cell>
          <cell r="AU233" t="str">
            <v xml:space="preserve">    |</v>
          </cell>
          <cell r="AV233"/>
          <cell r="AW233"/>
          <cell r="AX233"/>
          <cell r="AY233"/>
          <cell r="AZ233" t="str">
            <v xml:space="preserve">       ³</v>
          </cell>
          <cell r="BA233" t="str">
            <v xml:space="preserve">  ³</v>
          </cell>
          <cell r="BB233" t="str">
            <v>|</v>
          </cell>
        </row>
        <row r="234">
          <cell r="AT234" t="str">
            <v xml:space="preserve">  |</v>
          </cell>
          <cell r="AU234" t="str">
            <v xml:space="preserve">    |</v>
          </cell>
          <cell r="AV234"/>
          <cell r="AW234"/>
          <cell r="AX234"/>
          <cell r="AY234" t="str">
            <v>מ</v>
          </cell>
          <cell r="AZ234"/>
          <cell r="BA234" t="str">
            <v>ממ³</v>
          </cell>
          <cell r="BB234" t="str">
            <v>|</v>
          </cell>
        </row>
        <row r="235">
          <cell r="AZ235" t="str">
            <v xml:space="preserve">       ³</v>
          </cell>
          <cell r="BA235" t="str">
            <v xml:space="preserve">  ³</v>
          </cell>
          <cell r="BB235" t="str">
            <v>|</v>
          </cell>
        </row>
        <row r="236">
          <cell r="AY236" t="str">
            <v>מ</v>
          </cell>
          <cell r="AZ236"/>
          <cell r="BA236" t="str">
            <v>ממ³</v>
          </cell>
          <cell r="BB236" t="str">
            <v>|</v>
          </cell>
        </row>
        <row r="237">
          <cell r="BB237" t="str">
            <v>|</v>
          </cell>
        </row>
        <row r="238">
          <cell r="BB238" t="str">
            <v>|</v>
          </cell>
        </row>
        <row r="239">
          <cell r="BB239" t="str">
            <v>|</v>
          </cell>
        </row>
        <row r="240">
          <cell r="BB240" t="str">
            <v>|</v>
          </cell>
        </row>
        <row r="241">
          <cell r="BB241" t="str">
            <v>|</v>
          </cell>
        </row>
        <row r="256">
          <cell r="T256" t="str">
            <v>|ש"ח על פי הסכם XXX,XXX כולל פחת כבלים בעת הנחתם ונכוי בשל פחת בגינו בסך כולל של</v>
          </cell>
        </row>
        <row r="257">
          <cell r="T257" t="str">
            <v>עם פקיד השומה מיום 15.1.96.</v>
          </cell>
        </row>
      </sheetData>
      <sheetData sheetId="6" refreshError="1">
        <row r="9">
          <cell r="O9" t="str">
            <v>משרדי</v>
          </cell>
          <cell r="Q9" t="str">
            <v>סיכומים</v>
          </cell>
          <cell r="R9" t="str">
            <v>31 בדצמבר</v>
          </cell>
          <cell r="AN9" t="str">
            <v/>
          </cell>
          <cell r="AQ9" t="str">
            <v>לשנת המס 1998</v>
          </cell>
          <cell r="AX9" t="str">
            <v>אלפי ש"ח</v>
          </cell>
          <cell r="AY9" t="str">
            <v>אלפי ש"ח</v>
          </cell>
          <cell r="BC9" t="str">
            <v>אלפי ש"ח</v>
          </cell>
          <cell r="BH9" t="str">
            <v>הנוסף</v>
          </cell>
          <cell r="BJ9" t="str">
            <v>עליית</v>
          </cell>
          <cell r="BL9" t="str">
            <v>הפחת לפי</v>
          </cell>
          <cell r="BP9" t="str">
            <v>של כל</v>
          </cell>
          <cell r="BR9" t="str">
            <v>הפסד ראלי*</v>
          </cell>
          <cell r="BS9" t="str">
            <v>הפסד</v>
          </cell>
        </row>
        <row r="10">
          <cell r="O10" t="str">
            <v>בלבד</v>
          </cell>
          <cell r="AD10" t="str">
            <v>פחות</v>
          </cell>
          <cell r="AJ10" t="str">
            <v xml:space="preserve"> </v>
          </cell>
          <cell r="AO10" t="str">
            <v>תאור הנכסים הקבועים, לפי הרשום במאזן לתום</v>
          </cell>
          <cell r="BE10" t="str">
            <v>1.שנויים חיוביים:</v>
          </cell>
          <cell r="BH10" t="str">
            <v>בשל פחת</v>
          </cell>
          <cell r="BJ10" t="str">
            <v>המדד</v>
          </cell>
          <cell r="BK10" t="str">
            <v>תאור הרישומים,היתרות,ההפקדות או הפעולות</v>
          </cell>
          <cell r="BL10" t="str">
            <v>טופס י"א</v>
          </cell>
          <cell r="BP10" t="str">
            <v>סעיף קטן</v>
          </cell>
          <cell r="BR10" t="str">
            <v>לפי</v>
          </cell>
          <cell r="BS10" t="str">
            <v>מהשכרת</v>
          </cell>
        </row>
        <row r="11">
          <cell r="V11">
            <v>-634.21300000000019</v>
          </cell>
          <cell r="AB11" t="str">
            <v>הסכום</v>
          </cell>
          <cell r="AD11" t="str">
            <v>תאור פריט לפי הרשום במאזן בתום שנת המס הקודמת</v>
          </cell>
          <cell r="AJ11" t="str">
            <v>סעיף קטן</v>
          </cell>
          <cell r="AN11" t="str">
            <v>הסכום</v>
          </cell>
          <cell r="AO11" t="str">
            <v>שנת המס הקודמת</v>
          </cell>
          <cell r="AU11" t="str">
            <v>סעיף קטן</v>
          </cell>
          <cell r="AY11">
            <v>1779.9870000000001</v>
          </cell>
          <cell r="BA11" t="str">
            <v>דוח מצ"ב</v>
          </cell>
          <cell r="BC11">
            <v>1779.9870000000001</v>
          </cell>
          <cell r="BE11" t="str">
            <v>תמורה ממכירת רכוש קבוע</v>
          </cell>
          <cell r="BF11">
            <v>1.98</v>
          </cell>
          <cell r="BI11" t="str">
            <v>הסכום</v>
          </cell>
          <cell r="BK11" t="str">
            <v>המחיבים תאום הון</v>
          </cell>
          <cell r="BP11" t="str">
            <v xml:space="preserve"> לזיהוי</v>
          </cell>
          <cell r="BQ11" t="str">
            <v xml:space="preserve"> 1. נכסים קבועים שהיו בידי הנישום</v>
          </cell>
          <cell r="BR11" t="str">
            <v>חוק המיסוי</v>
          </cell>
          <cell r="BS11" t="str">
            <v>בנין</v>
          </cell>
        </row>
        <row r="12">
          <cell r="Q12">
            <v>26788</v>
          </cell>
          <cell r="V12">
            <v>-17094.646000000001</v>
          </cell>
          <cell r="W12" t="str">
            <v xml:space="preserve"> סכום ההון לפי סעיף 1 לתוספת א לחוק - לפי רשימה מס' 1 מצורפת:</v>
          </cell>
          <cell r="Y12">
            <v>1</v>
          </cell>
          <cell r="AD12" t="str">
            <v>פחת לפי טופס י"א (ראה 1 ו2)</v>
          </cell>
          <cell r="AJ12" t="str">
            <v>לזיהוי הפריט</v>
          </cell>
          <cell r="AU12" t="str">
            <v>בהגדרה</v>
          </cell>
          <cell r="AY12">
            <v>4474.4936584233119</v>
          </cell>
          <cell r="AZ12">
            <v>0.17649999999999999</v>
          </cell>
          <cell r="BA12">
            <v>0.15203544724453066</v>
          </cell>
          <cell r="BC12">
            <v>5194.5</v>
          </cell>
          <cell r="BE12" t="str">
            <v>החזר מס ששולם ביתר</v>
          </cell>
          <cell r="BF12">
            <v>2.98</v>
          </cell>
          <cell r="BP12" t="str">
            <v xml:space="preserve">התאום </v>
          </cell>
          <cell r="BQ12" t="str">
            <v xml:space="preserve">   'נכס  מוגן' לפני חוק המסוי ונרכשו לפני</v>
          </cell>
          <cell r="BR12" t="str">
            <v>אלפי ש"ח</v>
          </cell>
          <cell r="BS12" t="str">
            <v>אלפי ש"ח</v>
          </cell>
        </row>
        <row r="13">
          <cell r="AD13" t="str">
            <v>הפרש בין שינוי יתרת הפקדונות בספרים לבין השנוי ביתרה לפי הסכם עם</v>
          </cell>
          <cell r="AJ13" t="str">
            <v xml:space="preserve"> </v>
          </cell>
          <cell r="AY13">
            <v>670.14213896516844</v>
          </cell>
          <cell r="AZ13">
            <v>0.17649999999999999</v>
          </cell>
          <cell r="BA13">
            <v>0.13785557986870889</v>
          </cell>
          <cell r="BC13">
            <v>858</v>
          </cell>
          <cell r="BE13" t="str">
            <v>משיכת רווחים מהשקעה בשותפות</v>
          </cell>
          <cell r="BF13" t="str">
            <v>6.98</v>
          </cell>
          <cell r="BQ13" t="str">
            <v xml:space="preserve">   תחילת שנת המס 1982 סכום הפחת</v>
          </cell>
        </row>
        <row r="14">
          <cell r="V14">
            <v>-486.25400000000172</v>
          </cell>
          <cell r="AB14">
            <v>5</v>
          </cell>
          <cell r="AD14" t="str">
            <v>פקיד השומה מיום 15.1.96: (ראה נספח לט' 1392\ג')</v>
          </cell>
          <cell r="AE14" t="str">
            <v xml:space="preserve">הון מניות     </v>
          </cell>
          <cell r="AN14">
            <v>1584</v>
          </cell>
          <cell r="AS14" t="str">
            <v>רכוש קבוע</v>
          </cell>
          <cell r="AY14">
            <v>132997.01191353952</v>
          </cell>
          <cell r="AZ14">
            <v>0.17649999999999999</v>
          </cell>
          <cell r="BA14">
            <v>0.13972602739726026</v>
          </cell>
          <cell r="BC14">
            <v>168000</v>
          </cell>
          <cell r="BE14" t="str">
            <v xml:space="preserve">הנפקת שטרי הון </v>
          </cell>
          <cell r="BF14">
            <v>8.98</v>
          </cell>
          <cell r="BI14">
            <v>336</v>
          </cell>
          <cell r="BO14" t="str">
            <v>עתודה לפיצויים בניכוי ייעודה</v>
          </cell>
          <cell r="BQ14" t="str">
            <v xml:space="preserve">   הכולל שנתבע כדין לפי רכוז בטופס יא'</v>
          </cell>
        </row>
        <row r="15">
          <cell r="Q15">
            <v>29568.382999999998</v>
          </cell>
          <cell r="W15" t="str">
            <v xml:space="preserve"> תאומי הון לפי סעיף 3 לתוספת א לחוק - לפי רשימה מס' 2 מצורפת:</v>
          </cell>
          <cell r="Y15">
            <v>2</v>
          </cell>
          <cell r="AD15" t="str">
            <v>|לפי הסכם ‎1989 הפחתת הוצאות טרום עסקיות שתואמו בשנת</v>
          </cell>
          <cell r="AN15" t="str">
            <v>אגף מס הכנסה</v>
          </cell>
          <cell r="AQ15" t="str">
            <v>רכוז רווח (הפסד) הון - לצרכי מס הכנסה (ראה פרוט בנספח מצורף)</v>
          </cell>
          <cell r="AY15">
            <v>-25.144938263092953</v>
          </cell>
          <cell r="AZ15">
            <v>0.17649999999999999</v>
          </cell>
          <cell r="BA15">
            <v>-7.3968026723931768E-3</v>
          </cell>
          <cell r="BC15">
            <v>600</v>
          </cell>
          <cell r="BE15" t="str">
            <v>משיכת רווחים מהשקעה בשותפות</v>
          </cell>
          <cell r="BF15" t="str">
            <v>12.98</v>
          </cell>
        </row>
        <row r="16">
          <cell r="V16">
            <v>-123.65000000000002</v>
          </cell>
          <cell r="Z16" t="e">
            <v>#REF!</v>
          </cell>
          <cell r="AB16">
            <v>26783</v>
          </cell>
          <cell r="AD16" t="str">
            <v>15.1.96 עם פקיד השומה מיום</v>
          </cell>
          <cell r="AE16" t="str">
            <v xml:space="preserve">יתרת רווח     </v>
          </cell>
          <cell r="AN16">
            <v>480</v>
          </cell>
          <cell r="AR16" t="str">
            <v xml:space="preserve"> </v>
          </cell>
          <cell r="AS16" t="str">
            <v>מוניטין בחברה מסונפת</v>
          </cell>
          <cell r="AX16">
            <v>139896.48977266491</v>
          </cell>
          <cell r="BI16">
            <v>31</v>
          </cell>
          <cell r="BO16" t="str">
            <v>הפרשה לחופשה</v>
          </cell>
          <cell r="BQ16" t="str">
            <v xml:space="preserve"> 2. נכסים קבועים שהיו בידי הנישום</v>
          </cell>
        </row>
        <row r="17">
          <cell r="T17">
            <v>-18338.763000000003</v>
          </cell>
          <cell r="AN17" t="str">
            <v>אחד העם 9</v>
          </cell>
          <cell r="AQ17" t="str">
            <v>א ל פ י  ש " ח</v>
          </cell>
          <cell r="BE17" t="str">
            <v>2.שנויים שליליים:</v>
          </cell>
          <cell r="BF17">
            <v>1.98</v>
          </cell>
          <cell r="BQ17" t="str">
            <v xml:space="preserve">    "נכס בלתי מוגן" לפי חוק המסוי ונרכשו</v>
          </cell>
        </row>
        <row r="18">
          <cell r="Q18">
            <v>-65663.821200000006</v>
          </cell>
          <cell r="W18" t="str">
            <v xml:space="preserve"> סכום הנכסים הקבועים לפי סעיף 2(א) לתוספת ב לחוק - לפי רשימה מס' 3 מצורפת:</v>
          </cell>
          <cell r="Y18">
            <v>3</v>
          </cell>
          <cell r="AD18" t="str">
            <v>נוסף</v>
          </cell>
          <cell r="AN18">
            <v>124.31419999999997</v>
          </cell>
          <cell r="AR18" t="str">
            <v xml:space="preserve"> </v>
          </cell>
          <cell r="AS18" t="str">
            <v>מוניטין בשותפות</v>
          </cell>
          <cell r="AY18">
            <v>-1452.8464269155559</v>
          </cell>
          <cell r="AZ18">
            <v>0.17649999999999999</v>
          </cell>
          <cell r="BA18">
            <v>0.15203544724453066</v>
          </cell>
          <cell r="BC18">
            <v>-1686.6290000000004</v>
          </cell>
          <cell r="BE18" t="str">
            <v>תשלום מס ביתר בגין שנים קודמות</v>
          </cell>
          <cell r="BF18">
            <v>2.98</v>
          </cell>
          <cell r="BG18">
            <v>0</v>
          </cell>
          <cell r="BI18">
            <v>-836</v>
          </cell>
          <cell r="BO18" t="str">
            <v xml:space="preserve">הכנסות בספרים שלא נרשמו כהכנסה חייבת בגין חברות בנות ובניכוי דיבידנד </v>
          </cell>
          <cell r="BQ18" t="str">
            <v xml:space="preserve">    לפני תום שנת המס 1984 סכום הפחת</v>
          </cell>
        </row>
        <row r="19">
          <cell r="V19">
            <v>0</v>
          </cell>
          <cell r="AD19" t="str">
            <v>פחת בספרים</v>
          </cell>
          <cell r="AJ19" t="str">
            <v xml:space="preserve"> </v>
          </cell>
          <cell r="AR19" t="str">
            <v xml:space="preserve"> </v>
          </cell>
          <cell r="AY19">
            <v>-1170.5694310887036</v>
          </cell>
          <cell r="AZ19">
            <v>0.17649999999999999</v>
          </cell>
          <cell r="BA19">
            <v>0.15651932165693649</v>
          </cell>
          <cell r="BC19">
            <v>-1320</v>
          </cell>
          <cell r="BE19" t="str">
            <v>השקעות אחרות - מניות</v>
          </cell>
          <cell r="BF19">
            <v>4.9800000000000004</v>
          </cell>
          <cell r="BQ19" t="str">
            <v xml:space="preserve">    הכולל שנתבע כדין לפי רכוז בטופס יא'</v>
          </cell>
        </row>
        <row r="20">
          <cell r="AD20" t="str">
            <v>הפרשי פחת שנצבר בין הספרים לטופס י"א</v>
          </cell>
          <cell r="AJ20" t="str">
            <v xml:space="preserve"> </v>
          </cell>
          <cell r="AN20">
            <v>4933.4679999999998</v>
          </cell>
          <cell r="AS20" t="str">
            <v>מוניטין בתאגידים בשליטה משותפת</v>
          </cell>
          <cell r="AV20" t="str">
            <v>סה"כ</v>
          </cell>
          <cell r="AX20" t="str">
            <v>סכום</v>
          </cell>
          <cell r="AY20">
            <v>-585.96662656680496</v>
          </cell>
          <cell r="AZ20">
            <v>0.17649999999999999</v>
          </cell>
          <cell r="BA20">
            <v>0.13972602739726026</v>
          </cell>
          <cell r="BB20" t="str">
            <v>רווח</v>
          </cell>
          <cell r="BC20">
            <v>-740.18499999999995</v>
          </cell>
          <cell r="BE20" t="str">
            <v>השקעות אחרות - מניות (כולל השקעה בשותפות)</v>
          </cell>
          <cell r="BF20">
            <v>8.98</v>
          </cell>
          <cell r="BI20">
            <v>267.7100000000006</v>
          </cell>
          <cell r="BO20" t="str">
            <v>ההפרש בין השומה לצרכי מס הכנסה לבין ההפרשה בספרים</v>
          </cell>
        </row>
        <row r="21">
          <cell r="O21" t="str">
            <v>|1998 בדקנו את ההתאמה המצורפת של ערוצי זהב ושות' (שותפות רשומה) לשנת המס</v>
          </cell>
          <cell r="V21">
            <v>0</v>
          </cell>
          <cell r="W21" t="str">
            <v xml:space="preserve"> סכום השנויים החיוביים לפי סעיף 1 לתוספת ג בנכוי סכום השנויים השליליים לפי סעיף 2</v>
          </cell>
          <cell r="Y21">
            <v>4</v>
          </cell>
          <cell r="AD21" t="str">
            <v xml:space="preserve"> בגין גריעת הוצ' התקנה</v>
          </cell>
          <cell r="AO21" t="str">
            <v>א.נ.,</v>
          </cell>
          <cell r="AV21" t="str">
            <v>רווח</v>
          </cell>
          <cell r="AX21" t="str">
            <v>אינפלציוני</v>
          </cell>
          <cell r="AY21">
            <v>-4505.4499598659349</v>
          </cell>
          <cell r="AZ21">
            <v>0.17649999999999999</v>
          </cell>
          <cell r="BA21">
            <v>9.4448829255459055E-2</v>
          </cell>
          <cell r="BB21" t="str">
            <v>הון</v>
          </cell>
          <cell r="BC21">
            <v>-8419.5</v>
          </cell>
          <cell r="BE21" t="str">
            <v>השקעות אחרות - מניות</v>
          </cell>
          <cell r="BF21">
            <v>9.98</v>
          </cell>
          <cell r="BN21" t="str">
            <v>תאריך</v>
          </cell>
          <cell r="BO21" t="str">
            <v>"סכום שהוצא"</v>
          </cell>
          <cell r="BR21" t="str">
            <v xml:space="preserve"> 3. נכסים קבועים אחרים שלא נכללו</v>
          </cell>
        </row>
        <row r="22">
          <cell r="O22" t="str">
            <v>|31 המתאמת את הרווח של השותפות לפי דוח רווח והפסד שלה לשנה שנסתיימה ביום</v>
          </cell>
          <cell r="Q22">
            <v>123638.39060872243</v>
          </cell>
          <cell r="V22">
            <v>231</v>
          </cell>
          <cell r="W22" t="str">
            <v xml:space="preserve"> לאותה  תוספת  לחוק - לפי רשימה מס' 4 מצורפת:</v>
          </cell>
          <cell r="AD22" t="str">
            <v>עליה בהפרשה לחובות מסופקים</v>
          </cell>
          <cell r="AJ22" t="str">
            <v xml:space="preserve"> </v>
          </cell>
          <cell r="AN22">
            <v>1</v>
          </cell>
          <cell r="AR22" t="str">
            <v>סה"כ</v>
          </cell>
          <cell r="AS22" t="str">
            <v>השקעה בחברות בת - נטו</v>
          </cell>
          <cell r="AT22" t="str">
            <v>(הפסד הון)</v>
          </cell>
          <cell r="AV22" t="str">
            <v>הון</v>
          </cell>
          <cell r="AX22" t="str">
            <v>חייב</v>
          </cell>
          <cell r="AY22">
            <v>136.92117980336576</v>
          </cell>
          <cell r="AZ22">
            <v>0.17649999999999999</v>
          </cell>
          <cell r="BA22">
            <v>-2.1176470588235241E-2</v>
          </cell>
          <cell r="BB22" t="str">
            <v>ריאלי</v>
          </cell>
          <cell r="BC22">
            <v>-1141.2</v>
          </cell>
          <cell r="BE22" t="str">
            <v>השקעות אחרות - מניות (כולל השקעה בשותפות)</v>
          </cell>
          <cell r="BF22">
            <v>11.98</v>
          </cell>
          <cell r="BI22">
            <v>30300</v>
          </cell>
          <cell r="BN22" t="str">
            <v>שבו הסכום</v>
          </cell>
          <cell r="BO22" t="str">
            <v>הפרשה להוצאות שלא הוכרה לצרכי מס בגין חברות מסונפות</v>
          </cell>
          <cell r="BP22" t="str">
            <v>או</v>
          </cell>
          <cell r="BR22" t="str">
            <v xml:space="preserve">   בשורות 2-1 דלעיל:נכסים מוגנים שנרכשו</v>
          </cell>
        </row>
        <row r="23">
          <cell r="O23" t="str">
            <v>|.לתוצאות שהוצהרו על ידה לצרכי מס הכנסה, לשנת המס האמורה ‎1998 בדצמבר</v>
          </cell>
          <cell r="V23">
            <v>-533.00199999999995</v>
          </cell>
          <cell r="AD23" t="str">
            <v>הפסד הון בספרים</v>
          </cell>
          <cell r="AJ23" t="str">
            <v xml:space="preserve"> </v>
          </cell>
          <cell r="AY23">
            <v>1951.3956900764565</v>
          </cell>
          <cell r="AZ23">
            <v>0.17649999999999999</v>
          </cell>
          <cell r="BA23">
            <v>-7.3968026723931768E-3</v>
          </cell>
          <cell r="BC23">
            <v>-46563.542999999998</v>
          </cell>
          <cell r="BE23" t="str">
            <v>השקעות אחרות - מניות</v>
          </cell>
          <cell r="BF23">
            <v>12.98</v>
          </cell>
          <cell r="BN23" t="str">
            <v>הוקטן</v>
          </cell>
          <cell r="BO23" t="str">
            <v>"סכום ששולם"</v>
          </cell>
          <cell r="BR23" t="str">
            <v xml:space="preserve">   ב-1984-1982 ונכסים אחרים שנרכשו</v>
          </cell>
        </row>
        <row r="24">
          <cell r="V24">
            <v>146</v>
          </cell>
          <cell r="AD24" t="str">
            <v>הוצאות רכב מעל למוכר</v>
          </cell>
          <cell r="AJ24" t="str">
            <v xml:space="preserve"> </v>
          </cell>
          <cell r="AN24">
            <v>10208</v>
          </cell>
          <cell r="AR24" t="str">
            <v xml:space="preserve"> </v>
          </cell>
          <cell r="AS24" t="str">
            <v>השקעה בחברה מסונפת</v>
          </cell>
          <cell r="BI24">
            <v>0</v>
          </cell>
          <cell r="BN24" t="str">
            <v>מההון</v>
          </cell>
          <cell r="BO24" t="str">
            <v>הפרשה להוצאות שלא הוכרה לצרכי מס בגין השקעות אחרות</v>
          </cell>
          <cell r="BP24" t="str">
            <v>והוקטן מההון</v>
          </cell>
          <cell r="BR24" t="str">
            <v xml:space="preserve">   מ-1985)</v>
          </cell>
        </row>
        <row r="25">
          <cell r="V25">
            <v>14</v>
          </cell>
          <cell r="W25" t="str">
            <v xml:space="preserve">לגבי חלקה של החברה, בשותפות </v>
          </cell>
          <cell r="AD25" t="str">
            <v>נסיעות לחו"ל מעל למוכר</v>
          </cell>
          <cell r="AJ25" t="str">
            <v xml:space="preserve"> </v>
          </cell>
          <cell r="BE25" t="str">
            <v>|רווח (הפסד) הון</v>
          </cell>
          <cell r="BR25" t="str">
            <v xml:space="preserve">      - תאר כל נכס בנפרד -</v>
          </cell>
        </row>
        <row r="26">
          <cell r="V26">
            <v>97</v>
          </cell>
          <cell r="W26" t="str">
            <v xml:space="preserve">שבקביעת הכנסתה חלות הוראות פרק ב לחוק </v>
          </cell>
          <cell r="AD26" t="str">
            <v>הוצאות עודפות אחרות לא מוכרות</v>
          </cell>
          <cell r="AJ26" t="str">
            <v>הנדון: ערוצי זהב ושות' (שותפות רשומה)</v>
          </cell>
          <cell r="AN26">
            <v>11703</v>
          </cell>
          <cell r="AS26" t="str">
            <v>השקעות בתאגידים בשליטה משותפת</v>
          </cell>
          <cell r="BE26" t="str">
            <v>תשלום מקדמות שוטפות בגין השנה:</v>
          </cell>
          <cell r="BI26">
            <v>-530.32700000000023</v>
          </cell>
          <cell r="BO26" t="str">
            <v>הכנסות בספרים שלא נרשמו כהכנסה חייבת בגין חברות בשליטה משותפת - נטו</v>
          </cell>
        </row>
        <row r="27">
          <cell r="O27" t="str">
            <v>|בדיקת ההוצאות המפורטות בתקנות בדבר "תנאים לנכוי הוצאות מסוימות", החישובים</v>
          </cell>
          <cell r="AD27" t="str">
            <v>תרומות וקנסות</v>
          </cell>
          <cell r="AJ27" t="str">
            <v xml:space="preserve">   מקדמות על הוצאות עודפות לשנת המס 1998</v>
          </cell>
          <cell r="AR27">
            <v>23.48</v>
          </cell>
          <cell r="AT27">
            <v>-84.418999999999997</v>
          </cell>
          <cell r="AV27">
            <v>107.899</v>
          </cell>
          <cell r="AX27">
            <v>1.958</v>
          </cell>
          <cell r="AY27">
            <v>-1494.4064962316716</v>
          </cell>
          <cell r="AZ27">
            <v>0.17649999999999999</v>
          </cell>
          <cell r="BA27">
            <v>0.1597435182603848</v>
          </cell>
          <cell r="BB27">
            <v>68.174000000000007</v>
          </cell>
          <cell r="BC27">
            <v>-1651.164</v>
          </cell>
          <cell r="BE27" t="str">
            <v>|לצרכי מס הכנסה</v>
          </cell>
          <cell r="BF27" t="str">
            <v>08/03/98</v>
          </cell>
          <cell r="BH27">
            <v>8384.4030000000002</v>
          </cell>
          <cell r="BL27">
            <v>16895</v>
          </cell>
          <cell r="BR27" t="str">
            <v>לפי טופס  מחשב רצ"ב (*)</v>
          </cell>
        </row>
        <row r="28">
          <cell r="O28" t="str">
            <v>|'א‎32 י) לפקודת מס הכנסה והתקיימות התנאים המפורטים בסעיף)‎3 הדרושים לפי סעיף</v>
          </cell>
          <cell r="W28" t="str">
            <v xml:space="preserve"> סה"כ קרנות, מענקים ותאומי הון של השותפות:</v>
          </cell>
          <cell r="Y28">
            <v>5</v>
          </cell>
          <cell r="AD28" t="str">
            <v>הוצאות תמלוגים לתושבי חוץ שאינן מוכרות ע"פ סעיף 18 (ה) לפקודה</v>
          </cell>
          <cell r="AN28">
            <v>31465</v>
          </cell>
          <cell r="AS28" t="str">
            <v>השקעות בחברות אחרות</v>
          </cell>
          <cell r="AY28">
            <v>-1501.2678886297044</v>
          </cell>
          <cell r="AZ28">
            <v>0.17649999999999999</v>
          </cell>
          <cell r="BA28">
            <v>0.1549139367018324</v>
          </cell>
          <cell r="BC28">
            <v>-1710.4580000000001</v>
          </cell>
          <cell r="BF28" t="str">
            <v>01/04/98</v>
          </cell>
        </row>
        <row r="29">
          <cell r="O29" t="str">
            <v>|לפקודה, נעשו בהיקף שסוכם בין נציבות מס הכנסה לבין לשכת רואי חשבון בישראל, על</v>
          </cell>
          <cell r="V29">
            <v>693.76699999999983</v>
          </cell>
          <cell r="W29" t="str">
            <v>(הסכום בשורה 3.31 בדו"ח השותפות)</v>
          </cell>
          <cell r="AD29" t="str">
            <v>עליה בהפרשה לחופשה</v>
          </cell>
          <cell r="AJ29" t="str">
            <v xml:space="preserve"> </v>
          </cell>
          <cell r="AY29">
            <v>-1166.280334807971</v>
          </cell>
          <cell r="AZ29">
            <v>0.17649999999999999</v>
          </cell>
          <cell r="BA29">
            <v>0.12220124089560302</v>
          </cell>
          <cell r="BC29">
            <v>-1684.5039999999999</v>
          </cell>
          <cell r="BE29" t="str">
            <v>|(ג) ‎9 'הפסד ריאלי לפי ס</v>
          </cell>
          <cell r="BF29" t="str">
            <v>03/05/98</v>
          </cell>
        </row>
        <row r="30">
          <cell r="O30" t="str">
            <v>כל המשתמע מכך.</v>
          </cell>
          <cell r="T30">
            <v>648.76499999999987</v>
          </cell>
          <cell r="AJ30" t="str">
            <v xml:space="preserve"> </v>
          </cell>
          <cell r="AN30">
            <v>5165.0390000000007</v>
          </cell>
          <cell r="AS30" t="str">
            <v>מס ששולם ביתר בגין שנים קודמות</v>
          </cell>
          <cell r="AT30">
            <v>-68.671000000000006</v>
          </cell>
          <cell r="AY30">
            <v>-1359.5872968540332</v>
          </cell>
          <cell r="AZ30">
            <v>0.17649999999999999</v>
          </cell>
          <cell r="BA30">
            <v>0.14035087719298245</v>
          </cell>
          <cell r="BC30">
            <v>-1709.7660000000001</v>
          </cell>
          <cell r="BE30" t="str">
            <v>לחוק התאומים</v>
          </cell>
          <cell r="BF30" t="str">
            <v>01/06/98</v>
          </cell>
        </row>
        <row r="31">
          <cell r="W31" t="str">
            <v>סכום הנכסים הקבועים  של  השותפות: (הסכום בשורה 4.1 בדו"ח השותפות)</v>
          </cell>
          <cell r="Y31">
            <v>6</v>
          </cell>
          <cell r="AD31" t="str">
            <v>רווח לפני יישום הוראות חוק מס הכנסה</v>
          </cell>
          <cell r="AJ31" t="str">
            <v xml:space="preserve"> </v>
          </cell>
          <cell r="AY31">
            <v>-1315.1979872385989</v>
          </cell>
          <cell r="AZ31">
            <v>0.17649999999999999</v>
          </cell>
          <cell r="BA31">
            <v>0.1350613915416099</v>
          </cell>
          <cell r="BC31">
            <v>-1718.7180000000001</v>
          </cell>
          <cell r="BF31" t="str">
            <v>01/07/98</v>
          </cell>
        </row>
        <row r="32">
          <cell r="T32" t="e">
            <v>#REF!</v>
          </cell>
          <cell r="AD32" t="str">
            <v>(תאומים בשל אינפלציה) התשמ"ה-1985</v>
          </cell>
          <cell r="AJ32" t="str">
            <v xml:space="preserve"> </v>
          </cell>
          <cell r="AY32">
            <v>-1404.8756999576431</v>
          </cell>
          <cell r="AZ32">
            <v>0.17649999999999999</v>
          </cell>
          <cell r="BA32">
            <v>0.14128943758573387</v>
          </cell>
          <cell r="BC32">
            <v>-1754.9829999999999</v>
          </cell>
          <cell r="BE32" t="str">
            <v>|קזוז רווח הון ראלי מהפסד הון</v>
          </cell>
          <cell r="BF32" t="str">
            <v>03/08/98</v>
          </cell>
        </row>
        <row r="33">
          <cell r="AJ33" t="str">
            <v xml:space="preserve"> </v>
          </cell>
          <cell r="AT33">
            <v>68.174000000000007</v>
          </cell>
          <cell r="AV33">
            <v>-68.174000000000007</v>
          </cell>
          <cell r="AY33">
            <v>-1215.4312985272788</v>
          </cell>
          <cell r="AZ33">
            <v>0.17649999999999999</v>
          </cell>
          <cell r="BA33">
            <v>0.12311015118790491</v>
          </cell>
          <cell r="BB33">
            <v>-68.174000000000007</v>
          </cell>
          <cell r="BC33">
            <v>-1742.5340000000001</v>
          </cell>
          <cell r="BE33" t="str">
            <v>השנה</v>
          </cell>
          <cell r="BF33" t="str">
            <v>20/08/98</v>
          </cell>
          <cell r="BH33">
            <v>0</v>
          </cell>
          <cell r="BL33">
            <v>0</v>
          </cell>
        </row>
        <row r="34">
          <cell r="O34" t="str">
            <v>|לדעתנו, בכפיפות לאמור בפיסקה הקודמת, ההתאמה הנ"ל נערכה בהתאם להוראות פקודת</v>
          </cell>
          <cell r="W34" t="str">
            <v>סכום השנויים בהון ובנכסים של השותפות: (הסכום בשורה 4.9 בדו"ח</v>
          </cell>
          <cell r="Y34">
            <v>7</v>
          </cell>
          <cell r="AD34" t="str">
            <v>השפעת האינפלציה בגין אובדן ממירים וגריעת</v>
          </cell>
          <cell r="AO34" t="str">
            <v>|כמבקרי החשבונות של השותפות הנ"ל הרינו מאשרים בזה כי בהתאם לספרי החשבונות של</v>
          </cell>
          <cell r="AY34">
            <v>-887.2320660420902</v>
          </cell>
          <cell r="AZ34">
            <v>0.17649999999999999</v>
          </cell>
          <cell r="BA34">
            <v>8.276939094221758E-2</v>
          </cell>
          <cell r="BC34">
            <v>-1891.961</v>
          </cell>
          <cell r="BF34" t="str">
            <v>20/09/98</v>
          </cell>
        </row>
        <row r="35">
          <cell r="O35" t="str">
            <v>מס הכנסה וחוק מס הכנסה (תאומים בשל אינפלציה) התשמ"ה-1985.</v>
          </cell>
          <cell r="W35" t="str">
            <v>השותפות)</v>
          </cell>
          <cell r="AD35" t="str">
            <v>הוצאות התקנה בגין מנויים שפרשו (נספח א')</v>
          </cell>
          <cell r="AO35" t="str">
            <v>|השותפות אשר בוקרו על ידנו, שולמו על ידה מקדמות על הוצאות עודפות בגין השנה</v>
          </cell>
          <cell r="AY35">
            <v>0</v>
          </cell>
          <cell r="AZ35">
            <v>0.17649999999999999</v>
          </cell>
          <cell r="BA35">
            <v>0</v>
          </cell>
          <cell r="BC35">
            <v>-168.767</v>
          </cell>
          <cell r="BE35" t="str">
            <v>|קזוז סכום אינפלציוני</v>
          </cell>
          <cell r="BF35" t="str">
            <v>01/02/99</v>
          </cell>
          <cell r="BQ35">
            <v>17094.646000000001</v>
          </cell>
        </row>
        <row r="36">
          <cell r="T36">
            <v>0</v>
          </cell>
          <cell r="AD36" t="str">
            <v xml:space="preserve">                      (ראה 1)</v>
          </cell>
          <cell r="AM36" t="str">
            <v>ש"ח.</v>
          </cell>
          <cell r="AN36">
            <v>704250</v>
          </cell>
          <cell r="AO36" t="str">
            <v>הנ"ל בסך</v>
          </cell>
          <cell r="BE36" t="str">
            <v>|מהפסד הון לפי יחס</v>
          </cell>
        </row>
        <row r="37">
          <cell r="W37" t="str">
            <v xml:space="preserve">חלקה של השותפות הנ"ל בהון, בנכסים הקבועים ובשנויים בהם, </v>
          </cell>
          <cell r="Y37">
            <v>8</v>
          </cell>
          <cell r="AJ37" t="str">
            <v xml:space="preserve"> </v>
          </cell>
          <cell r="AT37">
            <v>1</v>
          </cell>
          <cell r="AV37">
            <v>-1.958</v>
          </cell>
          <cell r="AX37">
            <v>-1.958</v>
          </cell>
          <cell r="BE37" t="str">
            <v>1:3.5</v>
          </cell>
          <cell r="BQ37">
            <v>-199.678</v>
          </cell>
        </row>
        <row r="38">
          <cell r="T38" t="e">
            <v>#REF!</v>
          </cell>
          <cell r="W38" t="str">
            <v>של שותפות אחרת</v>
          </cell>
          <cell r="AJ38" t="str">
            <v xml:space="preserve"> </v>
          </cell>
        </row>
        <row r="39">
          <cell r="W39" t="str">
            <v xml:space="preserve">(סה"כ הסכומים המופיעים בשורות </v>
          </cell>
          <cell r="AM39" t="str">
            <v>סכום המקדמות הנ"ל שולם לפ"ש גוש דן בתיק נכויים מס' 939240727.</v>
          </cell>
          <cell r="BC39">
            <v>-14032.855</v>
          </cell>
          <cell r="BE39" t="str">
            <v>סה"כ</v>
          </cell>
          <cell r="BQ39">
            <v>16894.968000000001</v>
          </cell>
        </row>
        <row r="40">
          <cell r="T40">
            <v>-8384.4030000000002</v>
          </cell>
          <cell r="W40" t="str">
            <v xml:space="preserve">3.31- 4.1- 4.9 כפול חלקה של השותפות הנ"ל </v>
          </cell>
          <cell r="AD40" t="str">
            <v>נכוי בשל פחת (ראה 2)</v>
          </cell>
          <cell r="AM40" t="str">
            <v xml:space="preserve"> </v>
          </cell>
          <cell r="BE40" t="str">
            <v>תשלום נכוי במקור בגין השנה:</v>
          </cell>
        </row>
        <row r="41">
          <cell r="W41" t="str">
            <v xml:space="preserve">ברווחים של השותפות האחרת)- להלן:        X %     =  </v>
          </cell>
          <cell r="AM41" t="str">
            <v xml:space="preserve"> </v>
          </cell>
          <cell r="AV41">
            <v>37.766999999999996</v>
          </cell>
          <cell r="AX41">
            <v>0</v>
          </cell>
          <cell r="AY41">
            <v>-3.4098316947175475</v>
          </cell>
          <cell r="AZ41">
            <v>0.17649999999999999</v>
          </cell>
          <cell r="BA41">
            <v>0.17647058823529416</v>
          </cell>
          <cell r="BB41">
            <v>0</v>
          </cell>
          <cell r="BC41">
            <v>-3.4103999999999997</v>
          </cell>
          <cell r="BF41">
            <v>1.98</v>
          </cell>
        </row>
        <row r="42">
          <cell r="T42" t="e">
            <v>#REF!</v>
          </cell>
          <cell r="AD42" t="str">
            <v>רווח לחלוקה בין השותפים כמפורט בט' 1392/ג'</v>
          </cell>
          <cell r="AM42" t="str">
            <v>זקיפת המקדמות על הוצאות עודפות בין השותפים:</v>
          </cell>
          <cell r="AY42">
            <v>-8.9735760957763357</v>
          </cell>
          <cell r="AZ42">
            <v>0.17649999999999999</v>
          </cell>
          <cell r="BA42">
            <v>0.16136236739251819</v>
          </cell>
          <cell r="BC42">
            <v>-9.8154000000000003</v>
          </cell>
          <cell r="BF42">
            <v>3.98</v>
          </cell>
        </row>
        <row r="43">
          <cell r="N43" t="str">
            <v xml:space="preserve">רמת - גן , 16 באוגוסט 1998                </v>
          </cell>
          <cell r="W43" t="str">
            <v>סה"כ לענין השותפות: (סיכום שלילי יירשם בסוגריים)</v>
          </cell>
          <cell r="Y43">
            <v>9</v>
          </cell>
          <cell r="AK43" t="str">
            <v>ש"ח</v>
          </cell>
          <cell r="AR43" t="str">
            <v xml:space="preserve"> </v>
          </cell>
          <cell r="AT43">
            <v>-83.915999999999997</v>
          </cell>
          <cell r="AY43">
            <v>-1.7815712023160646</v>
          </cell>
          <cell r="AZ43">
            <v>0.17649999999999999</v>
          </cell>
          <cell r="BA43">
            <v>0.15651932165693649</v>
          </cell>
          <cell r="BC43">
            <v>-2.0089999999999999</v>
          </cell>
          <cell r="BE43" t="str">
            <v>סה"כ</v>
          </cell>
          <cell r="BF43">
            <v>4.9800000000000004</v>
          </cell>
        </row>
        <row r="44">
          <cell r="AD44" t="str">
            <v>הפסד הון לצרכי מס הכנסה לחלוקה בין</v>
          </cell>
          <cell r="AJ44" t="str">
            <v xml:space="preserve"> </v>
          </cell>
          <cell r="AR44" t="str">
            <v xml:space="preserve"> </v>
          </cell>
          <cell r="AY44">
            <v>-0.25259203699456345</v>
          </cell>
          <cell r="AZ44">
            <v>0.17649999999999999</v>
          </cell>
          <cell r="BA44">
            <v>0.13785557986870889</v>
          </cell>
          <cell r="BC44">
            <v>-0.32339999999999997</v>
          </cell>
          <cell r="BF44">
            <v>6.98</v>
          </cell>
        </row>
        <row r="45">
          <cell r="T45">
            <v>83.915999999999997</v>
          </cell>
          <cell r="AD45" t="str">
            <v xml:space="preserve">               השותפים (ראה נספח ב')</v>
          </cell>
          <cell r="AK45">
            <v>492975.00000000006</v>
          </cell>
          <cell r="AL45" t="str">
            <v>עורק שרותי מידע מקומי בע"מ</v>
          </cell>
          <cell r="AR45" t="str">
            <v xml:space="preserve"> </v>
          </cell>
          <cell r="AY45">
            <v>-0.46015075116786996</v>
          </cell>
          <cell r="AZ45">
            <v>0.17649999999999999</v>
          </cell>
          <cell r="BA45">
            <v>0.13444232342514328</v>
          </cell>
          <cell r="BC45">
            <v>-0.60409999999999986</v>
          </cell>
          <cell r="BF45">
            <v>7.98</v>
          </cell>
        </row>
        <row r="46">
          <cell r="W46" t="str">
            <v>הכפל באחוז חלקה של החברה ברווחי השותפות:</v>
          </cell>
          <cell r="Y46">
            <v>9</v>
          </cell>
          <cell r="AJ46" t="str">
            <v xml:space="preserve"> </v>
          </cell>
          <cell r="AR46" t="str">
            <v xml:space="preserve"> </v>
          </cell>
          <cell r="AY46">
            <v>-1.7217571500640301</v>
          </cell>
          <cell r="AZ46">
            <v>0.17649999999999999</v>
          </cell>
          <cell r="BA46">
            <v>0.13972602739726026</v>
          </cell>
          <cell r="BC46">
            <v>-2.1748999999999996</v>
          </cell>
          <cell r="BF46">
            <v>8.98</v>
          </cell>
        </row>
        <row r="47">
          <cell r="T47">
            <v>30.59</v>
          </cell>
          <cell r="AD47" t="str">
            <v>תרומות מוכרות לחלוקה בין השותפים (לפי פרוט מצורף)</v>
          </cell>
          <cell r="AK47">
            <v>211275</v>
          </cell>
          <cell r="AL47" t="str">
            <v>ידיעות תקשורת בע"מ</v>
          </cell>
          <cell r="AR47" t="str">
            <v xml:space="preserve"> </v>
          </cell>
          <cell r="AY47">
            <v>-6.4982667604814068E-2</v>
          </cell>
          <cell r="AZ47">
            <v>0.17649999999999999</v>
          </cell>
          <cell r="BA47">
            <v>8.1924577373212015E-2</v>
          </cell>
          <cell r="BC47">
            <v>-0.14000000000000001</v>
          </cell>
          <cell r="BF47">
            <v>10.98</v>
          </cell>
        </row>
        <row r="48">
          <cell r="AJ48" t="str">
            <v xml:space="preserve"> </v>
          </cell>
          <cell r="AR48" t="str">
            <v xml:space="preserve"> </v>
          </cell>
          <cell r="AY48">
            <v>7.3487752041326265E-2</v>
          </cell>
          <cell r="AZ48">
            <v>0.17649999999999999</v>
          </cell>
          <cell r="BA48">
            <v>-2.1176470588235241E-2</v>
          </cell>
          <cell r="BC48">
            <v>-0.61250000000000004</v>
          </cell>
          <cell r="BF48">
            <v>11.98</v>
          </cell>
        </row>
        <row r="49">
          <cell r="N49" t="str">
            <v>קסלמן וקסלמן</v>
          </cell>
          <cell r="Q49">
            <v>114330.95240872243</v>
          </cell>
          <cell r="T49" t="str">
            <v>הערות:</v>
          </cell>
          <cell r="W49" t="str">
            <v xml:space="preserve">  סיכום ההון כהגדרתו בסעיף 7(א) לחוק: (סיכום שלילי יירשם בסוגריים)</v>
          </cell>
          <cell r="Y49">
            <v>10</v>
          </cell>
          <cell r="AJ49" t="str">
            <v xml:space="preserve"> </v>
          </cell>
          <cell r="AK49">
            <v>704250</v>
          </cell>
          <cell r="AR49" t="str">
            <v xml:space="preserve"> </v>
          </cell>
          <cell r="AY49">
            <v>5.3097727965564613E-3</v>
          </cell>
          <cell r="AZ49">
            <v>0.17649999999999999</v>
          </cell>
          <cell r="BA49">
            <v>-7.3968026723931768E-3</v>
          </cell>
          <cell r="BC49">
            <v>-0.12669999999999998</v>
          </cell>
          <cell r="BF49">
            <v>12.98</v>
          </cell>
        </row>
        <row r="50">
          <cell r="N50" t="str">
            <v>רואי חשבון</v>
          </cell>
          <cell r="AD50" t="str">
            <v>השפעת האינפלציה בגין אובדן ממירים וגריעת הוצאות התקנה בגין מנויים שפרשו נדרשה כהוצאה הואיל והם</v>
          </cell>
          <cell r="AF50" t="str">
            <v>(1</v>
          </cell>
          <cell r="AJ50" t="str">
            <v xml:space="preserve"> </v>
          </cell>
        </row>
        <row r="51">
          <cell r="W51" t="str">
            <v xml:space="preserve"> הכפל כאמור בסעיף 7(ב) - סיכום חיובי, או 7(ד) לחוק - סיכום שלילי - לפי הענין:</v>
          </cell>
          <cell r="AD51" t="str">
            <v>מהווים נכס קבוע.</v>
          </cell>
          <cell r="AJ51" t="str">
            <v xml:space="preserve"> </v>
          </cell>
          <cell r="BH51">
            <v>8384.4030000000002</v>
          </cell>
          <cell r="BL51">
            <v>16895</v>
          </cell>
        </row>
        <row r="52">
          <cell r="Q52">
            <v>0.17649999999999999</v>
          </cell>
          <cell r="W52" t="str">
            <v xml:space="preserve">שיעור עליית שער החליפין על פי חוזר הנציבות מס' 86/4 </v>
          </cell>
          <cell r="Y52">
            <v>11</v>
          </cell>
          <cell r="AD52" t="str">
            <v>כולל נכוי בשל פחת בסך 31 אלפי ש"ח בגין כלי רכב פרטיים ביחס לסכום ההוצאה המוכרת ע"פ התקנות.</v>
          </cell>
          <cell r="AF52" t="str">
            <v>(2</v>
          </cell>
          <cell r="AJ52" t="str">
            <v xml:space="preserve"> </v>
          </cell>
        </row>
        <row r="53">
          <cell r="L53" t="str">
            <v>.1</v>
          </cell>
          <cell r="T53" t="str">
            <v>הוצאות התפעול כוללות סכומים כמפורט בבאור 15 לדוחות הכספיים.</v>
          </cell>
          <cell r="W53" t="str">
            <v>מיום 1 באוגוסט 1986</v>
          </cell>
          <cell r="AJ53" t="str">
            <v xml:space="preserve"> </v>
          </cell>
          <cell r="BC53">
            <v>-19.2164</v>
          </cell>
          <cell r="BE53" t="str">
            <v>סה"כ</v>
          </cell>
        </row>
        <row r="54">
          <cell r="AJ54" t="str">
            <v xml:space="preserve"> </v>
          </cell>
          <cell r="AL54" t="str">
            <v xml:space="preserve">          רמת - גן , 16 באוגוסט 1998                </v>
          </cell>
        </row>
        <row r="55">
          <cell r="W55" t="str">
            <v xml:space="preserve"> תוצאה חיובית תנוכה בדו"ח התאום שורה 17 בגבולות התיקרות / </v>
          </cell>
          <cell r="Y55">
            <v>12</v>
          </cell>
          <cell r="AJ55" t="str">
            <v xml:space="preserve"> </v>
          </cell>
        </row>
        <row r="56">
          <cell r="P56">
            <v>36023</v>
          </cell>
          <cell r="Q56">
            <v>20179</v>
          </cell>
          <cell r="W56" t="str">
            <v xml:space="preserve"> תוצאה שלילית תועבר לדו"ח בשורה 16:</v>
          </cell>
          <cell r="AJ56" t="str">
            <v>בכבוד רב,</v>
          </cell>
          <cell r="BE56" t="str">
            <v>תשלום מקדמות עודפות בגין השנה:</v>
          </cell>
        </row>
        <row r="57">
          <cell r="V57" t="str">
            <v>מנהל</v>
          </cell>
          <cell r="Y57" t="str">
            <v>מנהל</v>
          </cell>
          <cell r="AY57">
            <v>-12.569561514798675</v>
          </cell>
          <cell r="AZ57">
            <v>0.17649999999999999</v>
          </cell>
          <cell r="BA57">
            <v>0.16006692693809277</v>
          </cell>
          <cell r="BC57">
            <v>-13.860000000000001</v>
          </cell>
          <cell r="BF57" t="str">
            <v>25/02/98</v>
          </cell>
        </row>
        <row r="58">
          <cell r="L58" t="str">
            <v>.2</v>
          </cell>
          <cell r="P58">
            <v>0</v>
          </cell>
          <cell r="X58" t="str">
            <v>:הערה</v>
          </cell>
          <cell r="AY58">
            <v>-70.122179451315333</v>
          </cell>
          <cell r="AZ58">
            <v>0.17649999999999999</v>
          </cell>
          <cell r="BA58">
            <v>0.1571627260083448</v>
          </cell>
          <cell r="BC58">
            <v>-78.750000000000014</v>
          </cell>
          <cell r="BF58" t="str">
            <v>24/03/98</v>
          </cell>
        </row>
        <row r="59">
          <cell r="X59" t="str">
            <v xml:space="preserve">יש לשים לב לכך, שפרט לסכומים בשורות 3 ו - 6 שיש לרשמם תמיד בסוגריים - יתר הסכומים המבטאים הון, תיאומי הון ושינויים נטו </v>
          </cell>
          <cell r="AY59">
            <v>-20.201476544561267</v>
          </cell>
          <cell r="AZ59">
            <v>0.17649999999999999</v>
          </cell>
          <cell r="BA59">
            <v>0.11319240032111311</v>
          </cell>
          <cell r="BC59">
            <v>-31.500000000000004</v>
          </cell>
          <cell r="BF59" t="str">
            <v>20/04/98</v>
          </cell>
        </row>
        <row r="60">
          <cell r="X60" t="str">
            <v xml:space="preserve">עשויים להיות גם בסיכום שליליברשימות המתאימות או בדו"ח השותפות. </v>
          </cell>
          <cell r="AY60">
            <v>-19.037807262765394</v>
          </cell>
          <cell r="AZ60">
            <v>0.17649999999999999</v>
          </cell>
          <cell r="BA60">
            <v>0.14222954420648004</v>
          </cell>
          <cell r="BC60">
            <v>-23.625000000000004</v>
          </cell>
          <cell r="BF60" t="str">
            <v>24/05/98</v>
          </cell>
        </row>
        <row r="61">
          <cell r="X61" t="str">
            <v>אי לכך בנספח זה, יש להקפיד ולרשום בסוגריים  כל סיכום המתקבל כסכום שלילי.</v>
          </cell>
          <cell r="AJ61" t="str">
            <v>קסלמן וקסלמן</v>
          </cell>
          <cell r="AY61">
            <v>-30.684488051553885</v>
          </cell>
          <cell r="AZ61">
            <v>0.17649999999999999</v>
          </cell>
          <cell r="BA61">
            <v>0.137544435329505</v>
          </cell>
          <cell r="BC61">
            <v>-39.375000000000007</v>
          </cell>
          <cell r="BF61" t="str">
            <v>24/06/98</v>
          </cell>
        </row>
        <row r="62">
          <cell r="AB62">
            <v>26788</v>
          </cell>
          <cell r="AG62" t="str">
            <v>סה"כ סכום ההון: (סיכום שלילי יירשם בסוגריים)</v>
          </cell>
          <cell r="AJ62" t="str">
            <v>רואי חשבון</v>
          </cell>
          <cell r="AN62">
            <v>65663.821200000006</v>
          </cell>
          <cell r="AO62" t="str">
            <v>סה"כ סכום הנכסים הקבועים:</v>
          </cell>
          <cell r="AY62">
            <v>-24.04918329214636</v>
          </cell>
          <cell r="AZ62">
            <v>0.17649999999999999</v>
          </cell>
          <cell r="BA62">
            <v>0.13475177304964547</v>
          </cell>
          <cell r="BC62">
            <v>-31.500000000000004</v>
          </cell>
          <cell r="BF62" t="str">
            <v>26/07/98</v>
          </cell>
          <cell r="BH62">
            <v>36023</v>
          </cell>
          <cell r="BI62">
            <v>29568.382999999998</v>
          </cell>
          <cell r="BJ62" t="str">
            <v>ראה מכתבנו מיום</v>
          </cell>
          <cell r="BK62" t="str">
            <v>סה"כ תאומי ההון: (סיכום שלילי יירשם בסוגריים)</v>
          </cell>
        </row>
        <row r="63">
          <cell r="AY63">
            <v>-68.687087546705385</v>
          </cell>
          <cell r="AZ63">
            <v>0.17649999999999999</v>
          </cell>
          <cell r="BA63">
            <v>0.12828858150257672</v>
          </cell>
          <cell r="BC63">
            <v>-94.5</v>
          </cell>
          <cell r="BF63" t="str">
            <v>17/08/98</v>
          </cell>
          <cell r="BH63" t="str">
            <v>קסלמן וקסלמן רו"ח</v>
          </cell>
        </row>
        <row r="64">
          <cell r="L64" t="str">
            <v>ראה מכתבנו מיום</v>
          </cell>
          <cell r="AJ64" t="str">
            <v xml:space="preserve"> </v>
          </cell>
          <cell r="AY64">
            <v>-29.644369347276591</v>
          </cell>
          <cell r="AZ64">
            <v>0.17649999999999999</v>
          </cell>
          <cell r="BA64">
            <v>8.3051288726893935E-2</v>
          </cell>
          <cell r="BC64">
            <v>-62.999999999999993</v>
          </cell>
          <cell r="BF64" t="str">
            <v>15/09/98</v>
          </cell>
          <cell r="BN64" t="str">
            <v>חותמת המייצג לשם זהוי:</v>
          </cell>
        </row>
        <row r="65">
          <cell r="AY65">
            <v>2.6126923779782443</v>
          </cell>
          <cell r="AZ65">
            <v>0.17649999999999999</v>
          </cell>
          <cell r="BA65">
            <v>-9.7595810521303727E-3</v>
          </cell>
          <cell r="BC65">
            <v>-47.25</v>
          </cell>
          <cell r="BF65" t="str">
            <v>15/10/98</v>
          </cell>
          <cell r="BS65" t="str">
            <v>קסלמן וקסלמן רו"ח</v>
          </cell>
        </row>
        <row r="66">
          <cell r="O66" t="str">
            <v>קסלמן וקסלמן רו"ח</v>
          </cell>
          <cell r="T66" t="str">
            <v xml:space="preserve">חותמת המייצג לשם זהוי: </v>
          </cell>
          <cell r="X66" t="str">
            <v xml:space="preserve">:חתימת המנהלים </v>
          </cell>
          <cell r="AY66">
            <v>0.19263999695580428</v>
          </cell>
          <cell r="AZ66">
            <v>0.17649999999999999</v>
          </cell>
          <cell r="BA66">
            <v>-2.1587910769967911E-3</v>
          </cell>
          <cell r="BC66">
            <v>-15.749999999999998</v>
          </cell>
          <cell r="BF66" t="str">
            <v>24/11/98</v>
          </cell>
        </row>
        <row r="67">
          <cell r="AX67" t="str">
            <v>7TG</v>
          </cell>
          <cell r="AY67">
            <v>1.4719636136825172</v>
          </cell>
          <cell r="AZ67">
            <v>0.17649999999999999</v>
          </cell>
          <cell r="BA67">
            <v>-5.4984460913219957E-3</v>
          </cell>
          <cell r="BC67">
            <v>-47.25</v>
          </cell>
          <cell r="BF67" t="str">
            <v>23/12/98</v>
          </cell>
        </row>
        <row r="68">
          <cell r="O68" t="str">
            <v>1TG</v>
          </cell>
          <cell r="AM68" t="str">
            <v>6tg</v>
          </cell>
          <cell r="AY68">
            <v>0</v>
          </cell>
          <cell r="AZ68">
            <v>0.17649999999999999</v>
          </cell>
          <cell r="BA68">
            <v>0</v>
          </cell>
          <cell r="BC68">
            <v>-55.838999999999999</v>
          </cell>
          <cell r="BF68" t="str">
            <v>31/12/98</v>
          </cell>
        </row>
        <row r="69">
          <cell r="BR69">
            <v>36037</v>
          </cell>
          <cell r="BS69" t="str">
            <v>ראה מכתבנו מיום</v>
          </cell>
        </row>
        <row r="71">
          <cell r="BC71">
            <v>-542.19900000000007</v>
          </cell>
        </row>
        <row r="72">
          <cell r="T72" t="str">
            <v>2tg</v>
          </cell>
          <cell r="AT72">
            <v>68.174000000000007</v>
          </cell>
          <cell r="AV72">
            <v>-68.174000000000007</v>
          </cell>
          <cell r="AX72">
            <v>-16258.099163942479</v>
          </cell>
          <cell r="BB72">
            <v>-68.174000000000007</v>
          </cell>
          <cell r="BC72" t="str">
            <v>קזוז רווח ראלי מהפסד הון</v>
          </cell>
          <cell r="BE72" t="str">
            <v>סה"כ</v>
          </cell>
        </row>
        <row r="74">
          <cell r="AZ74" t="str">
            <v>סה"כ נטו שנויים בהון ובנכסים במשך השנה:</v>
          </cell>
        </row>
        <row r="75">
          <cell r="AX75">
            <v>123638.39060872243</v>
          </cell>
        </row>
        <row r="76">
          <cell r="T76" t="str">
            <v>ערוצי זהב ושות'</v>
          </cell>
        </row>
        <row r="77">
          <cell r="T77" t="str">
            <v>שותפות רשומה</v>
          </cell>
        </row>
        <row r="78">
          <cell r="T78" t="str">
            <v>פרוטים</v>
          </cell>
          <cell r="BD78" t="str">
            <v>דיבידנד ששולם למעט מתוך דיבידנד שנתקבל</v>
          </cell>
        </row>
        <row r="79">
          <cell r="T79" t="str">
            <v>דוח רווח והפסד מותאם לצרכי מס הכנסה</v>
          </cell>
        </row>
        <row r="80">
          <cell r="T80" t="str">
            <v>לשנת המס 1998</v>
          </cell>
        </row>
        <row r="82">
          <cell r="AA82" t="str">
            <v>נסיעות</v>
          </cell>
          <cell r="AC82" t="str">
            <v>השתתפות</v>
          </cell>
        </row>
        <row r="83">
          <cell r="V83" t="str">
            <v>סה"כ</v>
          </cell>
          <cell r="X83" t="str">
            <v>רכב</v>
          </cell>
          <cell r="AA83" t="str">
            <v>לחו"ל</v>
          </cell>
          <cell r="AC83" t="str">
            <v>בהוצאות</v>
          </cell>
        </row>
        <row r="85">
          <cell r="V85">
            <v>3727.1759999999999</v>
          </cell>
          <cell r="X85">
            <v>3560.145</v>
          </cell>
          <cell r="AA85">
            <v>167.03100000000001</v>
          </cell>
          <cell r="AD85" t="str">
            <v>תפעול</v>
          </cell>
        </row>
        <row r="87">
          <cell r="V87">
            <v>180.64</v>
          </cell>
          <cell r="X87">
            <v>180.64</v>
          </cell>
          <cell r="AD87" t="str">
            <v>מכירה</v>
          </cell>
        </row>
        <row r="89">
          <cell r="V89">
            <v>762.74599999999998</v>
          </cell>
          <cell r="X89">
            <v>762.74599999999998</v>
          </cell>
          <cell r="AD89" t="str">
            <v>הנהלה</v>
          </cell>
        </row>
        <row r="91">
          <cell r="V91">
            <v>4670.5619999999999</v>
          </cell>
          <cell r="X91">
            <v>4503.5309999999999</v>
          </cell>
          <cell r="AA91">
            <v>167.03100000000001</v>
          </cell>
          <cell r="AC91">
            <v>0</v>
          </cell>
        </row>
        <row r="93">
          <cell r="V93">
            <v>0</v>
          </cell>
          <cell r="X93">
            <v>0</v>
          </cell>
          <cell r="AC93">
            <v>0</v>
          </cell>
          <cell r="AD93" t="str">
            <v>פחות פחת</v>
          </cell>
        </row>
        <row r="95">
          <cell r="V95">
            <v>4503.5309999999999</v>
          </cell>
          <cell r="X95">
            <v>4503.5309999999999</v>
          </cell>
          <cell r="AC95">
            <v>0</v>
          </cell>
        </row>
        <row r="96">
          <cell r="AD96" t="str">
            <v>הוון</v>
          </cell>
        </row>
        <row r="98">
          <cell r="V98">
            <v>4503.5309999999999</v>
          </cell>
          <cell r="X98">
            <v>4503.5309999999999</v>
          </cell>
          <cell r="AC98">
            <v>0</v>
          </cell>
          <cell r="AD98" t="str">
            <v>סה"כ הוצ'</v>
          </cell>
        </row>
        <row r="100">
          <cell r="AA100">
            <v>-157.4935299</v>
          </cell>
          <cell r="AD100" t="str">
            <v>מוכר</v>
          </cell>
        </row>
        <row r="102">
          <cell r="AA102">
            <v>9.5374701000000073</v>
          </cell>
          <cell r="AD102" t="str">
            <v>מעל למוכר</v>
          </cell>
        </row>
        <row r="104">
          <cell r="AD104" t="str">
            <v>הוצאות לא מוכרות</v>
          </cell>
        </row>
        <row r="105">
          <cell r="AC105">
            <v>27.323</v>
          </cell>
          <cell r="AE105" t="str">
            <v>בגוד</v>
          </cell>
        </row>
        <row r="106">
          <cell r="AC106">
            <v>88.558000000000007</v>
          </cell>
          <cell r="AE106" t="str">
            <v>כבודים</v>
          </cell>
        </row>
        <row r="107">
          <cell r="AC107">
            <v>0</v>
          </cell>
          <cell r="AD107" t="str">
            <v>טיולים ,מסיבות נופש,פרסים,נק' זהב</v>
          </cell>
        </row>
        <row r="108">
          <cell r="AC108">
            <v>1.446</v>
          </cell>
          <cell r="AE108" t="str">
            <v>מתנות</v>
          </cell>
        </row>
        <row r="109">
          <cell r="AC109">
            <v>0</v>
          </cell>
          <cell r="AE109" t="str">
            <v>חיוב טל"מ</v>
          </cell>
        </row>
        <row r="110">
          <cell r="AC110">
            <v>0</v>
          </cell>
          <cell r="AE110" t="str">
            <v>שווי</v>
          </cell>
        </row>
        <row r="111">
          <cell r="AC111">
            <v>0</v>
          </cell>
          <cell r="AD111" t="str">
            <v>שווי בכירים</v>
          </cell>
        </row>
        <row r="112">
          <cell r="AC112">
            <v>42.567</v>
          </cell>
          <cell r="AD112" t="str">
            <v>כבוד מחוץ לעסק</v>
          </cell>
        </row>
        <row r="114">
          <cell r="AC114">
            <v>159.89400000000001</v>
          </cell>
        </row>
        <row r="116">
          <cell r="AB116" t="str">
            <v>בדיקת "מעגל" רכוש</v>
          </cell>
        </row>
        <row r="117">
          <cell r="T117">
            <v>-26663.710000000006</v>
          </cell>
          <cell r="V117" t="str">
            <v xml:space="preserve"> בקורת תוספות רכוש קבוע</v>
          </cell>
          <cell r="AA117" t="str">
            <v>מס</v>
          </cell>
          <cell r="AC117" t="str">
            <v>ספרים</v>
          </cell>
        </row>
        <row r="118">
          <cell r="T118" t="str">
            <v>====</v>
          </cell>
          <cell r="AA118">
            <v>120746</v>
          </cell>
          <cell r="AC118">
            <v>122451.887</v>
          </cell>
          <cell r="AD118" t="str">
            <v>י.פ. רכוש קבוע</v>
          </cell>
        </row>
        <row r="119">
          <cell r="AA119">
            <v>45571.370999999999</v>
          </cell>
          <cell r="AC119">
            <v>45571.370999999999</v>
          </cell>
          <cell r="AD119" t="str">
            <v>רכישות השנה</v>
          </cell>
        </row>
        <row r="120">
          <cell r="O120">
            <v>11</v>
          </cell>
          <cell r="Q120">
            <v>11</v>
          </cell>
          <cell r="S120">
            <v>1</v>
          </cell>
          <cell r="T120">
            <v>9</v>
          </cell>
          <cell r="U120">
            <v>9</v>
          </cell>
          <cell r="V120">
            <v>9</v>
          </cell>
          <cell r="W120">
            <v>9</v>
          </cell>
          <cell r="X120">
            <v>9</v>
          </cell>
          <cell r="Y120">
            <v>1</v>
          </cell>
          <cell r="AA120">
            <v>-322.38900000000001</v>
          </cell>
          <cell r="AC120">
            <v>-322.38900000000001</v>
          </cell>
          <cell r="AD120" t="str">
            <v>תמורה ממכירת רכוש</v>
          </cell>
        </row>
        <row r="121">
          <cell r="T121">
            <v>0</v>
          </cell>
          <cell r="AA121">
            <v>23.48</v>
          </cell>
          <cell r="AC121">
            <v>533.00199999999995</v>
          </cell>
          <cell r="AD121" t="str">
            <v>רווח הון</v>
          </cell>
        </row>
        <row r="122">
          <cell r="AA122">
            <v>-17094.646000000001</v>
          </cell>
          <cell r="AC122">
            <v>0</v>
          </cell>
          <cell r="AD122" t="str">
            <v>פחת השנה</v>
          </cell>
        </row>
        <row r="123">
          <cell r="T123">
            <v>0</v>
          </cell>
          <cell r="AA123">
            <v>-1216.1489999999999</v>
          </cell>
          <cell r="AC123">
            <v>-1216.1489999999999</v>
          </cell>
          <cell r="AD123" t="str">
            <v>גריעת שלוחות וממירים</v>
          </cell>
        </row>
        <row r="124">
          <cell r="T124">
            <v>533.00199999999995</v>
          </cell>
          <cell r="V124" t="str">
            <v>רווח(הפסד)</v>
          </cell>
          <cell r="AA124">
            <v>147707.66699999999</v>
          </cell>
          <cell r="AC124">
            <v>167017.72200000001</v>
          </cell>
          <cell r="AD124" t="str">
            <v>י.ס. רכוש קבוע</v>
          </cell>
        </row>
        <row r="125">
          <cell r="V125" t="str">
            <v>נטרול הוצאות נתוק והפעלה</v>
          </cell>
          <cell r="AA125">
            <v>-32240.375999999989</v>
          </cell>
          <cell r="AC125">
            <v>-21917.114999999991</v>
          </cell>
          <cell r="AD125" t="str">
            <v>הפרש</v>
          </cell>
        </row>
        <row r="126">
          <cell r="T126">
            <v>-1216.1489999999999</v>
          </cell>
          <cell r="V126" t="str">
            <v>נטרול מחיקת ממירים</v>
          </cell>
          <cell r="AC126" t="str">
            <v>בדיקת סבירות ניכוי בשל פחת</v>
          </cell>
        </row>
        <row r="127">
          <cell r="T127">
            <v>-683.14699999999993</v>
          </cell>
          <cell r="V127" t="str">
            <v>תמורה</v>
          </cell>
        </row>
        <row r="128">
          <cell r="T128">
            <v>1005.5359999999999</v>
          </cell>
          <cell r="V128" t="str">
            <v>בקורת תמורה</v>
          </cell>
          <cell r="AA128">
            <v>0.58641713834859865</v>
          </cell>
          <cell r="AB128" t="str">
            <v>=</v>
          </cell>
          <cell r="AC128">
            <v>17094.646000000001</v>
          </cell>
          <cell r="AD128" t="str">
            <v>פחת למס 98=</v>
          </cell>
        </row>
        <row r="129">
          <cell r="T129">
            <v>322.38900000000001</v>
          </cell>
          <cell r="V129" t="str">
            <v>לפי טופס 1392</v>
          </cell>
          <cell r="AC129">
            <v>29151</v>
          </cell>
          <cell r="AD129" t="str">
            <v>פחת למס 97</v>
          </cell>
        </row>
        <row r="137">
          <cell r="AC137">
            <v>0.58641713834859865</v>
          </cell>
        </row>
        <row r="138">
          <cell r="AC138" t="e">
            <v>#VALUE!</v>
          </cell>
        </row>
        <row r="139">
          <cell r="AC139">
            <v>-17094.646000000001</v>
          </cell>
          <cell r="AD139" t="str">
            <v>פחת נומינלי השנה</v>
          </cell>
        </row>
        <row r="141">
          <cell r="AC141" t="e">
            <v>#VALUE!</v>
          </cell>
          <cell r="AD141" t="str">
            <v>ניכוי בשל פחת חזוי</v>
          </cell>
        </row>
        <row r="142">
          <cell r="AC142">
            <v>8384.4030000000002</v>
          </cell>
          <cell r="AD142" t="str">
            <v>ניכוי בשל פחת בספרים</v>
          </cell>
        </row>
        <row r="143">
          <cell r="AA143" t="e">
            <v>#VALUE!</v>
          </cell>
          <cell r="AB143"/>
          <cell r="AC143" t="e">
            <v>#VALUE!</v>
          </cell>
          <cell r="AD143" t="str">
            <v>הפרש</v>
          </cell>
        </row>
        <row r="144">
          <cell r="Z144" t="str">
            <v>10TG</v>
          </cell>
        </row>
        <row r="147">
          <cell r="V147">
            <v>4503.5309999999999</v>
          </cell>
          <cell r="W147"/>
          <cell r="X147"/>
          <cell r="Y147"/>
          <cell r="Z147"/>
          <cell r="AA147" t="str">
            <v>|הוצאות אחזקת רכב בספרים לא כולל פחת</v>
          </cell>
        </row>
        <row r="148">
          <cell r="V148">
            <v>0</v>
          </cell>
          <cell r="W148"/>
          <cell r="X148"/>
          <cell r="Y148"/>
          <cell r="Z148"/>
          <cell r="AA148" t="str">
            <v>פחת כלי רכב לפי טופס י"א</v>
          </cell>
        </row>
        <row r="149">
          <cell r="AA149" t="str">
            <v>חויב כהכנסת עבודה בידי העובדים</v>
          </cell>
        </row>
        <row r="150">
          <cell r="V150">
            <v>-4103.1670941000002</v>
          </cell>
          <cell r="W150"/>
          <cell r="X150"/>
          <cell r="Y150"/>
          <cell r="Z150"/>
          <cell r="AA150" t="str">
            <v>הוצאות מוכרות על פי התקנות</v>
          </cell>
        </row>
        <row r="151">
          <cell r="T151">
            <v>400.36390589999974</v>
          </cell>
        </row>
        <row r="165">
          <cell r="AX165">
            <v>9</v>
          </cell>
        </row>
        <row r="169">
          <cell r="AA169">
            <v>9</v>
          </cell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>
            <v>10</v>
          </cell>
          <cell r="AM169">
            <v>9</v>
          </cell>
          <cell r="AN169">
            <v>9</v>
          </cell>
          <cell r="AO169">
            <v>9</v>
          </cell>
          <cell r="AP169"/>
          <cell r="AQ169">
            <v>9</v>
          </cell>
          <cell r="AR169">
            <v>9</v>
          </cell>
          <cell r="AS169">
            <v>9</v>
          </cell>
          <cell r="AT169" t="str">
            <v xml:space="preserve">  |</v>
          </cell>
          <cell r="AU169" t="str">
            <v xml:space="preserve">    |</v>
          </cell>
          <cell r="AV169">
            <v>1</v>
          </cell>
          <cell r="AW169">
            <v>12</v>
          </cell>
        </row>
        <row r="170">
          <cell r="AA170" t="str">
            <v xml:space="preserve"> </v>
          </cell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 t="str">
            <v xml:space="preserve">       פירוט חישוב הנכסים הקבועים של החברה :‎7 מצורפת לנספח ‎3 'רשימה מס</v>
          </cell>
          <cell r="AM170"/>
          <cell r="AN170"/>
          <cell r="AO170"/>
          <cell r="AP170"/>
          <cell r="AQ170"/>
          <cell r="AR170"/>
          <cell r="AS170"/>
          <cell r="AT170" t="str">
            <v xml:space="preserve">  |</v>
          </cell>
          <cell r="AU170" t="str">
            <v xml:space="preserve">    |</v>
          </cell>
          <cell r="AV170"/>
          <cell r="AW170"/>
          <cell r="AX170" t="str">
            <v>עורק שרותי מידע מקומי בע"מ</v>
          </cell>
        </row>
        <row r="171">
          <cell r="AA171" t="str">
            <v xml:space="preserve"> </v>
          </cell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 t="str">
            <v xml:space="preserve">  |</v>
          </cell>
          <cell r="AU171" t="str">
            <v xml:space="preserve">    |</v>
          </cell>
          <cell r="AV171"/>
          <cell r="AW171" t="str">
            <v xml:space="preserve">       פירוט חישוב תאומי ההון  </v>
          </cell>
          <cell r="AX171" t="str">
            <v>מממממממממממ</v>
          </cell>
        </row>
        <row r="172">
          <cell r="AT172" t="str">
            <v xml:space="preserve">  |</v>
          </cell>
          <cell r="AU172" t="str">
            <v xml:space="preserve">    |</v>
          </cell>
          <cell r="AV172" t="str">
            <v xml:space="preserve"> </v>
          </cell>
          <cell r="AW172" t="str">
            <v xml:space="preserve">       ממממממממממ</v>
          </cell>
        </row>
        <row r="173">
          <cell r="AA173" t="str">
            <v xml:space="preserve"> </v>
          </cell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 t="str">
            <v xml:space="preserve">      עורק שרותי מידע מקומי בע"מ</v>
          </cell>
          <cell r="AN173"/>
          <cell r="AO173" t="str">
            <v>:(שם החברה (או האגודה השיתופית</v>
          </cell>
          <cell r="AP173"/>
          <cell r="AQ173"/>
          <cell r="AR173"/>
          <cell r="AS173"/>
          <cell r="AT173" t="str">
            <v xml:space="preserve">  |</v>
          </cell>
          <cell r="AU173" t="str">
            <v xml:space="preserve">    |</v>
          </cell>
          <cell r="AV173" t="str">
            <v xml:space="preserve"> </v>
          </cell>
        </row>
        <row r="174">
          <cell r="AA174" t="str">
            <v xml:space="preserve">         ההון של ,‎1985-לתוספת א לחוק מס הכנסה (תאומים בשל אינפלציה) התשמ"ה ‎1 לפי סעיף</v>
          </cell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 t="str">
            <v>מממממממממממ</v>
          </cell>
          <cell r="AN174" t="str">
            <v>מממממממממממ</v>
          </cell>
          <cell r="AO174"/>
          <cell r="AP174"/>
          <cell r="AQ174"/>
          <cell r="AR174"/>
          <cell r="AS174"/>
          <cell r="AT174" t="str">
            <v xml:space="preserve">  |</v>
          </cell>
          <cell r="AU174" t="str">
            <v xml:space="preserve">    |</v>
          </cell>
          <cell r="AV174" t="str">
            <v xml:space="preserve">    1994 :שנת המס  </v>
          </cell>
        </row>
        <row r="175">
          <cell r="AT175" t="str">
            <v xml:space="preserve">  |</v>
          </cell>
          <cell r="AU175" t="str">
            <v xml:space="preserve">    |</v>
          </cell>
          <cell r="AV175" t="str">
            <v xml:space="preserve"> </v>
          </cell>
          <cell r="AW175"/>
          <cell r="AX175" t="str">
            <v>_</v>
          </cell>
        </row>
        <row r="176">
          <cell r="AA176" t="str">
            <v xml:space="preserve"> </v>
          </cell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 t="str">
            <v xml:space="preserve">  |</v>
          </cell>
          <cell r="AU176" t="str">
            <v xml:space="preserve">    |</v>
          </cell>
          <cell r="AV176" t="str">
            <v xml:space="preserve">  תאומי ,‎1985-לתוספת  א לחוק  מס  הכנסה (תאומים בשל אינפלציה) התשמ"ה  ‎3  לפי סעיף</v>
          </cell>
          <cell r="AW176"/>
          <cell r="AX176" t="str">
            <v xml:space="preserve">תאור הרישומים,היתרות,ההפקדות או הפעולות    |  </v>
          </cell>
          <cell r="AY176">
            <v>9</v>
          </cell>
          <cell r="AZ176">
            <v>9</v>
          </cell>
          <cell r="BA176">
            <v>9</v>
          </cell>
          <cell r="BB176" t="str">
            <v>|</v>
          </cell>
        </row>
        <row r="177">
          <cell r="AT177" t="str">
            <v xml:space="preserve">  |</v>
          </cell>
          <cell r="AU177" t="str">
            <v xml:space="preserve">    |</v>
          </cell>
          <cell r="AV177"/>
          <cell r="AW177"/>
          <cell r="AX177" t="str">
            <v xml:space="preserve">                       המחיבים תאום הון    |</v>
          </cell>
          <cell r="AY177"/>
          <cell r="AZ177"/>
          <cell r="BA177"/>
          <cell r="BB177" t="str">
            <v>|</v>
          </cell>
        </row>
        <row r="178">
          <cell r="AA178" t="str">
            <v xml:space="preserve">        ³</v>
          </cell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 t="str">
            <v>מ</v>
          </cell>
          <cell r="AM178" t="str">
            <v>מ|ממממממממממ</v>
          </cell>
          <cell r="AN178" t="str">
            <v>מ</v>
          </cell>
          <cell r="AO178" t="str">
            <v>ממממממממממממממממ|ממ</v>
          </cell>
          <cell r="AP178"/>
          <cell r="AQ178"/>
          <cell r="AR178" t="str">
            <v>מ</v>
          </cell>
          <cell r="AS178" t="str">
            <v>ממ³</v>
          </cell>
          <cell r="AT178" t="str">
            <v xml:space="preserve">  |</v>
          </cell>
          <cell r="AU178" t="str">
            <v xml:space="preserve">    |</v>
          </cell>
          <cell r="AV178" t="str">
            <v xml:space="preserve"> </v>
          </cell>
          <cell r="AW178"/>
          <cell r="AX178" t="str">
            <v>___________________</v>
          </cell>
          <cell r="AY178"/>
          <cell r="AZ178"/>
          <cell r="BA178"/>
          <cell r="BB178" t="str">
            <v>|</v>
          </cell>
        </row>
        <row r="179">
          <cell r="AA179" t="str">
            <v xml:space="preserve">        ³ תאור פריט לפי הרשום במאזן בתום שנת המס הקודמת³      הסכום     ³               </v>
          </cell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 t="str">
            <v xml:space="preserve">           ³                                                  ³    סעיף קטן³</v>
          </cell>
          <cell r="AM179"/>
          <cell r="AN179" t="str">
            <v xml:space="preserve">תאור הנכסים הקבועים, לפי הרשום במאזן לתום  |  </v>
          </cell>
          <cell r="AO179"/>
          <cell r="AP179"/>
          <cell r="AQ179"/>
          <cell r="AR179" t="str">
            <v xml:space="preserve"> סעיף קטן</v>
          </cell>
          <cell r="AS179" t="str">
            <v xml:space="preserve">  |</v>
          </cell>
          <cell r="AT179" t="str">
            <v xml:space="preserve">  |</v>
          </cell>
          <cell r="AU179" t="str">
            <v xml:space="preserve">    |</v>
          </cell>
          <cell r="AV179"/>
          <cell r="AW179" t="str">
            <v>_</v>
          </cell>
          <cell r="AX179"/>
          <cell r="AY179"/>
          <cell r="AZ179"/>
          <cell r="BA179"/>
          <cell r="BB179" t="str">
            <v>|</v>
          </cell>
        </row>
        <row r="180">
          <cell r="AA180" t="str">
            <v xml:space="preserve">        ³</v>
          </cell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 t="str">
            <v xml:space="preserve">                           שנת המס הקודמת  |</v>
          </cell>
          <cell r="AO180"/>
          <cell r="AP180"/>
          <cell r="AQ180"/>
          <cell r="AR180" t="str">
            <v xml:space="preserve">  בהגדרה</v>
          </cell>
          <cell r="AS180" t="str">
            <v xml:space="preserve">  |</v>
          </cell>
          <cell r="AT180" t="str">
            <v xml:space="preserve">  |</v>
          </cell>
          <cell r="AU180" t="str">
            <v xml:space="preserve">    |</v>
          </cell>
          <cell r="AV180" t="str">
            <v xml:space="preserve">³                  ³         תאור הרישומים, היתרות, ההפקדות או      </v>
          </cell>
          <cell r="AW180" t="str">
            <v xml:space="preserve">             ³                                                  ³    סעיף קטן³</v>
          </cell>
          <cell r="AX180" t="str">
            <v xml:space="preserve"> סכום שנרשם בספרים כהוצאה אך לא הוצא</v>
          </cell>
          <cell r="AY180"/>
          <cell r="AZ180"/>
          <cell r="BA180"/>
          <cell r="BB180" t="str">
            <v>|</v>
          </cell>
        </row>
        <row r="181">
          <cell r="AA181" t="str">
            <v xml:space="preserve">        ³</v>
          </cell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 t="str">
            <v>מ</v>
          </cell>
          <cell r="AM181"/>
          <cell r="AN181" t="str">
            <v>מ</v>
          </cell>
          <cell r="AO181" t="str">
            <v>ממממממממממממממממ|ממ</v>
          </cell>
          <cell r="AP181"/>
          <cell r="AQ181"/>
          <cell r="AR181" t="str">
            <v>מ</v>
          </cell>
          <cell r="AS181" t="str">
            <v>ממ³</v>
          </cell>
          <cell r="AT181" t="str">
            <v xml:space="preserve">  |</v>
          </cell>
          <cell r="AU181" t="str">
            <v xml:space="preserve">    |</v>
          </cell>
          <cell r="AV181" t="str">
            <v>³     לזיהוי הפריט³                                                  ³        הסכום³</v>
          </cell>
          <cell r="AW181" t="str">
            <v xml:space="preserve">  לזיהוי הפריט³                                                  ³      הסכום³</v>
          </cell>
          <cell r="AX181" t="str">
            <v>מ</v>
          </cell>
          <cell r="AY181"/>
          <cell r="AZ181"/>
          <cell r="BA181"/>
          <cell r="BB181" t="str">
            <v>|</v>
          </cell>
        </row>
        <row r="182">
          <cell r="AA182" t="str">
            <v xml:space="preserve">        ³</v>
          </cell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 t="str">
            <v xml:space="preserve">       |</v>
          </cell>
          <cell r="AR182"/>
          <cell r="AS182" t="str">
            <v xml:space="preserve">  |</v>
          </cell>
          <cell r="AT182" t="str">
            <v xml:space="preserve">  |</v>
          </cell>
          <cell r="AU182" t="str">
            <v xml:space="preserve">    |</v>
          </cell>
          <cell r="AV182" t="str">
            <v>³____________________</v>
          </cell>
          <cell r="AW182" t="str">
            <v>____________________</v>
          </cell>
          <cell r="AX182" t="str">
            <v xml:space="preserve"> בפועל ולא הותר בנכוי לענין חישוב </v>
          </cell>
          <cell r="AY182" t="str">
            <v>מממממממממ</v>
          </cell>
          <cell r="AZ182"/>
          <cell r="BA182"/>
          <cell r="BB182" t="str">
            <v>|</v>
          </cell>
        </row>
        <row r="183">
          <cell r="AA183" t="str">
            <v xml:space="preserve">        ³</v>
          </cell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 t="str">
            <v>ממממממממממממממממ|ממ</v>
          </cell>
          <cell r="AP183"/>
          <cell r="AQ183"/>
          <cell r="AR183" t="str">
            <v>מ</v>
          </cell>
          <cell r="AS183" t="str">
            <v>ממ³</v>
          </cell>
          <cell r="AT183" t="str">
            <v xml:space="preserve">  |</v>
          </cell>
          <cell r="AU183" t="str">
            <v xml:space="preserve">    |</v>
          </cell>
          <cell r="AV183" t="str">
            <v>³                  ³                                                  ³            ³</v>
          </cell>
          <cell r="AW183"/>
          <cell r="AX183" t="str">
            <v>מ</v>
          </cell>
          <cell r="AY183"/>
          <cell r="AZ183"/>
          <cell r="BA183"/>
          <cell r="BB183" t="str">
            <v>|</v>
          </cell>
        </row>
        <row r="184">
          <cell r="AA184" t="str">
            <v xml:space="preserve">        ³</v>
          </cell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 t="str">
            <v xml:space="preserve">       |</v>
          </cell>
          <cell r="AR184"/>
          <cell r="AS184" t="str">
            <v xml:space="preserve">  |</v>
          </cell>
          <cell r="AT184" t="str">
            <v xml:space="preserve">  |</v>
          </cell>
          <cell r="AU184" t="str">
            <v xml:space="preserve">    |</v>
          </cell>
          <cell r="AV184" t="str">
            <v>³</v>
          </cell>
          <cell r="AW184"/>
          <cell r="AX184" t="str">
            <v xml:space="preserve">ההכנסה החייבת </v>
          </cell>
          <cell r="AY184" t="str">
            <v xml:space="preserve">         :ההון של החברה מסתכם כמפורט להלן</v>
          </cell>
          <cell r="AZ184"/>
          <cell r="BA184"/>
          <cell r="BB184" t="str">
            <v>|</v>
          </cell>
        </row>
        <row r="185">
          <cell r="AA185" t="str">
            <v xml:space="preserve">        ³</v>
          </cell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 t="str">
            <v>מ</v>
          </cell>
          <cell r="AM185"/>
          <cell r="AN185" t="str">
            <v>מ</v>
          </cell>
          <cell r="AO185" t="str">
            <v>ממממממממממממממממ|ממ</v>
          </cell>
          <cell r="AP185"/>
          <cell r="AQ185"/>
          <cell r="AR185" t="str">
            <v>מ</v>
          </cell>
          <cell r="AS185" t="str">
            <v>ממ³</v>
          </cell>
          <cell r="AT185" t="str">
            <v xml:space="preserve">  |</v>
          </cell>
          <cell r="AU185" t="str">
            <v xml:space="preserve">    |</v>
          </cell>
          <cell r="AV185" t="str">
            <v>³</v>
          </cell>
          <cell r="AW185" t="str">
            <v>מ</v>
          </cell>
          <cell r="AX185" t="str">
            <v>מ</v>
          </cell>
          <cell r="AY185"/>
          <cell r="AZ185"/>
          <cell r="BA185"/>
          <cell r="BB185" t="str">
            <v>|</v>
          </cell>
        </row>
        <row r="186">
          <cell r="AA186" t="str">
            <v xml:space="preserve">        ³</v>
          </cell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 t="str">
            <v xml:space="preserve"> |</v>
          </cell>
          <cell r="AN186"/>
          <cell r="AO186"/>
          <cell r="AP186"/>
          <cell r="AQ186" t="str">
            <v xml:space="preserve">       |</v>
          </cell>
          <cell r="AR186"/>
          <cell r="AS186" t="str">
            <v xml:space="preserve">  |</v>
          </cell>
          <cell r="AT186" t="str">
            <v xml:space="preserve">  |</v>
          </cell>
          <cell r="AU186" t="str">
            <v xml:space="preserve">    |</v>
          </cell>
          <cell r="AV186" t="str">
            <v>³</v>
          </cell>
          <cell r="AW186"/>
          <cell r="AX186"/>
          <cell r="AY186" t="str">
            <v>_</v>
          </cell>
          <cell r="AZ186" t="str">
            <v>_</v>
          </cell>
          <cell r="BA186" t="str">
            <v>__</v>
          </cell>
          <cell r="BB186" t="str">
            <v>|</v>
          </cell>
        </row>
        <row r="187">
          <cell r="AA187" t="str">
            <v xml:space="preserve">        ³</v>
          </cell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 t="str">
            <v>מ</v>
          </cell>
          <cell r="AM187" t="str">
            <v>מ|ממממממממממ</v>
          </cell>
          <cell r="AN187" t="str">
            <v>מ</v>
          </cell>
          <cell r="AO187" t="str">
            <v>ממממממממממממממממ|ממ</v>
          </cell>
          <cell r="AP187"/>
          <cell r="AQ187"/>
          <cell r="AR187" t="str">
            <v>מ</v>
          </cell>
          <cell r="AS187" t="str">
            <v>ממ³</v>
          </cell>
          <cell r="AT187" t="str">
            <v xml:space="preserve">  |</v>
          </cell>
          <cell r="AU187" t="str">
            <v xml:space="preserve">    |</v>
          </cell>
          <cell r="AV187" t="str">
            <v>³</v>
          </cell>
          <cell r="AW187" t="str">
            <v>מ</v>
          </cell>
          <cell r="AX187"/>
          <cell r="AY187"/>
          <cell r="AZ187"/>
          <cell r="BA187" t="str">
            <v xml:space="preserve">  |</v>
          </cell>
          <cell r="BB187" t="str">
            <v>|</v>
          </cell>
        </row>
        <row r="188">
          <cell r="AA188" t="str">
            <v xml:space="preserve">        ³</v>
          </cell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 t="str">
            <v xml:space="preserve"> |</v>
          </cell>
          <cell r="AN188"/>
          <cell r="AO188"/>
          <cell r="AP188"/>
          <cell r="AQ188" t="str">
            <v xml:space="preserve">       |</v>
          </cell>
          <cell r="AR188"/>
          <cell r="AS188" t="str">
            <v xml:space="preserve">  |</v>
          </cell>
          <cell r="AT188" t="str">
            <v xml:space="preserve">  |</v>
          </cell>
          <cell r="AU188" t="str">
            <v xml:space="preserve">    |</v>
          </cell>
          <cell r="AV188" t="str">
            <v>³</v>
          </cell>
          <cell r="AW188"/>
          <cell r="AX188"/>
          <cell r="AY188"/>
          <cell r="AZ188"/>
          <cell r="BA188" t="str">
            <v xml:space="preserve">  |</v>
          </cell>
          <cell r="BB188" t="str">
            <v>|</v>
          </cell>
        </row>
        <row r="189">
          <cell r="AA189" t="str">
            <v xml:space="preserve">        ³</v>
          </cell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 t="str">
            <v>מ</v>
          </cell>
          <cell r="AM189" t="str">
            <v>מ|ממממממממממ</v>
          </cell>
          <cell r="AN189" t="str">
            <v>מ</v>
          </cell>
          <cell r="AO189" t="str">
            <v>ממממממממממממממממ|ממ</v>
          </cell>
          <cell r="AP189"/>
          <cell r="AQ189"/>
          <cell r="AR189" t="str">
            <v>מ</v>
          </cell>
          <cell r="AS189" t="str">
            <v>ממ³</v>
          </cell>
          <cell r="AT189" t="str">
            <v xml:space="preserve">  |</v>
          </cell>
          <cell r="AU189" t="str">
            <v xml:space="preserve">    |</v>
          </cell>
          <cell r="AV189" t="str">
            <v>³</v>
          </cell>
          <cell r="AW189" t="str">
            <v>מ</v>
          </cell>
          <cell r="AX189" t="str">
            <v>מ</v>
          </cell>
          <cell r="AY189" t="str">
            <v>_</v>
          </cell>
          <cell r="AZ189"/>
          <cell r="BA189" t="str">
            <v>__³</v>
          </cell>
          <cell r="BB189" t="str">
            <v>|</v>
          </cell>
        </row>
        <row r="190">
          <cell r="AA190" t="str">
            <v xml:space="preserve">        ³</v>
          </cell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 t="str">
            <v xml:space="preserve"> |</v>
          </cell>
          <cell r="AN190"/>
          <cell r="AO190"/>
          <cell r="AP190"/>
          <cell r="AQ190" t="str">
            <v xml:space="preserve">       |</v>
          </cell>
          <cell r="AR190"/>
          <cell r="AS190" t="str">
            <v xml:space="preserve">  |</v>
          </cell>
          <cell r="AT190" t="str">
            <v xml:space="preserve">  |</v>
          </cell>
          <cell r="AU190" t="str">
            <v xml:space="preserve">    |</v>
          </cell>
          <cell r="AV190" t="str">
            <v>³</v>
          </cell>
          <cell r="AW190"/>
          <cell r="AX190"/>
          <cell r="AY190"/>
          <cell r="AZ190" t="str">
            <v xml:space="preserve">       ³</v>
          </cell>
          <cell r="BA190" t="str">
            <v xml:space="preserve">  ³</v>
          </cell>
          <cell r="BB190" t="str">
            <v>|</v>
          </cell>
        </row>
        <row r="191">
          <cell r="AA191" t="str">
            <v xml:space="preserve">        ³</v>
          </cell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 t="str">
            <v>מ</v>
          </cell>
          <cell r="AM191" t="str">
            <v>מ|ממממממממממ</v>
          </cell>
          <cell r="AN191" t="str">
            <v>מ</v>
          </cell>
          <cell r="AO191" t="str">
            <v>ממממממממממממממממ|ממ</v>
          </cell>
          <cell r="AP191"/>
          <cell r="AQ191"/>
          <cell r="AR191" t="str">
            <v>מ</v>
          </cell>
          <cell r="AS191" t="str">
            <v>ממ³</v>
          </cell>
          <cell r="AT191" t="str">
            <v xml:space="preserve">  |</v>
          </cell>
          <cell r="AU191" t="str">
            <v xml:space="preserve">    |</v>
          </cell>
          <cell r="AV191" t="str">
            <v>³</v>
          </cell>
          <cell r="AW191"/>
          <cell r="AX191" t="str">
            <v>מ</v>
          </cell>
          <cell r="AY191"/>
          <cell r="AZ191" t="str">
            <v xml:space="preserve">       ³</v>
          </cell>
          <cell r="BA191" t="str">
            <v xml:space="preserve">  ³</v>
          </cell>
          <cell r="BB191" t="str">
            <v>|</v>
          </cell>
        </row>
        <row r="192">
          <cell r="AA192" t="str">
            <v xml:space="preserve">        ³</v>
          </cell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 t="str">
            <v xml:space="preserve"> |</v>
          </cell>
          <cell r="AN192"/>
          <cell r="AO192"/>
          <cell r="AP192"/>
          <cell r="AQ192" t="str">
            <v xml:space="preserve">       |</v>
          </cell>
          <cell r="AR192"/>
          <cell r="AS192" t="str">
            <v xml:space="preserve">  |</v>
          </cell>
          <cell r="AT192" t="str">
            <v xml:space="preserve">  |</v>
          </cell>
          <cell r="AU192" t="str">
            <v xml:space="preserve">    |</v>
          </cell>
          <cell r="AV192" t="str">
            <v>³</v>
          </cell>
          <cell r="AW192"/>
          <cell r="AX192"/>
          <cell r="AY192" t="str">
            <v>מ</v>
          </cell>
          <cell r="AZ192"/>
          <cell r="BA192" t="str">
            <v>ממ³</v>
          </cell>
          <cell r="BB192" t="str">
            <v>|</v>
          </cell>
        </row>
        <row r="193">
          <cell r="AA193" t="str">
            <v xml:space="preserve">        ³</v>
          </cell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 t="str">
            <v>מ</v>
          </cell>
          <cell r="AM193" t="str">
            <v>מ|ממממממממממ</v>
          </cell>
          <cell r="AN193" t="str">
            <v>מ</v>
          </cell>
          <cell r="AO193" t="str">
            <v>ממממממממממממממממ|ממ</v>
          </cell>
          <cell r="AP193"/>
          <cell r="AQ193"/>
          <cell r="AR193" t="str">
            <v>מ</v>
          </cell>
          <cell r="AS193" t="str">
            <v>ממ³</v>
          </cell>
          <cell r="AT193" t="str">
            <v xml:space="preserve">  |</v>
          </cell>
          <cell r="AU193" t="str">
            <v xml:space="preserve">    |</v>
          </cell>
          <cell r="AV193" t="str">
            <v>³</v>
          </cell>
          <cell r="AW193" t="str">
            <v>מ</v>
          </cell>
          <cell r="AX193" t="str">
            <v>מ</v>
          </cell>
          <cell r="AY193"/>
          <cell r="AZ193" t="str">
            <v xml:space="preserve">       ³</v>
          </cell>
          <cell r="BA193" t="str">
            <v xml:space="preserve">  ³</v>
          </cell>
          <cell r="BB193" t="str">
            <v>|</v>
          </cell>
        </row>
        <row r="194">
          <cell r="AA194" t="str">
            <v xml:space="preserve">        ³</v>
          </cell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 t="str">
            <v xml:space="preserve"> |</v>
          </cell>
          <cell r="AN194"/>
          <cell r="AO194"/>
          <cell r="AP194"/>
          <cell r="AQ194" t="str">
            <v xml:space="preserve">       |</v>
          </cell>
          <cell r="AR194"/>
          <cell r="AS194" t="str">
            <v xml:space="preserve">  |</v>
          </cell>
          <cell r="AT194" t="str">
            <v xml:space="preserve">  |</v>
          </cell>
          <cell r="AU194" t="str">
            <v xml:space="preserve">    |</v>
          </cell>
          <cell r="AV194" t="str">
            <v>³</v>
          </cell>
          <cell r="AW194"/>
          <cell r="AX194"/>
          <cell r="AY194" t="str">
            <v>מ</v>
          </cell>
          <cell r="AZ194"/>
          <cell r="BA194" t="str">
            <v>ממ³</v>
          </cell>
          <cell r="BB194" t="str">
            <v>|</v>
          </cell>
        </row>
        <row r="195">
          <cell r="AA195" t="str">
            <v xml:space="preserve">        ³</v>
          </cell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 t="str">
            <v>מ</v>
          </cell>
          <cell r="AM195" t="str">
            <v>מ|ממממממממממ</v>
          </cell>
          <cell r="AN195" t="str">
            <v>מ</v>
          </cell>
          <cell r="AO195" t="str">
            <v>ממממממממממממממממ|ממ</v>
          </cell>
          <cell r="AP195"/>
          <cell r="AQ195"/>
          <cell r="AR195" t="str">
            <v>מ</v>
          </cell>
          <cell r="AS195" t="str">
            <v>ממ³</v>
          </cell>
          <cell r="AT195" t="str">
            <v xml:space="preserve">  |</v>
          </cell>
          <cell r="AU195" t="str">
            <v xml:space="preserve">    |</v>
          </cell>
          <cell r="AV195" t="str">
            <v>³</v>
          </cell>
          <cell r="AW195" t="str">
            <v>מ</v>
          </cell>
          <cell r="AX195" t="str">
            <v>מ</v>
          </cell>
          <cell r="AY195"/>
          <cell r="AZ195" t="str">
            <v xml:space="preserve">       ³</v>
          </cell>
          <cell r="BA195" t="str">
            <v xml:space="preserve">  ³</v>
          </cell>
          <cell r="BB195" t="str">
            <v>|</v>
          </cell>
        </row>
        <row r="196">
          <cell r="AA196" t="str">
            <v xml:space="preserve">        ³</v>
          </cell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 t="str">
            <v xml:space="preserve"> |</v>
          </cell>
          <cell r="AN196"/>
          <cell r="AO196"/>
          <cell r="AP196"/>
          <cell r="AQ196" t="str">
            <v xml:space="preserve">       |</v>
          </cell>
          <cell r="AR196"/>
          <cell r="AS196" t="str">
            <v xml:space="preserve">  |</v>
          </cell>
          <cell r="AT196" t="str">
            <v xml:space="preserve">  |</v>
          </cell>
          <cell r="AU196" t="str">
            <v xml:space="preserve">    |</v>
          </cell>
          <cell r="AV196" t="str">
            <v>³</v>
          </cell>
          <cell r="AW196"/>
          <cell r="AX196"/>
          <cell r="AY196" t="str">
            <v>מ</v>
          </cell>
          <cell r="AZ196"/>
          <cell r="BA196" t="str">
            <v>ממ³</v>
          </cell>
          <cell r="BB196" t="str">
            <v>|</v>
          </cell>
        </row>
        <row r="197">
          <cell r="AA197" t="str">
            <v xml:space="preserve">        ³</v>
          </cell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 t="str">
            <v>מ</v>
          </cell>
          <cell r="AM197" t="str">
            <v>מ|ממממממממממ</v>
          </cell>
          <cell r="AN197" t="str">
            <v>מ</v>
          </cell>
          <cell r="AO197" t="str">
            <v>ממממממממממממממממ|ממ</v>
          </cell>
          <cell r="AP197"/>
          <cell r="AQ197"/>
          <cell r="AR197" t="str">
            <v>מ</v>
          </cell>
          <cell r="AS197" t="str">
            <v>ממ³</v>
          </cell>
          <cell r="AT197" t="str">
            <v xml:space="preserve">  |</v>
          </cell>
          <cell r="AU197" t="str">
            <v xml:space="preserve">    |</v>
          </cell>
          <cell r="AV197" t="str">
            <v>³</v>
          </cell>
          <cell r="AW197" t="str">
            <v>מ</v>
          </cell>
          <cell r="AX197" t="str">
            <v>מ</v>
          </cell>
          <cell r="AY197"/>
          <cell r="AZ197" t="str">
            <v xml:space="preserve">       ³</v>
          </cell>
          <cell r="BA197" t="str">
            <v xml:space="preserve">  ³</v>
          </cell>
          <cell r="BB197" t="str">
            <v>|</v>
          </cell>
        </row>
        <row r="198">
          <cell r="AA198" t="str">
            <v xml:space="preserve">        ³</v>
          </cell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 t="str">
            <v xml:space="preserve"> |</v>
          </cell>
          <cell r="AN198"/>
          <cell r="AO198"/>
          <cell r="AP198"/>
          <cell r="AQ198" t="str">
            <v xml:space="preserve">       |</v>
          </cell>
          <cell r="AR198"/>
          <cell r="AS198" t="str">
            <v xml:space="preserve">  |</v>
          </cell>
          <cell r="AT198" t="str">
            <v xml:space="preserve">  |</v>
          </cell>
          <cell r="AU198" t="str">
            <v xml:space="preserve">    |</v>
          </cell>
          <cell r="AV198" t="str">
            <v>³</v>
          </cell>
          <cell r="AW198"/>
          <cell r="AX198"/>
          <cell r="AY198"/>
          <cell r="AZ198"/>
          <cell r="BA198" t="str">
            <v>ממ³</v>
          </cell>
          <cell r="BB198" t="str">
            <v>|</v>
          </cell>
        </row>
        <row r="199">
          <cell r="AA199" t="str">
            <v xml:space="preserve">        ³</v>
          </cell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 t="str">
            <v>מ</v>
          </cell>
          <cell r="AM199" t="str">
            <v>מ|ממממממממממ</v>
          </cell>
          <cell r="AN199" t="str">
            <v>מ</v>
          </cell>
          <cell r="AO199" t="str">
            <v>ממממממממממממממממ|ממ</v>
          </cell>
          <cell r="AP199"/>
          <cell r="AQ199"/>
          <cell r="AR199" t="str">
            <v>מ</v>
          </cell>
          <cell r="AS199" t="str">
            <v>ממ³</v>
          </cell>
          <cell r="AT199" t="str">
            <v xml:space="preserve">  |</v>
          </cell>
          <cell r="AU199" t="str">
            <v xml:space="preserve">    |</v>
          </cell>
          <cell r="AV199" t="str">
            <v>³</v>
          </cell>
          <cell r="AW199" t="str">
            <v>מ</v>
          </cell>
          <cell r="AX199" t="str">
            <v>מ</v>
          </cell>
          <cell r="AY199"/>
          <cell r="AZ199" t="str">
            <v xml:space="preserve">       ³</v>
          </cell>
          <cell r="BA199" t="str">
            <v xml:space="preserve">  ³</v>
          </cell>
          <cell r="BB199" t="str">
            <v>|</v>
          </cell>
        </row>
        <row r="200">
          <cell r="AA200" t="str">
            <v xml:space="preserve">        ³</v>
          </cell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 t="str">
            <v xml:space="preserve"> |</v>
          </cell>
          <cell r="AN200"/>
          <cell r="AO200"/>
          <cell r="AP200"/>
          <cell r="AQ200" t="str">
            <v xml:space="preserve">       |</v>
          </cell>
          <cell r="AR200"/>
          <cell r="AS200" t="str">
            <v xml:space="preserve">  |</v>
          </cell>
          <cell r="AT200" t="str">
            <v xml:space="preserve">  |</v>
          </cell>
          <cell r="AU200" t="str">
            <v xml:space="preserve">    |</v>
          </cell>
          <cell r="AV200" t="str">
            <v>³</v>
          </cell>
          <cell r="AW200"/>
          <cell r="AX200"/>
          <cell r="AY200" t="str">
            <v>מ</v>
          </cell>
          <cell r="AZ200"/>
          <cell r="BA200" t="str">
            <v>ממ³</v>
          </cell>
          <cell r="BB200" t="str">
            <v>|</v>
          </cell>
        </row>
        <row r="201">
          <cell r="AA201" t="str">
            <v xml:space="preserve">        ³</v>
          </cell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 t="str">
            <v>מ</v>
          </cell>
          <cell r="AM201" t="str">
            <v>מ|ממממממממממ</v>
          </cell>
          <cell r="AN201" t="str">
            <v>מ</v>
          </cell>
          <cell r="AO201" t="str">
            <v>ממממממממממממממממ|ממ</v>
          </cell>
          <cell r="AP201"/>
          <cell r="AQ201"/>
          <cell r="AR201" t="str">
            <v>מ</v>
          </cell>
          <cell r="AS201" t="str">
            <v>ממ³</v>
          </cell>
          <cell r="AT201" t="str">
            <v xml:space="preserve">  |</v>
          </cell>
          <cell r="AU201" t="str">
            <v xml:space="preserve">    |</v>
          </cell>
          <cell r="AV201" t="str">
            <v>³</v>
          </cell>
          <cell r="AW201" t="str">
            <v>מ</v>
          </cell>
          <cell r="AX201" t="str">
            <v>מ</v>
          </cell>
          <cell r="AY201"/>
          <cell r="AZ201" t="str">
            <v xml:space="preserve">       ³</v>
          </cell>
          <cell r="BA201" t="str">
            <v xml:space="preserve">  ³</v>
          </cell>
          <cell r="BB201" t="str">
            <v>|</v>
          </cell>
        </row>
        <row r="202">
          <cell r="AA202" t="str">
            <v xml:space="preserve">        ³</v>
          </cell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 t="str">
            <v xml:space="preserve"> |</v>
          </cell>
          <cell r="AN202"/>
          <cell r="AO202"/>
          <cell r="AP202"/>
          <cell r="AQ202" t="str">
            <v xml:space="preserve">       |</v>
          </cell>
          <cell r="AR202"/>
          <cell r="AS202" t="str">
            <v xml:space="preserve">  |</v>
          </cell>
          <cell r="AT202" t="str">
            <v xml:space="preserve">  |</v>
          </cell>
          <cell r="AU202" t="str">
            <v xml:space="preserve">    |</v>
          </cell>
          <cell r="AV202" t="str">
            <v>³</v>
          </cell>
          <cell r="AW202"/>
          <cell r="AX202"/>
          <cell r="AY202" t="str">
            <v>מ</v>
          </cell>
          <cell r="AZ202"/>
          <cell r="BA202" t="str">
            <v>ממ³</v>
          </cell>
          <cell r="BB202" t="str">
            <v>|</v>
          </cell>
        </row>
        <row r="203">
          <cell r="AA203" t="str">
            <v xml:space="preserve">        ³</v>
          </cell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 t="str">
            <v>מ</v>
          </cell>
          <cell r="AM203" t="str">
            <v>מ|ממממממממממ</v>
          </cell>
          <cell r="AN203" t="str">
            <v>מ</v>
          </cell>
          <cell r="AO203" t="str">
            <v>ממממממממממממממממ|ממ</v>
          </cell>
          <cell r="AP203"/>
          <cell r="AQ203"/>
          <cell r="AR203" t="str">
            <v>מ</v>
          </cell>
          <cell r="AS203" t="str">
            <v>ממ³</v>
          </cell>
          <cell r="AT203" t="str">
            <v xml:space="preserve">  |</v>
          </cell>
          <cell r="AU203" t="str">
            <v xml:space="preserve">    |</v>
          </cell>
          <cell r="AV203" t="str">
            <v>³</v>
          </cell>
          <cell r="AW203" t="str">
            <v>מ</v>
          </cell>
          <cell r="AX203" t="str">
            <v>מ</v>
          </cell>
          <cell r="AY203"/>
          <cell r="AZ203" t="str">
            <v xml:space="preserve">       ³</v>
          </cell>
          <cell r="BA203" t="str">
            <v xml:space="preserve">  ³</v>
          </cell>
          <cell r="BB203" t="str">
            <v>|</v>
          </cell>
        </row>
        <row r="204">
          <cell r="AA204" t="str">
            <v xml:space="preserve">        ³</v>
          </cell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 t="str">
            <v xml:space="preserve"> |</v>
          </cell>
          <cell r="AN204"/>
          <cell r="AO204"/>
          <cell r="AP204"/>
          <cell r="AQ204" t="str">
            <v xml:space="preserve">       |</v>
          </cell>
          <cell r="AR204"/>
          <cell r="AS204" t="str">
            <v xml:space="preserve">  |</v>
          </cell>
          <cell r="AT204" t="str">
            <v xml:space="preserve">  |</v>
          </cell>
          <cell r="AU204" t="str">
            <v xml:space="preserve">    |</v>
          </cell>
          <cell r="AV204" t="str">
            <v>³</v>
          </cell>
          <cell r="AW204"/>
          <cell r="AX204"/>
          <cell r="AY204" t="str">
            <v>מ</v>
          </cell>
          <cell r="AZ204"/>
          <cell r="BA204" t="str">
            <v>ממ³</v>
          </cell>
          <cell r="BB204" t="str">
            <v>|</v>
          </cell>
        </row>
        <row r="205">
          <cell r="AA205" t="str">
            <v xml:space="preserve">        ³</v>
          </cell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 t="str">
            <v>מ</v>
          </cell>
          <cell r="AM205" t="str">
            <v>מ|ממממממממממ</v>
          </cell>
          <cell r="AN205" t="str">
            <v>מ</v>
          </cell>
          <cell r="AO205" t="str">
            <v>ממממממממממממממממ|ממ</v>
          </cell>
          <cell r="AP205"/>
          <cell r="AQ205"/>
          <cell r="AR205" t="str">
            <v>מ</v>
          </cell>
          <cell r="AS205" t="str">
            <v>ממ³</v>
          </cell>
          <cell r="AT205" t="str">
            <v xml:space="preserve">  |</v>
          </cell>
          <cell r="AU205" t="str">
            <v xml:space="preserve">    |</v>
          </cell>
          <cell r="AV205" t="str">
            <v>³</v>
          </cell>
          <cell r="AW205" t="str">
            <v>מ</v>
          </cell>
          <cell r="AX205" t="str">
            <v>מ</v>
          </cell>
          <cell r="AY205"/>
          <cell r="AZ205" t="str">
            <v xml:space="preserve">       ³</v>
          </cell>
          <cell r="BA205" t="str">
            <v xml:space="preserve">  ³</v>
          </cell>
          <cell r="BB205" t="str">
            <v>|</v>
          </cell>
        </row>
        <row r="206">
          <cell r="AA206" t="str">
            <v xml:space="preserve">        ³</v>
          </cell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 t="str">
            <v xml:space="preserve"> |</v>
          </cell>
          <cell r="AN206"/>
          <cell r="AO206"/>
          <cell r="AP206"/>
          <cell r="AQ206" t="str">
            <v xml:space="preserve">       |</v>
          </cell>
          <cell r="AR206"/>
          <cell r="AS206" t="str">
            <v xml:space="preserve">  |</v>
          </cell>
          <cell r="AT206" t="str">
            <v xml:space="preserve">  |</v>
          </cell>
          <cell r="AU206" t="str">
            <v xml:space="preserve">    |</v>
          </cell>
          <cell r="AV206" t="str">
            <v>³</v>
          </cell>
          <cell r="AW206"/>
          <cell r="AX206"/>
          <cell r="AY206" t="str">
            <v>מ</v>
          </cell>
          <cell r="AZ206"/>
          <cell r="BA206" t="str">
            <v>ממ³</v>
          </cell>
          <cell r="BB206" t="str">
            <v>|</v>
          </cell>
        </row>
        <row r="207">
          <cell r="AA207" t="str">
            <v xml:space="preserve">        ³</v>
          </cell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 t="str">
            <v>מ</v>
          </cell>
          <cell r="AM207" t="str">
            <v>מ|ממממממממממ</v>
          </cell>
          <cell r="AN207" t="str">
            <v>מ</v>
          </cell>
          <cell r="AO207" t="str">
            <v>ממממממממממממממממ|ממ</v>
          </cell>
          <cell r="AP207"/>
          <cell r="AQ207"/>
          <cell r="AR207" t="str">
            <v>מ</v>
          </cell>
          <cell r="AS207" t="str">
            <v>ממ³</v>
          </cell>
          <cell r="AT207" t="str">
            <v xml:space="preserve">  |</v>
          </cell>
          <cell r="AU207" t="str">
            <v xml:space="preserve">    |</v>
          </cell>
          <cell r="AV207" t="str">
            <v>³</v>
          </cell>
          <cell r="AW207" t="str">
            <v>מ</v>
          </cell>
          <cell r="AX207" t="str">
            <v>מ</v>
          </cell>
          <cell r="AY207"/>
          <cell r="AZ207" t="str">
            <v xml:space="preserve">       ³</v>
          </cell>
          <cell r="BA207" t="str">
            <v xml:space="preserve">  ³</v>
          </cell>
          <cell r="BB207" t="str">
            <v>|</v>
          </cell>
        </row>
        <row r="208">
          <cell r="AA208" t="str">
            <v xml:space="preserve">        ³</v>
          </cell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 t="str">
            <v xml:space="preserve"> |</v>
          </cell>
          <cell r="AN208"/>
          <cell r="AO208"/>
          <cell r="AP208"/>
          <cell r="AQ208" t="str">
            <v xml:space="preserve">       |</v>
          </cell>
          <cell r="AR208"/>
          <cell r="AS208" t="str">
            <v xml:space="preserve">  |</v>
          </cell>
          <cell r="AT208" t="str">
            <v xml:space="preserve">  |</v>
          </cell>
          <cell r="AU208" t="str">
            <v xml:space="preserve">    |</v>
          </cell>
          <cell r="AV208" t="str">
            <v>³</v>
          </cell>
          <cell r="AW208"/>
          <cell r="AX208"/>
          <cell r="AY208" t="str">
            <v>מ</v>
          </cell>
          <cell r="AZ208"/>
          <cell r="BA208" t="str">
            <v>ממ³</v>
          </cell>
          <cell r="BB208" t="str">
            <v>|</v>
          </cell>
        </row>
        <row r="209">
          <cell r="AA209" t="str">
            <v xml:space="preserve">        ³</v>
          </cell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 t="str">
            <v>מ</v>
          </cell>
          <cell r="AM209" t="str">
            <v>מ|ממממממממממ</v>
          </cell>
          <cell r="AN209" t="str">
            <v>מ</v>
          </cell>
          <cell r="AO209" t="str">
            <v>ממממממממממממממממ|ממ</v>
          </cell>
          <cell r="AP209"/>
          <cell r="AQ209"/>
          <cell r="AR209" t="str">
            <v>מ</v>
          </cell>
          <cell r="AS209" t="str">
            <v>ממ³</v>
          </cell>
          <cell r="AT209" t="str">
            <v xml:space="preserve">  |</v>
          </cell>
          <cell r="AU209" t="str">
            <v xml:space="preserve">    |</v>
          </cell>
          <cell r="AV209" t="str">
            <v>³</v>
          </cell>
          <cell r="AW209" t="str">
            <v>מ</v>
          </cell>
          <cell r="AX209" t="str">
            <v>מ</v>
          </cell>
          <cell r="AY209"/>
          <cell r="AZ209" t="str">
            <v xml:space="preserve">       ³</v>
          </cell>
          <cell r="BA209" t="str">
            <v xml:space="preserve">  ³</v>
          </cell>
          <cell r="BB209" t="str">
            <v>|</v>
          </cell>
        </row>
        <row r="210">
          <cell r="AA210" t="str">
            <v xml:space="preserve">        ³</v>
          </cell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 t="str">
            <v xml:space="preserve"> |</v>
          </cell>
          <cell r="AN210"/>
          <cell r="AO210"/>
          <cell r="AP210"/>
          <cell r="AQ210" t="str">
            <v xml:space="preserve">       |</v>
          </cell>
          <cell r="AR210"/>
          <cell r="AS210" t="str">
            <v xml:space="preserve">  |</v>
          </cell>
          <cell r="AT210" t="str">
            <v xml:space="preserve">  |</v>
          </cell>
          <cell r="AU210" t="str">
            <v xml:space="preserve">    |</v>
          </cell>
          <cell r="AV210" t="str">
            <v>³</v>
          </cell>
          <cell r="AW210"/>
          <cell r="AX210"/>
          <cell r="AY210" t="str">
            <v>מ</v>
          </cell>
          <cell r="AZ210"/>
          <cell r="BA210" t="str">
            <v>ממ³</v>
          </cell>
          <cell r="BB210" t="str">
            <v>|</v>
          </cell>
        </row>
        <row r="211">
          <cell r="AA211" t="str">
            <v xml:space="preserve">        ³</v>
          </cell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 t="str">
            <v>מ</v>
          </cell>
          <cell r="AM211" t="str">
            <v>מ|ממממממממממ</v>
          </cell>
          <cell r="AN211" t="str">
            <v>מ</v>
          </cell>
          <cell r="AO211" t="str">
            <v>ממממממממממממממממ|ממ</v>
          </cell>
          <cell r="AP211"/>
          <cell r="AQ211"/>
          <cell r="AR211" t="str">
            <v>מ</v>
          </cell>
          <cell r="AS211" t="str">
            <v>ממ³</v>
          </cell>
          <cell r="AT211" t="str">
            <v xml:space="preserve">  |</v>
          </cell>
          <cell r="AU211" t="str">
            <v xml:space="preserve">    |</v>
          </cell>
          <cell r="AV211" t="str">
            <v>³</v>
          </cell>
          <cell r="AW211" t="str">
            <v>מ</v>
          </cell>
          <cell r="AX211" t="str">
            <v>מ</v>
          </cell>
          <cell r="AY211"/>
          <cell r="AZ211" t="str">
            <v xml:space="preserve">       ³</v>
          </cell>
          <cell r="BA211" t="str">
            <v xml:space="preserve">  ³</v>
          </cell>
          <cell r="BB211" t="str">
            <v>|</v>
          </cell>
        </row>
        <row r="212">
          <cell r="AA212" t="str">
            <v xml:space="preserve">        ³</v>
          </cell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 t="str">
            <v xml:space="preserve"> |</v>
          </cell>
          <cell r="AN212"/>
          <cell r="AO212"/>
          <cell r="AP212"/>
          <cell r="AQ212" t="str">
            <v xml:space="preserve">       |</v>
          </cell>
          <cell r="AR212"/>
          <cell r="AS212" t="str">
            <v xml:space="preserve">  |</v>
          </cell>
          <cell r="AT212" t="str">
            <v xml:space="preserve">  |</v>
          </cell>
          <cell r="AU212" t="str">
            <v xml:space="preserve">    |</v>
          </cell>
          <cell r="AV212" t="str">
            <v>³</v>
          </cell>
          <cell r="AW212"/>
          <cell r="AX212"/>
          <cell r="AY212" t="str">
            <v>מ</v>
          </cell>
          <cell r="AZ212"/>
          <cell r="BA212" t="str">
            <v>ממ³</v>
          </cell>
          <cell r="BB212" t="str">
            <v>|</v>
          </cell>
        </row>
        <row r="213">
          <cell r="AA213" t="str">
            <v xml:space="preserve">        ³</v>
          </cell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 t="str">
            <v>מ</v>
          </cell>
          <cell r="AM213" t="str">
            <v>מ|ממממממממממ</v>
          </cell>
          <cell r="AN213" t="str">
            <v>מ</v>
          </cell>
          <cell r="AO213" t="str">
            <v>ממממממממממממממממ|ממ</v>
          </cell>
          <cell r="AP213"/>
          <cell r="AQ213"/>
          <cell r="AR213" t="str">
            <v>מ</v>
          </cell>
          <cell r="AS213" t="str">
            <v>ממ³</v>
          </cell>
          <cell r="AT213" t="str">
            <v xml:space="preserve">  |</v>
          </cell>
          <cell r="AU213" t="str">
            <v xml:space="preserve">    |</v>
          </cell>
          <cell r="AV213" t="str">
            <v>³</v>
          </cell>
          <cell r="AW213" t="str">
            <v>מ</v>
          </cell>
          <cell r="AX213" t="str">
            <v>מ</v>
          </cell>
          <cell r="AY213"/>
          <cell r="AZ213" t="str">
            <v xml:space="preserve">       ³</v>
          </cell>
          <cell r="BA213" t="str">
            <v xml:space="preserve">  ³</v>
          </cell>
          <cell r="BB213" t="str">
            <v>|</v>
          </cell>
        </row>
        <row r="214">
          <cell r="AA214" t="str">
            <v xml:space="preserve">        ³</v>
          </cell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 t="str">
            <v xml:space="preserve"> |</v>
          </cell>
          <cell r="AN214"/>
          <cell r="AO214"/>
          <cell r="AP214"/>
          <cell r="AQ214" t="str">
            <v xml:space="preserve">       |</v>
          </cell>
          <cell r="AR214"/>
          <cell r="AS214" t="str">
            <v xml:space="preserve">  |</v>
          </cell>
          <cell r="AT214" t="str">
            <v xml:space="preserve">  |</v>
          </cell>
          <cell r="AU214" t="str">
            <v xml:space="preserve">    |</v>
          </cell>
          <cell r="AV214" t="str">
            <v>³</v>
          </cell>
          <cell r="AW214"/>
          <cell r="AX214"/>
          <cell r="AY214" t="str">
            <v>מ</v>
          </cell>
          <cell r="AZ214"/>
          <cell r="BA214" t="str">
            <v>ממ³</v>
          </cell>
          <cell r="BB214" t="str">
            <v>|</v>
          </cell>
        </row>
        <row r="215">
          <cell r="AA215" t="str">
            <v xml:space="preserve">        ³</v>
          </cell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 t="str">
            <v>מ</v>
          </cell>
          <cell r="AM215" t="str">
            <v>מ|ממממממממממ</v>
          </cell>
          <cell r="AN215" t="str">
            <v>מ</v>
          </cell>
          <cell r="AO215" t="str">
            <v>ממממממממממממממממ|ממ</v>
          </cell>
          <cell r="AP215"/>
          <cell r="AQ215"/>
          <cell r="AR215" t="str">
            <v>מ</v>
          </cell>
          <cell r="AS215" t="str">
            <v>ממ³</v>
          </cell>
          <cell r="AT215" t="str">
            <v xml:space="preserve">  |</v>
          </cell>
          <cell r="AU215" t="str">
            <v xml:space="preserve">    |</v>
          </cell>
          <cell r="AV215" t="str">
            <v>³</v>
          </cell>
          <cell r="AW215" t="str">
            <v>מ</v>
          </cell>
          <cell r="AX215" t="str">
            <v>מ</v>
          </cell>
          <cell r="AY215"/>
          <cell r="AZ215" t="str">
            <v xml:space="preserve">       ³</v>
          </cell>
          <cell r="BA215" t="str">
            <v xml:space="preserve">  ³</v>
          </cell>
          <cell r="BB215" t="str">
            <v>|</v>
          </cell>
        </row>
        <row r="216">
          <cell r="AA216" t="str">
            <v xml:space="preserve">        ³</v>
          </cell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 t="str">
            <v xml:space="preserve"> |</v>
          </cell>
          <cell r="AN216"/>
          <cell r="AO216"/>
          <cell r="AP216"/>
          <cell r="AQ216" t="str">
            <v xml:space="preserve">       |</v>
          </cell>
          <cell r="AR216"/>
          <cell r="AS216" t="str">
            <v xml:space="preserve">  |</v>
          </cell>
          <cell r="AT216" t="str">
            <v xml:space="preserve">  |</v>
          </cell>
          <cell r="AU216" t="str">
            <v xml:space="preserve">    |</v>
          </cell>
          <cell r="AV216" t="str">
            <v>³</v>
          </cell>
          <cell r="AW216"/>
          <cell r="AX216"/>
          <cell r="AY216" t="str">
            <v>מ</v>
          </cell>
          <cell r="AZ216"/>
          <cell r="BA216" t="str">
            <v>ממ³</v>
          </cell>
          <cell r="BB216" t="str">
            <v>|</v>
          </cell>
        </row>
        <row r="217">
          <cell r="AA217" t="str">
            <v xml:space="preserve">        ³</v>
          </cell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 t="str">
            <v>מ</v>
          </cell>
          <cell r="AM217" t="str">
            <v>מ|ממממממממממ</v>
          </cell>
          <cell r="AN217" t="str">
            <v>מ</v>
          </cell>
          <cell r="AO217" t="str">
            <v>ממממממממממממממממ|ממ</v>
          </cell>
          <cell r="AP217"/>
          <cell r="AQ217"/>
          <cell r="AR217" t="str">
            <v>מ</v>
          </cell>
          <cell r="AS217" t="str">
            <v>ממ³</v>
          </cell>
          <cell r="AT217" t="str">
            <v xml:space="preserve">  |</v>
          </cell>
          <cell r="AU217" t="str">
            <v xml:space="preserve">    |</v>
          </cell>
          <cell r="AV217" t="str">
            <v>³</v>
          </cell>
          <cell r="AW217" t="str">
            <v>מ</v>
          </cell>
          <cell r="AX217" t="str">
            <v>מ</v>
          </cell>
          <cell r="AY217"/>
          <cell r="AZ217" t="str">
            <v xml:space="preserve">       ³</v>
          </cell>
          <cell r="BA217" t="str">
            <v xml:space="preserve">  ³</v>
          </cell>
          <cell r="BB217" t="str">
            <v>|</v>
          </cell>
        </row>
        <row r="218">
          <cell r="AA218" t="str">
            <v xml:space="preserve">        ³</v>
          </cell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 t="str">
            <v xml:space="preserve"> |</v>
          </cell>
          <cell r="AN218"/>
          <cell r="AO218"/>
          <cell r="AP218"/>
          <cell r="AQ218" t="str">
            <v xml:space="preserve">       |</v>
          </cell>
          <cell r="AR218"/>
          <cell r="AS218" t="str">
            <v xml:space="preserve">  |</v>
          </cell>
          <cell r="AT218" t="str">
            <v xml:space="preserve">  |</v>
          </cell>
          <cell r="AU218" t="str">
            <v xml:space="preserve">    |</v>
          </cell>
          <cell r="AV218" t="str">
            <v>³</v>
          </cell>
          <cell r="AW218"/>
          <cell r="AX218"/>
          <cell r="AY218" t="str">
            <v>מ</v>
          </cell>
          <cell r="AZ218"/>
          <cell r="BA218" t="str">
            <v>ממ³</v>
          </cell>
          <cell r="BB218" t="str">
            <v>|</v>
          </cell>
        </row>
        <row r="219">
          <cell r="AA219" t="str">
            <v xml:space="preserve">        ³</v>
          </cell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 t="str">
            <v>מ</v>
          </cell>
          <cell r="AM219" t="str">
            <v>מ|ממממממממממ</v>
          </cell>
          <cell r="AN219" t="str">
            <v>מ</v>
          </cell>
          <cell r="AO219" t="str">
            <v>ממממממממממממממממ|ממ</v>
          </cell>
          <cell r="AP219"/>
          <cell r="AQ219"/>
          <cell r="AR219" t="str">
            <v>מ</v>
          </cell>
          <cell r="AS219" t="str">
            <v>ממ³</v>
          </cell>
          <cell r="AT219" t="str">
            <v xml:space="preserve">  |</v>
          </cell>
          <cell r="AU219" t="str">
            <v xml:space="preserve">    |</v>
          </cell>
          <cell r="AV219" t="str">
            <v>³</v>
          </cell>
          <cell r="AW219" t="str">
            <v>מ</v>
          </cell>
          <cell r="AX219" t="str">
            <v>מ</v>
          </cell>
          <cell r="AY219"/>
          <cell r="AZ219" t="str">
            <v xml:space="preserve">       ³</v>
          </cell>
          <cell r="BA219" t="str">
            <v xml:space="preserve">  ³</v>
          </cell>
          <cell r="BB219" t="str">
            <v>|</v>
          </cell>
        </row>
        <row r="220">
          <cell r="AA220" t="str">
            <v xml:space="preserve">        ³</v>
          </cell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 t="str">
            <v xml:space="preserve"> |</v>
          </cell>
          <cell r="AN220"/>
          <cell r="AO220"/>
          <cell r="AP220"/>
          <cell r="AQ220" t="str">
            <v xml:space="preserve">       |</v>
          </cell>
          <cell r="AR220"/>
          <cell r="AS220" t="str">
            <v xml:space="preserve">  |</v>
          </cell>
          <cell r="AT220" t="str">
            <v xml:space="preserve">  |</v>
          </cell>
          <cell r="AU220" t="str">
            <v xml:space="preserve">    |</v>
          </cell>
          <cell r="AV220" t="str">
            <v>³</v>
          </cell>
          <cell r="AW220"/>
          <cell r="AX220"/>
          <cell r="AY220" t="str">
            <v>מ</v>
          </cell>
          <cell r="AZ220"/>
          <cell r="BA220" t="str">
            <v>ממ³</v>
          </cell>
          <cell r="BB220" t="str">
            <v>|</v>
          </cell>
        </row>
        <row r="221">
          <cell r="AA221" t="str">
            <v xml:space="preserve">        ³</v>
          </cell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 t="str">
            <v>מ</v>
          </cell>
          <cell r="AM221" t="str">
            <v>מ|ממממממממממ</v>
          </cell>
          <cell r="AN221" t="str">
            <v>מ</v>
          </cell>
          <cell r="AO221" t="str">
            <v>ממממממממממממממממ|ממ</v>
          </cell>
          <cell r="AP221"/>
          <cell r="AQ221"/>
          <cell r="AR221" t="str">
            <v>מ</v>
          </cell>
          <cell r="AS221" t="str">
            <v>ממ³</v>
          </cell>
          <cell r="AT221" t="str">
            <v xml:space="preserve">  |</v>
          </cell>
          <cell r="AU221" t="str">
            <v xml:space="preserve">    |</v>
          </cell>
          <cell r="AV221" t="str">
            <v>³</v>
          </cell>
          <cell r="AW221" t="str">
            <v>מ</v>
          </cell>
          <cell r="AX221" t="str">
            <v>מ</v>
          </cell>
          <cell r="AY221"/>
          <cell r="AZ221" t="str">
            <v xml:space="preserve">       ³</v>
          </cell>
          <cell r="BA221" t="str">
            <v xml:space="preserve">  ³</v>
          </cell>
          <cell r="BB221" t="str">
            <v>|</v>
          </cell>
        </row>
        <row r="222">
          <cell r="AA222" t="str">
            <v xml:space="preserve">        ³</v>
          </cell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 t="str">
            <v xml:space="preserve"> |</v>
          </cell>
          <cell r="AN222"/>
          <cell r="AO222"/>
          <cell r="AP222"/>
          <cell r="AQ222" t="str">
            <v xml:space="preserve">       |</v>
          </cell>
          <cell r="AR222"/>
          <cell r="AS222" t="str">
            <v xml:space="preserve">  |</v>
          </cell>
          <cell r="AT222" t="str">
            <v xml:space="preserve">  |</v>
          </cell>
          <cell r="AU222" t="str">
            <v xml:space="preserve">    |</v>
          </cell>
          <cell r="AV222" t="str">
            <v>³</v>
          </cell>
          <cell r="AW222"/>
          <cell r="AX222"/>
          <cell r="AY222" t="str">
            <v>מ</v>
          </cell>
          <cell r="AZ222"/>
          <cell r="BA222" t="str">
            <v>ממ³</v>
          </cell>
          <cell r="BB222" t="str">
            <v>|</v>
          </cell>
        </row>
        <row r="223">
          <cell r="AA223" t="str">
            <v xml:space="preserve">        ³</v>
          </cell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 t="str">
            <v>מ</v>
          </cell>
          <cell r="AM223" t="str">
            <v>מ|ממממממממממ</v>
          </cell>
          <cell r="AN223" t="str">
            <v>מ</v>
          </cell>
          <cell r="AO223" t="str">
            <v>ממממממממממממממממ|ממ</v>
          </cell>
          <cell r="AP223"/>
          <cell r="AQ223"/>
          <cell r="AR223" t="str">
            <v>מ</v>
          </cell>
          <cell r="AS223" t="str">
            <v>ממ³</v>
          </cell>
          <cell r="AT223" t="str">
            <v xml:space="preserve">  |</v>
          </cell>
          <cell r="AU223" t="str">
            <v xml:space="preserve">    |</v>
          </cell>
          <cell r="AV223" t="str">
            <v>³</v>
          </cell>
          <cell r="AW223" t="str">
            <v>מ</v>
          </cell>
          <cell r="AX223" t="str">
            <v>מ</v>
          </cell>
          <cell r="AY223"/>
          <cell r="AZ223" t="str">
            <v xml:space="preserve">       ³</v>
          </cell>
          <cell r="BA223" t="str">
            <v xml:space="preserve">  ³</v>
          </cell>
          <cell r="BB223" t="str">
            <v>|</v>
          </cell>
        </row>
        <row r="224">
          <cell r="AA224" t="str">
            <v xml:space="preserve">        ³</v>
          </cell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 t="str">
            <v xml:space="preserve"> |</v>
          </cell>
          <cell r="AN224"/>
          <cell r="AO224"/>
          <cell r="AP224"/>
          <cell r="AQ224" t="str">
            <v xml:space="preserve">       |</v>
          </cell>
          <cell r="AR224"/>
          <cell r="AS224" t="str">
            <v xml:space="preserve">  |</v>
          </cell>
          <cell r="AT224" t="str">
            <v xml:space="preserve">  |</v>
          </cell>
          <cell r="AU224" t="str">
            <v xml:space="preserve">    |</v>
          </cell>
          <cell r="AV224" t="str">
            <v>³</v>
          </cell>
          <cell r="AW224"/>
          <cell r="AX224"/>
          <cell r="AY224" t="str">
            <v>מ</v>
          </cell>
          <cell r="AZ224"/>
          <cell r="BA224" t="str">
            <v>ממ³</v>
          </cell>
          <cell r="BB224" t="str">
            <v>|</v>
          </cell>
        </row>
        <row r="225">
          <cell r="AA225" t="str">
            <v xml:space="preserve">        ³</v>
          </cell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 t="str">
            <v>מ</v>
          </cell>
          <cell r="AM225" t="str">
            <v>מ|ממממממממממ</v>
          </cell>
          <cell r="AN225" t="str">
            <v>מ</v>
          </cell>
          <cell r="AO225" t="str">
            <v>ממממממממממממממממ|ממ</v>
          </cell>
          <cell r="AP225"/>
          <cell r="AQ225"/>
          <cell r="AR225" t="str">
            <v>מ</v>
          </cell>
          <cell r="AS225" t="str">
            <v>ממ³</v>
          </cell>
          <cell r="AT225" t="str">
            <v xml:space="preserve">  |</v>
          </cell>
          <cell r="AU225" t="str">
            <v xml:space="preserve">    |</v>
          </cell>
          <cell r="AV225" t="str">
            <v>³</v>
          </cell>
          <cell r="AW225" t="str">
            <v>מ</v>
          </cell>
          <cell r="AX225" t="str">
            <v>מ</v>
          </cell>
          <cell r="AY225"/>
          <cell r="AZ225" t="str">
            <v xml:space="preserve">       ³</v>
          </cell>
          <cell r="BA225" t="str">
            <v xml:space="preserve">  ³</v>
          </cell>
          <cell r="BB225" t="str">
            <v>|</v>
          </cell>
        </row>
        <row r="226">
          <cell r="AA226" t="str">
            <v xml:space="preserve">        ³</v>
          </cell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 t="str">
            <v xml:space="preserve"> |</v>
          </cell>
          <cell r="AN226"/>
          <cell r="AO226"/>
          <cell r="AP226"/>
          <cell r="AQ226" t="str">
            <v xml:space="preserve">       |</v>
          </cell>
          <cell r="AR226"/>
          <cell r="AS226" t="str">
            <v xml:space="preserve">  |</v>
          </cell>
          <cell r="AT226" t="str">
            <v xml:space="preserve">  |</v>
          </cell>
          <cell r="AU226" t="str">
            <v xml:space="preserve">    |</v>
          </cell>
          <cell r="AV226" t="str">
            <v>³</v>
          </cell>
          <cell r="AW226"/>
          <cell r="AX226"/>
          <cell r="AY226" t="str">
            <v>מ</v>
          </cell>
          <cell r="AZ226"/>
          <cell r="BA226" t="str">
            <v>ממ³</v>
          </cell>
          <cell r="BB226" t="str">
            <v>|</v>
          </cell>
        </row>
        <row r="227">
          <cell r="AA227" t="str">
            <v xml:space="preserve">        ³</v>
          </cell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 t="str">
            <v>מ</v>
          </cell>
          <cell r="AM227" t="str">
            <v>מ|ממממממממממ</v>
          </cell>
          <cell r="AN227" t="str">
            <v>מ</v>
          </cell>
          <cell r="AO227" t="str">
            <v>ממממממממממממממממ|ממ</v>
          </cell>
          <cell r="AP227"/>
          <cell r="AQ227"/>
          <cell r="AR227" t="str">
            <v>מ</v>
          </cell>
          <cell r="AS227" t="str">
            <v>ממ³</v>
          </cell>
          <cell r="AT227" t="str">
            <v xml:space="preserve">  |</v>
          </cell>
          <cell r="AU227" t="str">
            <v xml:space="preserve">    |</v>
          </cell>
          <cell r="AV227" t="str">
            <v>³</v>
          </cell>
          <cell r="AW227" t="str">
            <v>מ</v>
          </cell>
          <cell r="AX227"/>
          <cell r="AY227"/>
          <cell r="AZ227" t="str">
            <v xml:space="preserve">       ³</v>
          </cell>
          <cell r="BA227" t="str">
            <v xml:space="preserve">  ³</v>
          </cell>
          <cell r="BB227" t="str">
            <v>|</v>
          </cell>
        </row>
        <row r="228">
          <cell r="AA228" t="str">
            <v xml:space="preserve">        ³============³==================================================³===============³</v>
          </cell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 t="str">
            <v xml:space="preserve"> ³</v>
          </cell>
          <cell r="AN228"/>
          <cell r="AO228"/>
          <cell r="AP228"/>
          <cell r="AQ228" t="str">
            <v xml:space="preserve">       |</v>
          </cell>
          <cell r="AR228"/>
          <cell r="AS228" t="str">
            <v xml:space="preserve">  |</v>
          </cell>
          <cell r="AT228" t="str">
            <v xml:space="preserve">  |</v>
          </cell>
          <cell r="AU228" t="str">
            <v xml:space="preserve">    |</v>
          </cell>
          <cell r="AV228" t="str">
            <v>³</v>
          </cell>
          <cell r="AW228"/>
          <cell r="AX228"/>
          <cell r="AY228" t="str">
            <v>מ</v>
          </cell>
          <cell r="AZ228"/>
          <cell r="BA228" t="str">
            <v>ממ³</v>
          </cell>
          <cell r="BB228" t="str">
            <v>|</v>
          </cell>
        </row>
        <row r="229">
          <cell r="AA229" t="str">
            <v xml:space="preserve">        ³</v>
          </cell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 t="str">
            <v>========================</v>
          </cell>
          <cell r="AS229" t="str">
            <v>==|</v>
          </cell>
          <cell r="AT229" t="str">
            <v xml:space="preserve">  |</v>
          </cell>
          <cell r="AU229" t="str">
            <v xml:space="preserve">    |</v>
          </cell>
          <cell r="AV229" t="str">
            <v>³</v>
          </cell>
          <cell r="AW229" t="str">
            <v>מ</v>
          </cell>
          <cell r="AX229"/>
          <cell r="AY229"/>
          <cell r="AZ229" t="str">
            <v xml:space="preserve">       ³</v>
          </cell>
          <cell r="BA229" t="str">
            <v xml:space="preserve">  ³</v>
          </cell>
          <cell r="BB229" t="str">
            <v>|</v>
          </cell>
        </row>
        <row r="230">
          <cell r="AA230" t="str">
            <v xml:space="preserve">        ============================================================================</v>
          </cell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>
            <v>124233.86020000001</v>
          </cell>
          <cell r="AM230" t="str">
            <v xml:space="preserve"> ³                        :סה"כ סכום הנכסים הקבועים |            </v>
          </cell>
          <cell r="AN230"/>
          <cell r="AO230"/>
          <cell r="AP230"/>
          <cell r="AQ230"/>
          <cell r="AR230"/>
          <cell r="AS230" t="str">
            <v xml:space="preserve">  |</v>
          </cell>
          <cell r="AT230" t="str">
            <v xml:space="preserve">  |</v>
          </cell>
          <cell r="AU230" t="str">
            <v xml:space="preserve">    |</v>
          </cell>
          <cell r="AV230" t="str">
            <v>³=============³==================================================³===============³</v>
          </cell>
          <cell r="AW230"/>
          <cell r="AX230"/>
          <cell r="AY230" t="str">
            <v>מ</v>
          </cell>
          <cell r="AZ230"/>
          <cell r="BA230" t="str">
            <v>ממ³</v>
          </cell>
          <cell r="BB230" t="str">
            <v>|</v>
          </cell>
        </row>
        <row r="231">
          <cell r="AA231" t="str">
            <v xml:space="preserve"> </v>
          </cell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 t="str">
            <v>==============</v>
          </cell>
          <cell r="AS231" t="str">
            <v>===</v>
          </cell>
          <cell r="AT231" t="str">
            <v xml:space="preserve">  |</v>
          </cell>
          <cell r="AU231" t="str">
            <v xml:space="preserve">    |</v>
          </cell>
          <cell r="AV231" t="str">
            <v>³                  ³                                                  ³            ³</v>
          </cell>
          <cell r="AW231">
            <v>0</v>
          </cell>
          <cell r="AX231"/>
          <cell r="AY231"/>
          <cell r="AZ231" t="str">
            <v xml:space="preserve">       ³</v>
          </cell>
          <cell r="BA231" t="str">
            <v xml:space="preserve">  ³</v>
          </cell>
          <cell r="BB231" t="str">
            <v>|</v>
          </cell>
        </row>
        <row r="232">
          <cell r="AT232" t="str">
            <v xml:space="preserve">  |</v>
          </cell>
          <cell r="AU232" t="str">
            <v xml:space="preserve">    |</v>
          </cell>
          <cell r="AV232" t="str">
            <v>==================================================================================</v>
          </cell>
          <cell r="AW232"/>
          <cell r="AX232"/>
          <cell r="AY232" t="str">
            <v>מ</v>
          </cell>
          <cell r="AZ232"/>
          <cell r="BA232" t="str">
            <v>ממ³</v>
          </cell>
          <cell r="BB232" t="str">
            <v>|</v>
          </cell>
        </row>
        <row r="233">
          <cell r="AT233" t="str">
            <v xml:space="preserve">  |</v>
          </cell>
          <cell r="AU233" t="str">
            <v xml:space="preserve">    |</v>
          </cell>
          <cell r="AV233"/>
          <cell r="AW233"/>
          <cell r="AX233"/>
          <cell r="AY233"/>
          <cell r="AZ233" t="str">
            <v xml:space="preserve">       ³</v>
          </cell>
          <cell r="BA233" t="str">
            <v xml:space="preserve">  ³</v>
          </cell>
          <cell r="BB233" t="str">
            <v>|</v>
          </cell>
        </row>
        <row r="234">
          <cell r="AT234" t="str">
            <v xml:space="preserve">  |</v>
          </cell>
          <cell r="AU234" t="str">
            <v xml:space="preserve">    |</v>
          </cell>
          <cell r="AV234"/>
          <cell r="AW234"/>
          <cell r="AX234"/>
          <cell r="AY234" t="str">
            <v>מ</v>
          </cell>
          <cell r="AZ234"/>
          <cell r="BA234" t="str">
            <v>ממ³</v>
          </cell>
          <cell r="BB234" t="str">
            <v>|</v>
          </cell>
        </row>
        <row r="235">
          <cell r="AZ235" t="str">
            <v xml:space="preserve">       ³</v>
          </cell>
          <cell r="BA235" t="str">
            <v xml:space="preserve">  ³</v>
          </cell>
          <cell r="BB235" t="str">
            <v>|</v>
          </cell>
        </row>
        <row r="236">
          <cell r="AY236" t="str">
            <v>מ</v>
          </cell>
          <cell r="AZ236"/>
          <cell r="BA236" t="str">
            <v>ממ³</v>
          </cell>
          <cell r="BB236" t="str">
            <v>|</v>
          </cell>
        </row>
        <row r="237">
          <cell r="BB237" t="str">
            <v>|</v>
          </cell>
        </row>
        <row r="238">
          <cell r="BB238" t="str">
            <v>|</v>
          </cell>
        </row>
        <row r="239">
          <cell r="BB239" t="str">
            <v>|</v>
          </cell>
        </row>
        <row r="240">
          <cell r="BB240" t="str">
            <v>|</v>
          </cell>
        </row>
        <row r="241">
          <cell r="BB241" t="str">
            <v>|</v>
          </cell>
        </row>
        <row r="256">
          <cell r="T256" t="str">
            <v>|ש"ח על פי הסכם XXX,XXX כולל פחת כבלים בעת הנחתם ונכוי בשל פחת בגינו בסך כולל של</v>
          </cell>
        </row>
        <row r="257">
          <cell r="T257" t="str">
            <v>עם פקיד השומה מיום 15.1.96.</v>
          </cell>
        </row>
      </sheetData>
      <sheetData sheetId="7" refreshError="1">
        <row r="9">
          <cell r="O9" t="str">
            <v>משרדי</v>
          </cell>
          <cell r="R9" t="str">
            <v>31 בדצמבר</v>
          </cell>
          <cell r="U9" t="str">
            <v>התחשבנות ישנה</v>
          </cell>
          <cell r="AG9" t="str">
            <v xml:space="preserve">  1997</v>
          </cell>
          <cell r="AI9" t="str">
            <v xml:space="preserve">  1998   </v>
          </cell>
          <cell r="AZ9" t="str">
            <v>חייבים ויתרות חובה - אחרים</v>
          </cell>
          <cell r="BH9" t="str">
            <v>-2 ˜…</v>
          </cell>
          <cell r="BP9" t="str">
            <v>מרכז</v>
          </cell>
          <cell r="BR9" t="str">
            <v>דרום</v>
          </cell>
        </row>
        <row r="10">
          <cell r="R10" t="str">
            <v xml:space="preserve">  1997</v>
          </cell>
          <cell r="T10" t="str">
            <v xml:space="preserve">  1998   </v>
          </cell>
          <cell r="V10" t="str">
            <v>באור</v>
          </cell>
          <cell r="AG10" t="str">
            <v>ב א ל פ י ם</v>
          </cell>
          <cell r="AK10" t="str">
            <v>באור</v>
          </cell>
          <cell r="BP10" t="str">
            <v>ערוצי</v>
          </cell>
          <cell r="BR10" t="str">
            <v>השרון</v>
          </cell>
        </row>
        <row r="11">
          <cell r="R11" t="str">
            <v>ב א ל פ י ם</v>
          </cell>
          <cell r="BE11" t="str">
            <v>|-חברות צדדים קשורים</v>
          </cell>
          <cell r="BP11" t="str">
            <v>זהב</v>
          </cell>
          <cell r="BR11" t="str">
            <v>תקשורת</v>
          </cell>
        </row>
        <row r="12">
          <cell r="AG12">
            <v>30025</v>
          </cell>
          <cell r="AI12">
            <v>18292</v>
          </cell>
          <cell r="AK12">
            <v>-15</v>
          </cell>
          <cell r="AM12" t="str">
            <v>הכנסות</v>
          </cell>
          <cell r="BE12" t="str">
            <v>|יתרות צמודות למדד</v>
          </cell>
          <cell r="BL12" t="str">
            <v xml:space="preserve">  1997</v>
          </cell>
          <cell r="BN12" t="str">
            <v xml:space="preserve">  1998   </v>
          </cell>
          <cell r="BP12" t="str">
            <v>(1985)</v>
          </cell>
          <cell r="BR12" t="str">
            <v>1990</v>
          </cell>
        </row>
        <row r="13">
          <cell r="AS13">
            <v>4121</v>
          </cell>
          <cell r="AU13">
            <v>1110</v>
          </cell>
          <cell r="BE13" t="str">
            <v>המחירים לצרכן</v>
          </cell>
          <cell r="BL13" t="str">
            <v>סה"כ</v>
          </cell>
          <cell r="BN13" t="str">
            <v>סה"כ</v>
          </cell>
          <cell r="BP13" t="str">
            <v>בע"מ</v>
          </cell>
          <cell r="BR13" t="str">
            <v>בע"מ</v>
          </cell>
        </row>
        <row r="14">
          <cell r="AG14">
            <v>1497</v>
          </cell>
          <cell r="AI14">
            <v>-27</v>
          </cell>
          <cell r="AK14">
            <v>-16</v>
          </cell>
          <cell r="AM14" t="str">
            <v>הוצאות תפעול</v>
          </cell>
          <cell r="BP14" t="str">
            <v>(2)</v>
          </cell>
          <cell r="BR14" t="str">
            <v>(1)</v>
          </cell>
        </row>
        <row r="15">
          <cell r="Z15" t="str">
            <v>ר כ ו ש</v>
          </cell>
          <cell r="AS15">
            <v>2130</v>
          </cell>
          <cell r="AU15">
            <v>-2574.2004064152843</v>
          </cell>
          <cell r="BC15" t="str">
            <v>מס הכנסה - החזר לקבל</v>
          </cell>
          <cell r="BL15" t="str">
            <v>אלפי ש"ח</v>
          </cell>
        </row>
        <row r="16">
          <cell r="Z16" t="str">
            <v>רכוש שוטף:</v>
          </cell>
          <cell r="AG16">
            <v>28528</v>
          </cell>
          <cell r="AI16">
            <v>18319</v>
          </cell>
          <cell r="AM16" t="str">
            <v>רווח גולמי</v>
          </cell>
          <cell r="BL16" t="str">
            <v xml:space="preserve"> </v>
          </cell>
        </row>
        <row r="17">
          <cell r="R17">
            <v>24</v>
          </cell>
          <cell r="T17">
            <v>4</v>
          </cell>
          <cell r="X17" t="str">
            <v>מזומנים ושווי מזומנים</v>
          </cell>
          <cell r="AG17" t="str">
            <v>|-----</v>
          </cell>
          <cell r="AI17" t="str">
            <v>|-----</v>
          </cell>
          <cell r="AS17">
            <v>372</v>
          </cell>
          <cell r="AU17">
            <v>0</v>
          </cell>
          <cell r="BD17" t="str">
            <v>חייבים שונים</v>
          </cell>
          <cell r="BL17">
            <v>101202</v>
          </cell>
          <cell r="BN17">
            <v>50162</v>
          </cell>
          <cell r="BP17">
            <v>46386</v>
          </cell>
          <cell r="BR17">
            <v>3776</v>
          </cell>
        </row>
        <row r="18">
          <cell r="X18" t="str">
            <v>|הלוואות לזמן קצר לחברה מסונפת צמודות למדד</v>
          </cell>
          <cell r="AM18" t="str">
            <v>הוצאות מכירה, הנהלה וכלליות:</v>
          </cell>
        </row>
        <row r="19">
          <cell r="R19">
            <v>0</v>
          </cell>
          <cell r="T19">
            <v>0</v>
          </cell>
          <cell r="X19" t="str">
            <v>ואינן נושאות רבית</v>
          </cell>
          <cell r="AS19">
            <v>6623</v>
          </cell>
          <cell r="AU19">
            <v>-1464.2004064152843</v>
          </cell>
        </row>
        <row r="20">
          <cell r="R20">
            <v>2589</v>
          </cell>
          <cell r="T20">
            <v>2575</v>
          </cell>
          <cell r="V20">
            <v>-4</v>
          </cell>
          <cell r="X20" t="str">
            <v>|חברה בת - חלות שוטפת של הלואה לזמן ארוך</v>
          </cell>
          <cell r="AG20">
            <v>8097</v>
          </cell>
          <cell r="AI20">
            <v>3</v>
          </cell>
          <cell r="AK20">
            <v>-17</v>
          </cell>
          <cell r="AM20" t="str">
            <v>מכירה ושרותי שווק</v>
          </cell>
          <cell r="BL20">
            <v>-5194</v>
          </cell>
          <cell r="BN20">
            <v>-14401</v>
          </cell>
          <cell r="BP20">
            <v>0</v>
          </cell>
          <cell r="BR20">
            <v>-14401</v>
          </cell>
        </row>
        <row r="21">
          <cell r="Z21" t="str">
            <v>חייבים ויתרות חובה:</v>
          </cell>
          <cell r="AG21">
            <v>7385</v>
          </cell>
          <cell r="AI21">
            <v>8503</v>
          </cell>
          <cell r="AK21">
            <v>-18</v>
          </cell>
          <cell r="AM21" t="str">
            <v>הנהלה וכלליות</v>
          </cell>
        </row>
        <row r="22">
          <cell r="R22">
            <v>3303</v>
          </cell>
          <cell r="T22">
            <v>3783</v>
          </cell>
          <cell r="Z22" t="str">
            <v>חברה בת - הכנסות לקבל</v>
          </cell>
          <cell r="AG22">
            <v>15482</v>
          </cell>
          <cell r="AI22">
            <v>8506</v>
          </cell>
          <cell r="BE22" t="str">
            <v>השקעה בשותפות</v>
          </cell>
          <cell r="BH22" t="str">
            <v>-3 ˜…</v>
          </cell>
          <cell r="BL22">
            <v>-62522</v>
          </cell>
          <cell r="BN22">
            <v>8691</v>
          </cell>
          <cell r="BP22">
            <v>7735</v>
          </cell>
          <cell r="BR22">
            <v>956</v>
          </cell>
        </row>
        <row r="23">
          <cell r="R23">
            <v>3320</v>
          </cell>
          <cell r="T23">
            <v>-1464.2004064152843</v>
          </cell>
          <cell r="V23">
            <v>-2</v>
          </cell>
          <cell r="Z23" t="str">
            <v>אחרים</v>
          </cell>
          <cell r="AG23" t="str">
            <v>|-----</v>
          </cell>
          <cell r="AI23" t="str">
            <v>|-----</v>
          </cell>
          <cell r="BL23">
            <v>-2588.8339999999998</v>
          </cell>
          <cell r="BN23">
            <v>-2575</v>
          </cell>
          <cell r="BP23">
            <v>-2575</v>
          </cell>
        </row>
        <row r="24">
          <cell r="AS24" t="str">
            <v>חלק החברה</v>
          </cell>
          <cell r="AW24" t="str">
            <v>חלק המיעוט</v>
          </cell>
        </row>
        <row r="25">
          <cell r="R25">
            <v>9236</v>
          </cell>
          <cell r="T25">
            <v>4897.7995935847157</v>
          </cell>
          <cell r="Z25" t="str">
            <v>ס ך  רכוש שוטף</v>
          </cell>
          <cell r="AG25">
            <v>13046</v>
          </cell>
          <cell r="AI25">
            <v>9813</v>
          </cell>
          <cell r="AM25" t="str">
            <v>רווח מפעולות רגילות</v>
          </cell>
          <cell r="AS25" t="str">
            <v>בשותפות (%70)(*)</v>
          </cell>
          <cell r="AW25" t="str">
            <v>בשותפות (%30)(*)</v>
          </cell>
          <cell r="BA25" t="str">
            <v>סה"כ השותפות</v>
          </cell>
          <cell r="BL25">
            <v>6491</v>
          </cell>
          <cell r="BN25">
            <v>5538</v>
          </cell>
          <cell r="BP25">
            <v>6361</v>
          </cell>
          <cell r="BR25">
            <v>-823</v>
          </cell>
        </row>
        <row r="26">
          <cell r="R26" t="str">
            <v>|-----</v>
          </cell>
          <cell r="T26" t="str">
            <v>|-----</v>
          </cell>
          <cell r="AG26" t="str">
            <v xml:space="preserve"> </v>
          </cell>
          <cell r="AS26" t="str">
            <v xml:space="preserve">  1997</v>
          </cell>
          <cell r="AU26" t="str">
            <v xml:space="preserve">  1998   </v>
          </cell>
          <cell r="AW26" t="str">
            <v xml:space="preserve">  1997</v>
          </cell>
          <cell r="AY26" t="str">
            <v xml:space="preserve">  1998   </v>
          </cell>
          <cell r="BA26" t="str">
            <v xml:space="preserve">  1997</v>
          </cell>
          <cell r="BC26" t="str">
            <v xml:space="preserve">  1998   </v>
          </cell>
          <cell r="BL26">
            <v>10185</v>
          </cell>
          <cell r="BN26">
            <v>11062</v>
          </cell>
          <cell r="BP26">
            <v>-4538</v>
          </cell>
          <cell r="BR26">
            <v>15600</v>
          </cell>
        </row>
        <row r="27">
          <cell r="AG27">
            <v>6268</v>
          </cell>
          <cell r="AI27">
            <v>18381</v>
          </cell>
          <cell r="AK27">
            <v>-19</v>
          </cell>
          <cell r="AM27" t="str">
            <v>הכנסות מימון - נטו</v>
          </cell>
          <cell r="AS27" t="str">
            <v>אלפי ש"ח</v>
          </cell>
        </row>
        <row r="28">
          <cell r="AG28">
            <v>36</v>
          </cell>
          <cell r="AI28">
            <v>194</v>
          </cell>
          <cell r="AM28" t="str">
            <v>הכנסות (הוצאות) אחרות - נטו</v>
          </cell>
          <cell r="BL28">
            <v>47573.165999999997</v>
          </cell>
          <cell r="BN28">
            <v>58477</v>
          </cell>
          <cell r="BP28">
            <v>53369</v>
          </cell>
          <cell r="BR28">
            <v>5108</v>
          </cell>
        </row>
        <row r="29">
          <cell r="AA29" t="str">
            <v>השקעות:</v>
          </cell>
          <cell r="AS29" t="e">
            <v>#REF!</v>
          </cell>
          <cell r="AU29">
            <v>45801.907000000007</v>
          </cell>
          <cell r="AW29">
            <v>37598</v>
          </cell>
          <cell r="AY29">
            <v>34048</v>
          </cell>
          <cell r="BA29" t="e">
            <v>#REF!</v>
          </cell>
          <cell r="BC29">
            <v>79849.907000000007</v>
          </cell>
          <cell r="BE29" t="str">
            <v>לתחילת השנה</v>
          </cell>
        </row>
        <row r="30">
          <cell r="R30" t="e">
            <v>#REF!</v>
          </cell>
          <cell r="T30">
            <v>138965</v>
          </cell>
          <cell r="V30">
            <v>-3</v>
          </cell>
          <cell r="Z30" t="str">
            <v>השקעה בשותפות</v>
          </cell>
          <cell r="AG30">
            <v>19350</v>
          </cell>
          <cell r="AI30">
            <v>28388</v>
          </cell>
          <cell r="AM30" t="str">
            <v>רווח לפני מסים על ההכנסה</v>
          </cell>
          <cell r="AS30" t="e">
            <v>#REF!</v>
          </cell>
          <cell r="AU30" t="e">
            <v>#REF!</v>
          </cell>
          <cell r="AW30">
            <v>-30622</v>
          </cell>
          <cell r="AY30" t="e">
            <v>#REF!</v>
          </cell>
          <cell r="BA30" t="e">
            <v>#REF!</v>
          </cell>
          <cell r="BC30" t="e">
            <v>#REF!</v>
          </cell>
          <cell r="BE30" t="str">
            <v>החזר השקעה, נטו</v>
          </cell>
          <cell r="BL30">
            <v>-2588.8340000000026</v>
          </cell>
        </row>
        <row r="31">
          <cell r="R31">
            <v>47573.165999999997</v>
          </cell>
          <cell r="T31">
            <v>58478</v>
          </cell>
          <cell r="V31">
            <v>-4</v>
          </cell>
          <cell r="Z31" t="str">
            <v>השקעות בחברות בנות</v>
          </cell>
          <cell r="AS31" t="e">
            <v>#REF!</v>
          </cell>
          <cell r="AU31">
            <v>22762</v>
          </cell>
          <cell r="AW31">
            <v>4881</v>
          </cell>
          <cell r="AY31">
            <v>0</v>
          </cell>
          <cell r="BA31" t="e">
            <v>#REF!</v>
          </cell>
          <cell r="BC31" t="e">
            <v>#REF!</v>
          </cell>
          <cell r="BE31" t="str">
            <v>הפרשי הצמדה וריבית</v>
          </cell>
          <cell r="BP31" t="str">
            <v>חלק</v>
          </cell>
        </row>
        <row r="32">
          <cell r="R32">
            <v>17144.994999999999</v>
          </cell>
          <cell r="T32">
            <v>20124</v>
          </cell>
          <cell r="V32">
            <v>-5</v>
          </cell>
          <cell r="Y32" t="str">
            <v>השקעות בתאגידים בשליטה משותפת</v>
          </cell>
          <cell r="AG32">
            <v>-6883</v>
          </cell>
          <cell r="AI32" t="e">
            <v>#REF!</v>
          </cell>
          <cell r="AK32">
            <v>-21</v>
          </cell>
          <cell r="AM32" t="str">
            <v>מסים על ההכנסה</v>
          </cell>
          <cell r="AS32" t="e">
            <v>#REF!</v>
          </cell>
          <cell r="AU32" t="e">
            <v>#REF!</v>
          </cell>
          <cell r="AW32">
            <v>14398</v>
          </cell>
          <cell r="AY32" t="e">
            <v>#REF!</v>
          </cell>
          <cell r="BA32" t="e">
            <v>#REF!</v>
          </cell>
          <cell r="BC32" t="e">
            <v>#REF!</v>
          </cell>
          <cell r="BE32" t="str">
            <v>רווח השנה לאחר ייחוס המס</v>
          </cell>
          <cell r="BP32" t="str">
            <v>החברה</v>
          </cell>
        </row>
        <row r="33">
          <cell r="R33">
            <v>0</v>
          </cell>
          <cell r="T33">
            <v>0</v>
          </cell>
          <cell r="V33">
            <v>-6</v>
          </cell>
          <cell r="Z33" t="str">
            <v>השקעה בחברה מסונפת</v>
          </cell>
          <cell r="AS33">
            <v>17144</v>
          </cell>
          <cell r="AU33" t="e">
            <v>#REF!</v>
          </cell>
          <cell r="AW33">
            <v>7793</v>
          </cell>
          <cell r="AY33" t="e">
            <v>#REF!</v>
          </cell>
          <cell r="BA33">
            <v>24937</v>
          </cell>
          <cell r="BC33" t="e">
            <v>#REF!</v>
          </cell>
          <cell r="BE33" t="str">
            <v>מיסים שיוחסו לרווח</v>
          </cell>
          <cell r="BP33" t="str">
            <v>ברווחים</v>
          </cell>
        </row>
        <row r="34">
          <cell r="R34">
            <v>39239</v>
          </cell>
          <cell r="T34">
            <v>99012</v>
          </cell>
          <cell r="V34">
            <v>-7</v>
          </cell>
          <cell r="Z34" t="str">
            <v>השקעות אחרות</v>
          </cell>
          <cell r="AG34">
            <v>12467</v>
          </cell>
          <cell r="AI34" t="e">
            <v>#REF!</v>
          </cell>
          <cell r="BP34" t="str">
            <v>בנכוי</v>
          </cell>
        </row>
        <row r="35">
          <cell r="AS35" t="e">
            <v>#REF!</v>
          </cell>
          <cell r="AU35">
            <v>138903</v>
          </cell>
          <cell r="AW35">
            <v>34048</v>
          </cell>
          <cell r="AY35" t="e">
            <v>#REF!</v>
          </cell>
          <cell r="BA35" t="e">
            <v>#REF!</v>
          </cell>
          <cell r="BC35" t="e">
            <v>#REF!</v>
          </cell>
          <cell r="BE35" t="str">
            <v>לסוף השנה</v>
          </cell>
          <cell r="BL35" t="str">
            <v xml:space="preserve">  1997</v>
          </cell>
          <cell r="BN35" t="str">
            <v xml:space="preserve">  1998   </v>
          </cell>
          <cell r="BP35" t="str">
            <v>דיבידנד,</v>
          </cell>
          <cell r="BR35" t="str">
            <v>הון</v>
          </cell>
        </row>
        <row r="36">
          <cell r="R36" t="e">
            <v>#REF!</v>
          </cell>
          <cell r="T36">
            <v>316579</v>
          </cell>
          <cell r="AG36" t="e">
            <v>#REF!</v>
          </cell>
          <cell r="AI36" t="e">
            <v>#REF!</v>
          </cell>
          <cell r="AK36">
            <v>-3</v>
          </cell>
          <cell r="AM36" t="str">
            <v>|חלקה של החברה ברווח השותפות</v>
          </cell>
          <cell r="BL36" t="str">
            <v>סה"כ</v>
          </cell>
          <cell r="BN36" t="str">
            <v>סה"כ</v>
          </cell>
          <cell r="BP36" t="str">
            <v>(בהפסדים)</v>
          </cell>
          <cell r="BR36" t="str">
            <v>מניות</v>
          </cell>
        </row>
        <row r="37">
          <cell r="R37" t="str">
            <v>|-----</v>
          </cell>
          <cell r="T37" t="str">
            <v>|-----</v>
          </cell>
          <cell r="AM37" t="str">
            <v>|חלקה של החברה ברווח השותפות</v>
          </cell>
          <cell r="BE37" t="str">
            <v>מוניטין בשותפות</v>
          </cell>
          <cell r="BL37" t="str">
            <v>אלפי ש"ח</v>
          </cell>
        </row>
        <row r="38">
          <cell r="AG38">
            <v>858</v>
          </cell>
          <cell r="AI38">
            <v>1034</v>
          </cell>
          <cell r="AK38">
            <v>-5</v>
          </cell>
          <cell r="AM38" t="str">
            <v>בשליטה משותפת</v>
          </cell>
          <cell r="BL38" t="str">
            <v xml:space="preserve"> </v>
          </cell>
        </row>
        <row r="39">
          <cell r="V39">
            <v>-8</v>
          </cell>
          <cell r="Z39" t="str">
            <v>רכוש קבוע:</v>
          </cell>
          <cell r="AG39">
            <v>10185</v>
          </cell>
          <cell r="AI39">
            <v>11062</v>
          </cell>
          <cell r="AK39">
            <v>-4</v>
          </cell>
          <cell r="AM39" t="str">
            <v>|חלקה של החברה ברווחי חברות בנות</v>
          </cell>
          <cell r="AS39">
            <v>186</v>
          </cell>
          <cell r="AU39">
            <v>124</v>
          </cell>
          <cell r="BE39" t="str">
            <v>לתחילת השנה</v>
          </cell>
          <cell r="BL39">
            <v>3776</v>
          </cell>
          <cell r="BN39">
            <v>5108</v>
          </cell>
          <cell r="BP39">
            <v>4026</v>
          </cell>
          <cell r="BR39">
            <v>0</v>
          </cell>
        </row>
        <row r="40">
          <cell r="R40">
            <v>2148</v>
          </cell>
          <cell r="T40">
            <v>0</v>
          </cell>
          <cell r="Z40" t="str">
            <v>העלות</v>
          </cell>
          <cell r="AM40" t="str">
            <v>|חלקה של החברה בהפסד חברה</v>
          </cell>
          <cell r="AS40">
            <v>-62</v>
          </cell>
          <cell r="AU40">
            <v>-62</v>
          </cell>
          <cell r="BE40" t="str">
            <v>הפחתה</v>
          </cell>
          <cell r="BL40" t="str">
            <v>-----</v>
          </cell>
          <cell r="BN40" t="str">
            <v>-----</v>
          </cell>
          <cell r="BP40" t="str">
            <v>------</v>
          </cell>
          <cell r="BR40" t="str">
            <v>-----</v>
          </cell>
        </row>
        <row r="41">
          <cell r="R41">
            <v>564</v>
          </cell>
          <cell r="T41">
            <v>0</v>
          </cell>
          <cell r="Z41" t="str">
            <v>ב נ י כ ו י - פחת שנצבר</v>
          </cell>
          <cell r="AG41">
            <v>-588</v>
          </cell>
          <cell r="AI41">
            <v>1825</v>
          </cell>
          <cell r="AK41">
            <v>-5</v>
          </cell>
          <cell r="AM41" t="str">
            <v>בשליטה משותפת</v>
          </cell>
        </row>
        <row r="42">
          <cell r="AG42">
            <v>-29681</v>
          </cell>
          <cell r="AI42">
            <v>-29350</v>
          </cell>
          <cell r="AK42">
            <v>-6</v>
          </cell>
          <cell r="AM42" t="str">
            <v>|חלקה של החברה בהפסדי חברה מסונפת</v>
          </cell>
          <cell r="AS42">
            <v>124</v>
          </cell>
          <cell r="AU42">
            <v>62</v>
          </cell>
          <cell r="BE42" t="str">
            <v>לסוף השנה</v>
          </cell>
          <cell r="BL42">
            <v>46386</v>
          </cell>
          <cell r="BN42">
            <v>55945</v>
          </cell>
          <cell r="BP42">
            <v>-6529</v>
          </cell>
          <cell r="BR42">
            <v>1</v>
          </cell>
        </row>
        <row r="43">
          <cell r="R43">
            <v>1584</v>
          </cell>
          <cell r="T43">
            <v>0</v>
          </cell>
          <cell r="BL43">
            <v>-2588.8339999999998</v>
          </cell>
          <cell r="BN43">
            <v>-2575</v>
          </cell>
          <cell r="BP43">
            <v>0</v>
          </cell>
          <cell r="BR43">
            <v>0</v>
          </cell>
        </row>
        <row r="44">
          <cell r="R44" t="str">
            <v>|-----</v>
          </cell>
          <cell r="T44" t="str">
            <v>|-----</v>
          </cell>
          <cell r="AG44" t="e">
            <v>#REF!</v>
          </cell>
          <cell r="AI44" t="e">
            <v>#REF!</v>
          </cell>
          <cell r="AM44" t="str">
            <v>רווח נקי לשנה</v>
          </cell>
          <cell r="AS44" t="e">
            <v>#REF!</v>
          </cell>
          <cell r="AU44">
            <v>138965</v>
          </cell>
          <cell r="BD44" t="str">
            <v>סה"כ חלק החברה בשותפות</v>
          </cell>
          <cell r="BL44">
            <v>43797.165999999997</v>
          </cell>
          <cell r="BN44">
            <v>53370</v>
          </cell>
          <cell r="BP44">
            <v>-6529</v>
          </cell>
          <cell r="BR44">
            <v>1</v>
          </cell>
        </row>
        <row r="45">
          <cell r="R45" t="str">
            <v xml:space="preserve"> </v>
          </cell>
          <cell r="BL45" t="str">
            <v>-----</v>
          </cell>
          <cell r="BN45" t="str">
            <v>-----</v>
          </cell>
          <cell r="BP45" t="str">
            <v>------</v>
          </cell>
          <cell r="BR45" t="str">
            <v>-----</v>
          </cell>
        </row>
        <row r="46">
          <cell r="Z46" t="str">
            <v>רכוש אחר והוצאות נדחות,</v>
          </cell>
          <cell r="AG46">
            <v>95373</v>
          </cell>
          <cell r="AI46" t="e">
            <v>#REF!</v>
          </cell>
          <cell r="AM46" t="str">
            <v>יתרת רווח לתחילת השנה</v>
          </cell>
          <cell r="AZ46" t="str">
            <v>חלק החברה ברווח השותפות - הצגה ברו"ה:</v>
          </cell>
          <cell r="BL46">
            <v>47573.165999999997</v>
          </cell>
          <cell r="BN46">
            <v>58478</v>
          </cell>
          <cell r="BP46">
            <v>-2503</v>
          </cell>
          <cell r="BR46">
            <v>1</v>
          </cell>
        </row>
        <row r="47">
          <cell r="R47">
            <v>18</v>
          </cell>
          <cell r="T47">
            <v>18</v>
          </cell>
          <cell r="V47">
            <v>-9</v>
          </cell>
          <cell r="Z47" t="str">
            <v xml:space="preserve">לאחר הפחתה שנצברה     </v>
          </cell>
        </row>
        <row r="48">
          <cell r="R48" t="str">
            <v>|-----</v>
          </cell>
          <cell r="T48" t="str">
            <v>|-----</v>
          </cell>
          <cell r="V48" t="str">
            <v xml:space="preserve">  </v>
          </cell>
          <cell r="AG48">
            <v>-93519</v>
          </cell>
          <cell r="AI48">
            <v>0</v>
          </cell>
          <cell r="AM48" t="str">
            <v>דיבידנד</v>
          </cell>
          <cell r="AS48" t="e">
            <v>#REF!</v>
          </cell>
          <cell r="AU48" t="e">
            <v>#REF!</v>
          </cell>
          <cell r="BD48" t="str">
            <v xml:space="preserve">חלקה ברווח השנה כדלעיל </v>
          </cell>
        </row>
        <row r="50">
          <cell r="R50" t="e">
            <v>#REF!</v>
          </cell>
          <cell r="T50">
            <v>321494.79959358473</v>
          </cell>
          <cell r="AG50" t="e">
            <v>#REF!</v>
          </cell>
          <cell r="AI50" t="e">
            <v>#REF!</v>
          </cell>
          <cell r="AM50" t="str">
            <v>יתרת רווח לסוף השנה</v>
          </cell>
          <cell r="AS50">
            <v>-62</v>
          </cell>
          <cell r="AU50">
            <v>-62</v>
          </cell>
          <cell r="BE50" t="str">
            <v>הפחתת מוניטין</v>
          </cell>
          <cell r="BL50" t="str">
            <v>|דרום השרון תקשורת .‎5% ההלוואות צמודות למדד ונושאות רבית בשעור</v>
          </cell>
        </row>
        <row r="51">
          <cell r="BL51" t="str">
            <v>|בע"מ (להלן-"דרה"ש") הלוותה את כספי ההלוואות שקיבלה לחברה בת שלה (‎1990)</v>
          </cell>
        </row>
        <row r="52">
          <cell r="R52" t="e">
            <v>#REF!</v>
          </cell>
          <cell r="T52" t="e">
            <v>#REF!</v>
          </cell>
          <cell r="AS52" t="e">
            <v>#REF!</v>
          </cell>
          <cell r="AU52" t="e">
            <v>#REF!</v>
          </cell>
          <cell r="BL52" t="str">
            <v>|הלוואות לזמן ‎1997 ט.ל.מ. - טלויזיה למנויים בע"מ (להלן "טל"מ"). טל"מ קיבלה בשנת</v>
          </cell>
        </row>
        <row r="53">
          <cell r="BL53" t="str">
            <v>|ארוך מבנקים ופרעה בכספי הלוואות אלה את רוב ההלוואות מדרה"ש ודרה"ש פרעה</v>
          </cell>
        </row>
        <row r="54">
          <cell r="BL54" t="str">
            <v>|31.12.98 במקביל את מרבית ההלוואות מהחברה. מועד הפרעון של יתרת ההלוואות ליום</v>
          </cell>
        </row>
        <row r="55">
          <cell r="AS55" t="str">
            <v>|אך לא פחות משעור עליית שער ‎5% חשבונות השותפים צמודים למדד בתוספת רבית בשעור של</v>
          </cell>
          <cell r="BL55" t="str">
            <v>טרם נקבע.</v>
          </cell>
        </row>
        <row r="56">
          <cell r="X56" t="str">
            <v>מנהל</v>
          </cell>
          <cell r="AS56" t="str">
            <v>הדולר, על בסיס שנתי.</v>
          </cell>
        </row>
        <row r="57">
          <cell r="BL57" t="str">
            <v>|(באמצעות חברה מסונפת לא פעילה ‎6.22% מזה) ‎67.45% - דרה"ש מחזיקה ב</v>
          </cell>
        </row>
        <row r="58">
          <cell r="AS58" t="str">
            <v>|,(ש"ח ‎2,275,700) $700,000 סך של ‎1996 על פי הסכם בין השותפים מגיע למיעוט בשנת</v>
          </cell>
          <cell r="BG58" t="str">
            <v>(*)</v>
          </cell>
          <cell r="BL58" t="str">
            <v>|בטל"מ העוסקת בשידור תכניות למנויים באמצעות רשת כבלים תמורת דמי</v>
          </cell>
        </row>
        <row r="59">
          <cell r="X59" t="str">
            <v>מנהל</v>
          </cell>
          <cell r="AS59" t="str">
            <v>|לשנה לפני חלוקת הרווחים $‎350,000 במשך שש שנים סכום של ‎1997 והחל בשנת</v>
          </cell>
          <cell r="BL59" t="str">
            <v>|מנוי חודשיים. לטל"מ הוקנו זכיונות להפעלת שידורי טלויזיה בכבלים באזורים</v>
          </cell>
        </row>
        <row r="60">
          <cell r="AS60" t="str">
            <v>(בשנת החשבון 1,237,600 ש"ח). יתרת הרווח מחולקת לפי יחס של 30:70.</v>
          </cell>
          <cell r="BL60" t="str">
            <v>העיקריים הבאים: דרום השרון, יואב אשכול, הר אילת והר הנגב.</v>
          </cell>
        </row>
        <row r="61">
          <cell r="AK61" t="str">
            <v>הבאורים לדוחות הכספיים מהווים חלק בלתי נפרד מהם.</v>
          </cell>
          <cell r="BL61" t="str">
            <v>פרט להחזקת טל"מ כאמור אין לדרה"ש פעילות אחרת.</v>
          </cell>
        </row>
        <row r="62">
          <cell r="X62" t="str">
            <v>תאריך אישור הדוחות הכספיים:      1998.</v>
          </cell>
        </row>
        <row r="64">
          <cell r="AL64">
            <v>5</v>
          </cell>
          <cell r="BA64">
            <v>8</v>
          </cell>
        </row>
        <row r="66">
          <cell r="X66">
            <v>3</v>
          </cell>
        </row>
        <row r="76">
          <cell r="AA76" t="str">
            <v/>
          </cell>
        </row>
        <row r="77">
          <cell r="R77" t="str">
            <v>31 בדצמבר</v>
          </cell>
        </row>
        <row r="78">
          <cell r="R78" t="str">
            <v xml:space="preserve">  1997</v>
          </cell>
          <cell r="T78" t="str">
            <v xml:space="preserve">  1998   </v>
          </cell>
          <cell r="V78" t="str">
            <v>באור</v>
          </cell>
        </row>
        <row r="79">
          <cell r="R79" t="str">
            <v>ב א ל פ י ם</v>
          </cell>
        </row>
        <row r="82">
          <cell r="Z82" t="str">
            <v>התחייבויות  והון</v>
          </cell>
        </row>
        <row r="83">
          <cell r="Y83" t="str">
            <v>התחייבויות שוטפות:</v>
          </cell>
        </row>
        <row r="84">
          <cell r="R84">
            <v>2589</v>
          </cell>
          <cell r="T84">
            <v>2575</v>
          </cell>
          <cell r="V84">
            <v>-12</v>
          </cell>
          <cell r="Y84" t="str">
            <v>חלות שוטפת של הלוואה לזמן ארוך</v>
          </cell>
        </row>
        <row r="85">
          <cell r="R85">
            <v>531</v>
          </cell>
          <cell r="T85">
            <v>3159</v>
          </cell>
          <cell r="V85">
            <v>-10</v>
          </cell>
          <cell r="Z85" t="str">
            <v>זכאים ויתרות זכות</v>
          </cell>
        </row>
        <row r="87">
          <cell r="R87">
            <v>3120</v>
          </cell>
          <cell r="T87">
            <v>5734</v>
          </cell>
          <cell r="Z87" t="str">
            <v>ס ך  התחייבויות שוטפות</v>
          </cell>
        </row>
        <row r="88">
          <cell r="R88" t="str">
            <v>-</v>
          </cell>
          <cell r="T88" t="str">
            <v>-</v>
          </cell>
        </row>
        <row r="92">
          <cell r="Z92" t="str">
            <v>התחייבויות לזמן ארוך:</v>
          </cell>
        </row>
        <row r="93">
          <cell r="R93">
            <v>336</v>
          </cell>
          <cell r="T93">
            <v>0</v>
          </cell>
          <cell r="V93">
            <v>-11</v>
          </cell>
          <cell r="Y93" t="str">
            <v>|התחייבות בשל סיום יחסי עובד-מעביד</v>
          </cell>
        </row>
        <row r="94">
          <cell r="R94">
            <v>6243</v>
          </cell>
          <cell r="T94">
            <v>1588</v>
          </cell>
          <cell r="V94">
            <v>-6</v>
          </cell>
          <cell r="Y94" t="str">
            <v>הפרשה להפסדים בגין חברה מסונפת</v>
          </cell>
        </row>
        <row r="95">
          <cell r="Y95" t="str">
            <v>הלוואות:</v>
          </cell>
        </row>
        <row r="96">
          <cell r="R96">
            <v>35382</v>
          </cell>
          <cell r="T96">
            <v>35809</v>
          </cell>
          <cell r="V96">
            <v>-12</v>
          </cell>
          <cell r="Y96" t="str">
            <v>הלוואה מתאגיד בנקאי</v>
          </cell>
        </row>
        <row r="97">
          <cell r="R97">
            <v>122900</v>
          </cell>
          <cell r="T97">
            <v>63344</v>
          </cell>
          <cell r="V97">
            <v>-13</v>
          </cell>
          <cell r="Y97" t="str">
            <v>הלוואות מחברות צדדים קשורים</v>
          </cell>
        </row>
        <row r="98">
          <cell r="R98" t="str">
            <v xml:space="preserve"> </v>
          </cell>
        </row>
        <row r="99">
          <cell r="R99">
            <v>164861</v>
          </cell>
          <cell r="T99">
            <v>100741</v>
          </cell>
          <cell r="Z99" t="str">
            <v>ס ך  התחייבויות לזמן ארוך</v>
          </cell>
        </row>
        <row r="100">
          <cell r="R100" t="str">
            <v>-</v>
          </cell>
          <cell r="T100" t="str">
            <v>-</v>
          </cell>
        </row>
        <row r="103">
          <cell r="R103">
            <v>167981</v>
          </cell>
          <cell r="T103">
            <v>106475</v>
          </cell>
          <cell r="Y103" t="str">
            <v>ס ך  התחייבויות</v>
          </cell>
        </row>
        <row r="104">
          <cell r="R104" t="str">
            <v>-</v>
          </cell>
          <cell r="T104" t="str">
            <v>-</v>
          </cell>
        </row>
        <row r="108">
          <cell r="R108" t="str">
            <v xml:space="preserve"> </v>
          </cell>
          <cell r="AA108" t="str">
            <v>הון ועודפים:</v>
          </cell>
        </row>
        <row r="109">
          <cell r="R109">
            <v>5</v>
          </cell>
          <cell r="T109">
            <v>5</v>
          </cell>
          <cell r="V109">
            <v>-14</v>
          </cell>
          <cell r="AA109" t="str">
            <v>הון מניות</v>
          </cell>
        </row>
        <row r="110">
          <cell r="R110" t="e">
            <v>#REF!</v>
          </cell>
          <cell r="T110" t="e">
            <v>#REF!</v>
          </cell>
          <cell r="AA110" t="str">
            <v>יתרת רווח</v>
          </cell>
        </row>
        <row r="112">
          <cell r="R112" t="e">
            <v>#REF!</v>
          </cell>
          <cell r="T112" t="e">
            <v>#REF!</v>
          </cell>
        </row>
        <row r="113">
          <cell r="R113" t="str">
            <v>-</v>
          </cell>
          <cell r="T113" t="str">
            <v>-</v>
          </cell>
        </row>
        <row r="115">
          <cell r="R115" t="e">
            <v>#REF!</v>
          </cell>
          <cell r="T115" t="e">
            <v>#REF!</v>
          </cell>
        </row>
        <row r="123">
          <cell r="R123" t="str">
            <v xml:space="preserve"> </v>
          </cell>
        </row>
        <row r="124">
          <cell r="R124" t="str">
            <v xml:space="preserve"> </v>
          </cell>
        </row>
        <row r="125">
          <cell r="R125" t="str">
            <v>הבאורים לדוחות הכספיים מהווים חלק בלתי נפרד מהם.</v>
          </cell>
        </row>
        <row r="126">
          <cell r="R126" t="str">
            <v xml:space="preserve"> </v>
          </cell>
        </row>
        <row r="127">
          <cell r="R127" t="str">
            <v xml:space="preserve"> </v>
          </cell>
        </row>
        <row r="128">
          <cell r="R128" t="str">
            <v xml:space="preserve"> </v>
          </cell>
        </row>
        <row r="132">
          <cell r="X132">
            <v>4</v>
          </cell>
        </row>
        <row r="145">
          <cell r="BL145" t="str">
            <v>|לדעת הנהלת השותפות לא ייגרמו הפסדים נוספים לתאריך המאזן - אם יאושר הסדר קבוע</v>
          </cell>
        </row>
        <row r="146">
          <cell r="BL146" t="str">
            <v>|בתנאים שסוכמו עם הממונה על ההגבלים העסקיים או אם תתקבל החלטה אחרת של בית הדין</v>
          </cell>
        </row>
        <row r="147">
          <cell r="BL147" t="str">
            <v>- מעבר להפרשה הרשומה בגין הפסדים שנצברו.</v>
          </cell>
        </row>
        <row r="149">
          <cell r="BL149" t="str">
            <v>|הגישה החברה המסונפת, ביחד עם בעלי מניותיה, בקשה חדשה לאישור ‎1995 בחודש פברואר</v>
          </cell>
        </row>
        <row r="150">
          <cell r="BL150" t="str">
            <v>|הסדר כובל. בית הדין להגבלים עסקיים נתן היתר זמני לנהוג בהתאם לתנאים</v>
          </cell>
        </row>
        <row r="151">
          <cell r="BL151" t="str">
            <v>|שסוכמו בין הממונה על הגבלים עסקיים לבין הצדדים להסדר. תוקף ההיתר הזמני הינו לשנה</v>
          </cell>
        </row>
        <row r="152">
          <cell r="BL152" t="str">
            <v xml:space="preserve">מיום מתן ההיתר (1 באפריל 1995) או עד להחלטה אחרת של בית הדין לפי המוקדם. </v>
          </cell>
        </row>
        <row r="153">
          <cell r="BL153" t="str">
            <v>|,אין אפשרות להעריך אם מתום השנה הנ"ל או לפי החלטה אחרת של בית הדין לפי המוקדם</v>
          </cell>
        </row>
        <row r="154">
          <cell r="BL154" t="str">
            <v>|כתוצאה מהאמור לעיל, תוכל החברה המסונפת להמשיך לפעול כ "עסק חי" או אם תוכל השותפות</v>
          </cell>
        </row>
        <row r="155">
          <cell r="R155">
            <v>1996</v>
          </cell>
          <cell r="S155"/>
          <cell r="T155">
            <v>1997</v>
          </cell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 t="str">
            <v>להמשיך להחזיק במניות החברה.</v>
          </cell>
        </row>
        <row r="157">
          <cell r="S157" t="str">
            <v>{</v>
          </cell>
          <cell r="T157">
            <v>411</v>
          </cell>
          <cell r="U157"/>
          <cell r="V157"/>
          <cell r="W157" t="str">
            <v>מדריכי פנאי</v>
          </cell>
        </row>
        <row r="158">
          <cell r="R158">
            <v>17144.994999999999</v>
          </cell>
          <cell r="S158" t="str">
            <v>{</v>
          </cell>
          <cell r="T158">
            <v>18133</v>
          </cell>
          <cell r="U158"/>
          <cell r="V158"/>
          <cell r="W158" t="str">
            <v>נטקום</v>
          </cell>
        </row>
        <row r="159">
          <cell r="R159">
            <v>-6243</v>
          </cell>
          <cell r="S159"/>
          <cell r="T159">
            <v>-1587.7897499999999</v>
          </cell>
          <cell r="U159"/>
          <cell r="V159"/>
          <cell r="W159" t="str">
            <v>קווי זהב</v>
          </cell>
        </row>
        <row r="160">
          <cell r="R160">
            <v>10901.994999999999</v>
          </cell>
          <cell r="S160"/>
          <cell r="T160">
            <v>16956.21025</v>
          </cell>
        </row>
        <row r="162">
          <cell r="S162" t="str">
            <v>{</v>
          </cell>
          <cell r="T162">
            <v>1034</v>
          </cell>
          <cell r="U162"/>
          <cell r="V162"/>
          <cell r="W162" t="str">
            <v>מדריכי פנאי</v>
          </cell>
        </row>
        <row r="163">
          <cell r="R163">
            <v>530.46100000000001</v>
          </cell>
          <cell r="S163" t="str">
            <v>{</v>
          </cell>
          <cell r="T163" t="e">
            <v>#REF!</v>
          </cell>
          <cell r="U163"/>
          <cell r="V163"/>
          <cell r="W163" t="str">
            <v>נטקום</v>
          </cell>
        </row>
        <row r="164">
          <cell r="R164">
            <v>-29681</v>
          </cell>
          <cell r="S164"/>
          <cell r="T164">
            <v>-29350</v>
          </cell>
          <cell r="U164"/>
          <cell r="V164"/>
          <cell r="W164" t="str">
            <v>קווי זהב</v>
          </cell>
        </row>
        <row r="165">
          <cell r="R165">
            <v>-29150.539000000001</v>
          </cell>
          <cell r="S165"/>
          <cell r="T165" t="e">
            <v>#REF!</v>
          </cell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 t="str">
            <v>נייר עבודה קווי זהב</v>
          </cell>
        </row>
        <row r="167">
          <cell r="BP167" t="str">
            <v>סה"כ</v>
          </cell>
          <cell r="BQ167"/>
          <cell r="BR167" t="str">
            <v>ע"ח הון מניות</v>
          </cell>
        </row>
        <row r="168">
          <cell r="BP168">
            <v>10208.061</v>
          </cell>
          <cell r="BQ168"/>
          <cell r="BR168">
            <v>10208.061</v>
          </cell>
        </row>
        <row r="169">
          <cell r="BP169">
            <v>12877.098</v>
          </cell>
          <cell r="BQ169"/>
          <cell r="BR169">
            <v>-25</v>
          </cell>
        </row>
        <row r="170">
          <cell r="BP170">
            <v>12.912000000000001</v>
          </cell>
          <cell r="BQ170"/>
          <cell r="BR170">
            <v>0</v>
          </cell>
        </row>
        <row r="172">
          <cell r="BP172">
            <v>23098.071</v>
          </cell>
          <cell r="BQ172"/>
          <cell r="BR172">
            <v>10183.061</v>
          </cell>
        </row>
        <row r="174">
          <cell r="BP174" t="e">
            <v>#REF!</v>
          </cell>
          <cell r="BQ174"/>
          <cell r="BR174">
            <v>2448</v>
          </cell>
        </row>
        <row r="178">
          <cell r="BP178">
            <v>7941</v>
          </cell>
          <cell r="BQ178"/>
          <cell r="BR178">
            <v>0</v>
          </cell>
        </row>
        <row r="179">
          <cell r="BP179">
            <v>0</v>
          </cell>
        </row>
        <row r="182">
          <cell r="BP182">
            <v>23111.258000000002</v>
          </cell>
          <cell r="BQ182"/>
          <cell r="BR182">
            <v>10196.248</v>
          </cell>
        </row>
        <row r="183">
          <cell r="BP183">
            <v>7108.9690000000001</v>
          </cell>
          <cell r="BQ183"/>
          <cell r="BR183">
            <v>3136.3420000000001</v>
          </cell>
        </row>
        <row r="187">
          <cell r="BL187" t="str">
            <v>|מהווה השקעה בחברה מסונפת קווי זהב תקשורת בינלאומית בע"מ אשר זכתה במכרז לשיחות בינלאומיות</v>
          </cell>
        </row>
        <row r="188">
          <cell r="BL188" t="str">
            <v>בשנת 1997 והחלה את פעילותה בשנת 1997. חלק החברה בחברה המסונפת %25.</v>
          </cell>
        </row>
        <row r="189">
          <cell r="BN189" t="str">
            <v>תמורת ההלוואות הונפק בשנת 1997 הון מניות.</v>
          </cell>
        </row>
        <row r="203">
          <cell r="N203" t="str">
            <v>באור 1-</v>
          </cell>
        </row>
        <row r="207">
          <cell r="M207" t="str">
            <v>א.</v>
          </cell>
        </row>
        <row r="209">
          <cell r="L209" t="str">
            <v>(1</v>
          </cell>
        </row>
        <row r="214">
          <cell r="L214" t="str">
            <v>(2</v>
          </cell>
        </row>
        <row r="221">
          <cell r="L221" t="str">
            <v>(3</v>
          </cell>
        </row>
        <row r="228">
          <cell r="L228" t="str">
            <v>(4</v>
          </cell>
        </row>
        <row r="230">
          <cell r="R230" t="str">
            <v>ד. חלק  מהאזורים  דלעיל  נמצא  בתקופת  "הפעלה חלקית" ( מערך הטלויזיה  בכבלים</v>
          </cell>
        </row>
        <row r="231">
          <cell r="R231" t="str">
            <v xml:space="preserve">                    .באזור זה נמצא בחלקו בהקמה ובחלקו מופעל) או בשלב פתוח</v>
          </cell>
        </row>
        <row r="232">
          <cell r="L232" t="str">
            <v>(5</v>
          </cell>
        </row>
        <row r="234">
          <cell r="L234" t="str">
            <v>(6</v>
          </cell>
        </row>
        <row r="236">
          <cell r="L236" t="str">
            <v>(7</v>
          </cell>
        </row>
        <row r="239">
          <cell r="M239" t="str">
            <v>ב.</v>
          </cell>
        </row>
        <row r="244">
          <cell r="M244" t="str">
            <v>ג.</v>
          </cell>
        </row>
        <row r="246">
          <cell r="L246" t="str">
            <v>(1</v>
          </cell>
        </row>
        <row r="249">
          <cell r="L249" t="str">
            <v>(2</v>
          </cell>
        </row>
        <row r="254">
          <cell r="M254" t="str">
            <v>ד.</v>
          </cell>
        </row>
        <row r="256">
          <cell r="L256" t="str">
            <v>(1</v>
          </cell>
        </row>
        <row r="257">
          <cell r="L257" t="str">
            <v>(2</v>
          </cell>
        </row>
        <row r="258">
          <cell r="L258" t="str">
            <v>(3</v>
          </cell>
        </row>
        <row r="260">
          <cell r="M260" t="str">
            <v>ה.</v>
          </cell>
        </row>
        <row r="262">
          <cell r="L262" t="str">
            <v>(1</v>
          </cell>
        </row>
        <row r="271">
          <cell r="N271" t="str">
            <v>באור 1-</v>
          </cell>
        </row>
        <row r="273">
          <cell r="M273" t="str">
            <v>ה.</v>
          </cell>
        </row>
        <row r="275">
          <cell r="L275" t="str">
            <v>(2</v>
          </cell>
        </row>
        <row r="282">
          <cell r="M282" t="str">
            <v>ו.</v>
          </cell>
        </row>
        <row r="287">
          <cell r="L287" t="str">
            <v xml:space="preserve"> -</v>
          </cell>
          <cell r="M287"/>
          <cell r="N287"/>
          <cell r="O287"/>
          <cell r="P287"/>
          <cell r="Q287"/>
          <cell r="R287"/>
          <cell r="S287" t="str">
            <v>ה.</v>
          </cell>
        </row>
        <row r="289">
          <cell r="M289" t="str">
            <v>ז.</v>
          </cell>
        </row>
        <row r="295">
          <cell r="M295" t="str">
            <v>ח.</v>
          </cell>
        </row>
        <row r="297">
          <cell r="L297" t="str">
            <v>(1</v>
          </cell>
        </row>
        <row r="298">
          <cell r="L298" t="str">
            <v>(2</v>
          </cell>
        </row>
        <row r="300">
          <cell r="L300" t="str">
            <v>(3</v>
          </cell>
        </row>
        <row r="315">
          <cell r="T315" t="str">
            <v xml:space="preserve">            .הישירות והיתרה מנוכית מהוצאות ההתקנה</v>
          </cell>
        </row>
        <row r="320">
          <cell r="M320" t="str">
            <v>ט.</v>
          </cell>
        </row>
        <row r="337">
          <cell r="N337" t="str">
            <v>באור 1-</v>
          </cell>
        </row>
        <row r="340">
          <cell r="M340" t="str">
            <v>י.</v>
          </cell>
        </row>
        <row r="360">
          <cell r="M360" t="str">
            <v>ו.</v>
          </cell>
        </row>
        <row r="637">
          <cell r="M637" t="str">
            <v>שמ5</v>
          </cell>
        </row>
        <row r="705">
          <cell r="K705" t="str">
            <v>שמ7</v>
          </cell>
        </row>
      </sheetData>
      <sheetData sheetId="8" refreshError="1">
        <row r="9">
          <cell r="R9" t="str">
            <v>31 בדצמבר</v>
          </cell>
          <cell r="U9" t="str">
            <v>התחשבנות ישנה</v>
          </cell>
          <cell r="AD9" t="str">
            <v>000ש"ח</v>
          </cell>
          <cell r="AF9" t="str">
            <v>000ש"ח</v>
          </cell>
          <cell r="AH9" t="str">
            <v>000ש"ח</v>
          </cell>
          <cell r="AJ9" t="str">
            <v>000ש"ח</v>
          </cell>
          <cell r="AL9" t="str">
            <v>000ש"ח</v>
          </cell>
          <cell r="AO9" t="str">
            <v>הכנסות</v>
          </cell>
          <cell r="AR9" t="str">
            <v>000$</v>
          </cell>
          <cell r="AT9" t="str">
            <v>000$</v>
          </cell>
          <cell r="AV9" t="str">
            <v>000$</v>
          </cell>
          <cell r="AX9" t="str">
            <v>000$</v>
          </cell>
          <cell r="BA9" t="str">
            <v>000$</v>
          </cell>
          <cell r="BC9" t="str">
            <v>000$</v>
          </cell>
          <cell r="BE9" t="str">
            <v>000$</v>
          </cell>
          <cell r="BG9" t="str">
            <v>000$</v>
          </cell>
          <cell r="BI9" t="str">
            <v>000$</v>
          </cell>
          <cell r="BK9" t="str">
            <v>000$</v>
          </cell>
          <cell r="BM9" t="str">
            <v>000$</v>
          </cell>
          <cell r="BO9" t="str">
            <v>000$</v>
          </cell>
        </row>
        <row r="10">
          <cell r="AJ10">
            <v>-1065.002</v>
          </cell>
          <cell r="AN10" t="str">
            <v>הכנסות דמי מנוי מערוצי אדום</v>
          </cell>
        </row>
        <row r="11">
          <cell r="W11" t="str">
            <v>חיוב בזק</v>
          </cell>
          <cell r="AL11">
            <v>0</v>
          </cell>
          <cell r="AO11" t="str">
            <v>דמי נהול מעורק שווק</v>
          </cell>
          <cell r="AR11">
            <v>-265.3365</v>
          </cell>
          <cell r="AX11">
            <v>-265.3365</v>
          </cell>
          <cell r="BA11">
            <v>-265.3365</v>
          </cell>
          <cell r="BG11">
            <v>-265.3365</v>
          </cell>
          <cell r="BI11">
            <v>0</v>
          </cell>
          <cell r="BK11">
            <v>0</v>
          </cell>
          <cell r="BM11">
            <v>0</v>
          </cell>
          <cell r="BO11">
            <v>0</v>
          </cell>
          <cell r="BQ11" t="str">
            <v>מרכז ער"ז</v>
          </cell>
        </row>
        <row r="12">
          <cell r="U12" t="str">
            <v>עכוב תשלום</v>
          </cell>
          <cell r="W12" t="str">
            <v>עבור הוצאות</v>
          </cell>
          <cell r="AH12">
            <v>-108.59399999999999</v>
          </cell>
          <cell r="AJ12">
            <v>0</v>
          </cell>
          <cell r="AL12">
            <v>-2651.2620000000002</v>
          </cell>
          <cell r="AO12" t="str">
            <v>דמי נהול מטל"מ</v>
          </cell>
        </row>
        <row r="13">
          <cell r="U13" t="str">
            <v>דמי שכירות</v>
          </cell>
          <cell r="W13" t="str">
            <v>שטרם אושרו</v>
          </cell>
          <cell r="AL13">
            <v>-7498.4549999999999</v>
          </cell>
          <cell r="AO13" t="str">
            <v>דמי נהול מערוצי זהב</v>
          </cell>
          <cell r="AR13">
            <v>-2846.28</v>
          </cell>
          <cell r="AX13">
            <v>-2846.28</v>
          </cell>
          <cell r="BA13">
            <v>-1796.268</v>
          </cell>
          <cell r="BG13">
            <v>-1796.268</v>
          </cell>
          <cell r="BI13">
            <v>-1050.0120000000002</v>
          </cell>
          <cell r="BK13">
            <v>0</v>
          </cell>
          <cell r="BM13">
            <v>0</v>
          </cell>
          <cell r="BO13">
            <v>-1050.0120000000002</v>
          </cell>
          <cell r="BQ13" t="str">
            <v>דרה"ש</v>
          </cell>
        </row>
        <row r="14">
          <cell r="P14" t="str">
            <v>סה"כ נטו</v>
          </cell>
          <cell r="S14" t="str">
            <v>רשת הפצה</v>
          </cell>
          <cell r="U14" t="str">
            <v>עכוב תשלום</v>
          </cell>
          <cell r="W14" t="str">
            <v>על ידם</v>
          </cell>
        </row>
        <row r="15">
          <cell r="AF15">
            <v>0</v>
          </cell>
          <cell r="AH15">
            <v>-108.59399999999999</v>
          </cell>
          <cell r="AJ15">
            <v>-1065.002</v>
          </cell>
          <cell r="AL15">
            <v>-10149.717000000001</v>
          </cell>
          <cell r="AR15">
            <v>-4598.99</v>
          </cell>
          <cell r="AV15">
            <v>-4598.99</v>
          </cell>
          <cell r="AX15">
            <v>0</v>
          </cell>
          <cell r="BA15">
            <v>-2909.97</v>
          </cell>
          <cell r="BE15">
            <v>-2909.97</v>
          </cell>
          <cell r="BG15">
            <v>0</v>
          </cell>
          <cell r="BI15">
            <v>-2353.0394999999999</v>
          </cell>
          <cell r="BK15">
            <v>0</v>
          </cell>
          <cell r="BM15">
            <v>-2353.0394999999999</v>
          </cell>
          <cell r="BO15">
            <v>0</v>
          </cell>
          <cell r="BQ15" t="str">
            <v>טל"מ</v>
          </cell>
        </row>
        <row r="16">
          <cell r="P16">
            <v>4623089</v>
          </cell>
          <cell r="S16">
            <v>4503397</v>
          </cell>
          <cell r="U16">
            <v>2442705</v>
          </cell>
          <cell r="W16">
            <v>-2323013</v>
          </cell>
          <cell r="Y16" t="str">
            <v>יתרת פתיחה</v>
          </cell>
        </row>
        <row r="17">
          <cell r="AO17" t="str">
            <v>הוצ' תפעול</v>
          </cell>
          <cell r="AR17">
            <v>-6124.35</v>
          </cell>
          <cell r="AX17">
            <v>-6124.35</v>
          </cell>
          <cell r="BA17">
            <v>-6124.3499999999995</v>
          </cell>
          <cell r="BG17">
            <v>-6124.3499999999995</v>
          </cell>
          <cell r="BI17">
            <v>0</v>
          </cell>
          <cell r="BK17">
            <v>0</v>
          </cell>
          <cell r="BM17">
            <v>0</v>
          </cell>
          <cell r="BO17">
            <v>0</v>
          </cell>
          <cell r="BQ17" t="str">
            <v>ערוצי זהב</v>
          </cell>
          <cell r="BS17" t="str">
            <v>ללא מס</v>
          </cell>
        </row>
        <row r="18">
          <cell r="Y18" t="str">
            <v>|מהיתרה הצמודה ‎50% הפרשה על</v>
          </cell>
        </row>
        <row r="19">
          <cell r="P19">
            <v>1388964</v>
          </cell>
          <cell r="S19">
            <v>0</v>
          </cell>
          <cell r="W19">
            <v>1388964</v>
          </cell>
          <cell r="Y19" t="str">
            <v>וויתור על חלק מארונות ישראלוקס</v>
          </cell>
          <cell r="AF19">
            <v>9336</v>
          </cell>
          <cell r="AJ19">
            <v>19184.59</v>
          </cell>
          <cell r="AO19" t="str">
            <v>I.C.P- תוכניות</v>
          </cell>
          <cell r="AR19">
            <v>-76.680000000000007</v>
          </cell>
          <cell r="AT19">
            <v>-76.680000000000007</v>
          </cell>
          <cell r="AX19">
            <v>0</v>
          </cell>
          <cell r="BA19">
            <v>-47.63</v>
          </cell>
          <cell r="BC19">
            <v>-47.63</v>
          </cell>
          <cell r="BG19">
            <v>0</v>
          </cell>
          <cell r="BI19">
            <v>-29.050000000000004</v>
          </cell>
          <cell r="BK19">
            <v>-29.050000000000004</v>
          </cell>
          <cell r="BM19">
            <v>0</v>
          </cell>
          <cell r="BO19">
            <v>0</v>
          </cell>
          <cell r="BQ19" t="str">
            <v>ערוצי אדום</v>
          </cell>
        </row>
        <row r="20">
          <cell r="AF20">
            <v>0</v>
          </cell>
          <cell r="AJ20">
            <v>-65.319999999999993</v>
          </cell>
          <cell r="AO20" t="str">
            <v>אלנט שמוש תוכנת הוגו</v>
          </cell>
        </row>
        <row r="21">
          <cell r="P21">
            <v>3151</v>
          </cell>
          <cell r="S21">
            <v>3151</v>
          </cell>
          <cell r="Y21" t="str">
            <v>מע"מ - שולם ב-97</v>
          </cell>
          <cell r="AF21">
            <v>0</v>
          </cell>
          <cell r="AJ21">
            <v>2.0459999999999998</v>
          </cell>
          <cell r="AO21" t="str">
            <v>ידיעות</v>
          </cell>
          <cell r="AR21">
            <v>-13911.636500000001</v>
          </cell>
          <cell r="AT21">
            <v>-76.680000000000007</v>
          </cell>
          <cell r="AV21">
            <v>-4598.99</v>
          </cell>
          <cell r="AX21">
            <v>-9235.9665000000005</v>
          </cell>
          <cell r="BA21">
            <v>-11143.554499999998</v>
          </cell>
          <cell r="BC21">
            <v>-47.63</v>
          </cell>
          <cell r="BE21">
            <v>-2909.97</v>
          </cell>
          <cell r="BG21">
            <v>-8185.9544999999998</v>
          </cell>
          <cell r="BI21">
            <v>-3432.1015000000002</v>
          </cell>
          <cell r="BK21">
            <v>-29.050000000000004</v>
          </cell>
          <cell r="BM21">
            <v>-2353.0394999999999</v>
          </cell>
          <cell r="BO21">
            <v>-1050.0120000000002</v>
          </cell>
        </row>
        <row r="22">
          <cell r="AF22">
            <v>0</v>
          </cell>
          <cell r="AJ22">
            <v>3.1019999999999999</v>
          </cell>
          <cell r="AO22" t="str">
            <v>שכ"ד יערון</v>
          </cell>
        </row>
        <row r="23">
          <cell r="P23">
            <v>-473263</v>
          </cell>
          <cell r="S23">
            <v>-473263</v>
          </cell>
          <cell r="X23" t="str">
            <v>מע"מ על זיכוי בגין פיצוי הקדמת תשלום</v>
          </cell>
        </row>
        <row r="24">
          <cell r="AF24">
            <v>9094.2039999999997</v>
          </cell>
          <cell r="AJ24">
            <v>-9094.2039999999997</v>
          </cell>
          <cell r="AO24" t="str">
            <v>השתתפות ט.ל.מ בהוצ' ער"ז</v>
          </cell>
          <cell r="AV24" t="str">
            <v>חלק המיעוט ברווח</v>
          </cell>
          <cell r="BD24" t="str">
            <v>חלק המיעוט ברווח</v>
          </cell>
          <cell r="BL24" t="str">
            <v>חלק המיעוט ברווח</v>
          </cell>
        </row>
        <row r="25">
          <cell r="P25">
            <v>-14759</v>
          </cell>
          <cell r="S25">
            <v>-14759</v>
          </cell>
          <cell r="X25" t="str">
            <v>מע"מ על זיכוי סיבים אופטיים 7-9/95</v>
          </cell>
          <cell r="AV25" t="str">
            <v>לפני מס</v>
          </cell>
          <cell r="BE25" t="str">
            <v>אחרי מס</v>
          </cell>
          <cell r="BM25" t="str">
            <v>במס</v>
          </cell>
        </row>
        <row r="26">
          <cell r="AF26">
            <v>18430.203999999998</v>
          </cell>
          <cell r="AH26">
            <v>0</v>
          </cell>
          <cell r="AJ26">
            <v>10030.213999999998</v>
          </cell>
          <cell r="AL26">
            <v>0</v>
          </cell>
          <cell r="AV26" t="str">
            <v>10-12/98</v>
          </cell>
          <cell r="BE26" t="str">
            <v>10-12/98</v>
          </cell>
          <cell r="BM26" t="str">
            <v>10-12/98</v>
          </cell>
        </row>
        <row r="27">
          <cell r="P27">
            <v>18865872</v>
          </cell>
          <cell r="S27">
            <v>18865872</v>
          </cell>
          <cell r="Y27" t="str">
            <v>הוצאות דמי שכירות (1)</v>
          </cell>
        </row>
        <row r="28">
          <cell r="AV28" t="str">
            <v>מוניטין</v>
          </cell>
          <cell r="BE28" t="str">
            <v>מוניטין</v>
          </cell>
          <cell r="BM28" t="str">
            <v>מוניטין</v>
          </cell>
        </row>
        <row r="29">
          <cell r="P29">
            <v>347035</v>
          </cell>
          <cell r="S29">
            <v>347035</v>
          </cell>
          <cell r="Y29" t="str">
            <v>התקנות נכלל ברכוש</v>
          </cell>
          <cell r="AO29" t="str">
            <v>הוצ' מכירה</v>
          </cell>
          <cell r="AR29" t="str">
            <v>סה"כ</v>
          </cell>
          <cell r="AT29" t="str">
            <v>סיגנל</v>
          </cell>
          <cell r="AV29" t="str">
            <v>י. ישראכל</v>
          </cell>
          <cell r="AX29" t="str">
            <v>ידיעות</v>
          </cell>
          <cell r="BA29" t="str">
            <v>סה"כ</v>
          </cell>
          <cell r="BC29" t="str">
            <v>סיגנל</v>
          </cell>
          <cell r="BE29" t="str">
            <v>י. ישראכל</v>
          </cell>
          <cell r="BG29" t="str">
            <v>ידיעות</v>
          </cell>
          <cell r="BI29" t="str">
            <v>סה"כ</v>
          </cell>
          <cell r="BK29" t="str">
            <v>סיגנל</v>
          </cell>
          <cell r="BM29" t="str">
            <v>י. ישראכל</v>
          </cell>
          <cell r="BO29" t="str">
            <v>ידיעות</v>
          </cell>
        </row>
        <row r="30">
          <cell r="AL30">
            <v>59</v>
          </cell>
          <cell r="AO30" t="str">
            <v>יערון</v>
          </cell>
          <cell r="AT30">
            <v>0.3</v>
          </cell>
          <cell r="AV30">
            <v>0.32550000000000001</v>
          </cell>
          <cell r="AX30">
            <v>0.3</v>
          </cell>
          <cell r="BC30">
            <v>0.3</v>
          </cell>
          <cell r="BE30">
            <v>0.32550000000000001</v>
          </cell>
          <cell r="BG30">
            <v>0.3</v>
          </cell>
          <cell r="BK30">
            <v>0.3</v>
          </cell>
          <cell r="BM30">
            <v>0.32550000000000001</v>
          </cell>
          <cell r="BO30">
            <v>0.3</v>
          </cell>
        </row>
        <row r="31">
          <cell r="P31">
            <v>7465080</v>
          </cell>
          <cell r="S31">
            <v>7465080</v>
          </cell>
          <cell r="Y31" t="str">
            <v>דמי שכירות רשת מראש</v>
          </cell>
          <cell r="AJ31">
            <v>0</v>
          </cell>
          <cell r="AO31" t="str">
            <v>גלגלי זהב פרסום</v>
          </cell>
          <cell r="AR31" t="str">
            <v>000$</v>
          </cell>
          <cell r="AT31" t="str">
            <v>000$</v>
          </cell>
          <cell r="AV31" t="str">
            <v>000$</v>
          </cell>
          <cell r="AX31" t="str">
            <v>000$</v>
          </cell>
          <cell r="BA31" t="str">
            <v>000$</v>
          </cell>
          <cell r="BC31" t="str">
            <v>000$</v>
          </cell>
          <cell r="BE31" t="str">
            <v>000$</v>
          </cell>
          <cell r="BG31" t="str">
            <v>000$</v>
          </cell>
          <cell r="BI31" t="str">
            <v>000$</v>
          </cell>
          <cell r="BK31" t="str">
            <v>000$</v>
          </cell>
          <cell r="BM31" t="str">
            <v>000$</v>
          </cell>
          <cell r="BO31" t="str">
            <v>000$</v>
          </cell>
        </row>
        <row r="32">
          <cell r="AJ32">
            <v>3.3860000000000001</v>
          </cell>
          <cell r="AO32" t="str">
            <v>תלרוף פרסום</v>
          </cell>
        </row>
        <row r="33">
          <cell r="Y33" t="str">
            <v>|חיוב בזק בגין עבודות שבוצעו</v>
          </cell>
          <cell r="AJ33">
            <v>69.802000000000007</v>
          </cell>
          <cell r="AO33" t="str">
            <v>דפ"ז</v>
          </cell>
          <cell r="AR33">
            <v>-190.2</v>
          </cell>
          <cell r="AT33">
            <v>0</v>
          </cell>
          <cell r="AV33">
            <v>0</v>
          </cell>
          <cell r="AX33">
            <v>-190.2</v>
          </cell>
          <cell r="BA33">
            <v>-190.2</v>
          </cell>
          <cell r="BC33">
            <v>0</v>
          </cell>
          <cell r="BE33">
            <v>0</v>
          </cell>
          <cell r="BG33">
            <v>-190.2</v>
          </cell>
          <cell r="BI33">
            <v>0</v>
          </cell>
          <cell r="BK33">
            <v>0</v>
          </cell>
          <cell r="BM33">
            <v>0</v>
          </cell>
          <cell r="BO33">
            <v>0</v>
          </cell>
          <cell r="BQ33" t="str">
            <v>מרכז ער"ז</v>
          </cell>
        </row>
        <row r="34">
          <cell r="P34">
            <v>-26746</v>
          </cell>
          <cell r="S34">
            <v>-26746</v>
          </cell>
          <cell r="Y34" t="str">
            <v>על ידי ערוצי זהב (בית נקופה) ב-96</v>
          </cell>
          <cell r="AJ34">
            <v>0</v>
          </cell>
          <cell r="AL34">
            <v>150</v>
          </cell>
          <cell r="AO34" t="str">
            <v>שתל"מ</v>
          </cell>
        </row>
        <row r="35">
          <cell r="AJ35">
            <v>175.56299999999999</v>
          </cell>
          <cell r="AO35" t="str">
            <v>I.C.P הוצ' פרסום</v>
          </cell>
          <cell r="AR35">
            <v>-787.47</v>
          </cell>
          <cell r="AT35">
            <v>0</v>
          </cell>
          <cell r="AV35">
            <v>0</v>
          </cell>
          <cell r="AX35">
            <v>-787.47</v>
          </cell>
          <cell r="BA35">
            <v>-374.7</v>
          </cell>
          <cell r="BC35">
            <v>0</v>
          </cell>
          <cell r="BE35">
            <v>0</v>
          </cell>
          <cell r="BG35">
            <v>-374.7</v>
          </cell>
          <cell r="BI35">
            <v>-412.77000000000004</v>
          </cell>
          <cell r="BK35">
            <v>0</v>
          </cell>
          <cell r="BM35">
            <v>0</v>
          </cell>
          <cell r="BO35">
            <v>-412.77000000000004</v>
          </cell>
          <cell r="BQ35" t="str">
            <v>דרה"ש</v>
          </cell>
        </row>
        <row r="36">
          <cell r="Y36" t="str">
            <v>|תשלום בזק בגין עבודות שבוצעו</v>
          </cell>
          <cell r="AF36">
            <v>5565.2939999999999</v>
          </cell>
          <cell r="AJ36">
            <v>-5565.2939999999999</v>
          </cell>
          <cell r="AO36" t="str">
            <v>השתתפות ט.ל.מ בהוצ' ער"ז</v>
          </cell>
        </row>
        <row r="37">
          <cell r="P37">
            <v>37950</v>
          </cell>
          <cell r="S37">
            <v>37950</v>
          </cell>
          <cell r="Y37" t="str">
            <v>|95-על ידי ערוצי זהב (בית נקופה) ב</v>
          </cell>
          <cell r="AR37">
            <v>-1256.1044999999999</v>
          </cell>
          <cell r="AT37">
            <v>0</v>
          </cell>
          <cell r="AV37">
            <v>-1256.1044999999999</v>
          </cell>
          <cell r="AX37">
            <v>0</v>
          </cell>
          <cell r="BA37">
            <v>-592.08450000000005</v>
          </cell>
          <cell r="BC37">
            <v>0</v>
          </cell>
          <cell r="BE37">
            <v>-592.08450000000005</v>
          </cell>
          <cell r="BG37">
            <v>0</v>
          </cell>
          <cell r="BI37">
            <v>-155.26349999999999</v>
          </cell>
          <cell r="BK37">
            <v>0</v>
          </cell>
          <cell r="BM37">
            <v>-155.26349999999999</v>
          </cell>
          <cell r="BO37">
            <v>0</v>
          </cell>
          <cell r="BQ37" t="str">
            <v>טל"מ</v>
          </cell>
        </row>
        <row r="38">
          <cell r="AD38">
            <v>0</v>
          </cell>
          <cell r="AF38">
            <v>5565.2939999999999</v>
          </cell>
          <cell r="AH38">
            <v>0</v>
          </cell>
          <cell r="AJ38">
            <v>-5316.5429999999997</v>
          </cell>
          <cell r="AL38">
            <v>209</v>
          </cell>
        </row>
        <row r="39">
          <cell r="P39">
            <v>-27350695</v>
          </cell>
          <cell r="S39">
            <v>-27350695</v>
          </cell>
          <cell r="Y39" t="str">
            <v>תשלומים</v>
          </cell>
          <cell r="AR39">
            <v>-1926.95</v>
          </cell>
          <cell r="AT39">
            <v>0</v>
          </cell>
          <cell r="AV39">
            <v>0</v>
          </cell>
          <cell r="AX39">
            <v>-1926.95</v>
          </cell>
          <cell r="BA39">
            <v>-1926.95</v>
          </cell>
          <cell r="BC39">
            <v>0</v>
          </cell>
          <cell r="BE39">
            <v>0</v>
          </cell>
          <cell r="BG39">
            <v>-1926.95</v>
          </cell>
          <cell r="BI39">
            <v>0</v>
          </cell>
          <cell r="BK39">
            <v>0</v>
          </cell>
          <cell r="BM39">
            <v>0</v>
          </cell>
          <cell r="BO39">
            <v>0</v>
          </cell>
          <cell r="BQ39" t="str">
            <v>ערוצי זהב</v>
          </cell>
        </row>
        <row r="40">
          <cell r="AO40" t="str">
            <v>הוצ' הנהלה</v>
          </cell>
        </row>
        <row r="41">
          <cell r="P41">
            <v>-1270780</v>
          </cell>
          <cell r="S41">
            <v>-1270780</v>
          </cell>
          <cell r="X41" t="str">
            <v>תשלום בגין עבודות מיוחדות משנים קודמות</v>
          </cell>
          <cell r="AR41">
            <v>-38.700000000000003</v>
          </cell>
          <cell r="AT41">
            <v>-38.700000000000003</v>
          </cell>
          <cell r="AV41">
            <v>0</v>
          </cell>
          <cell r="AX41">
            <v>0</v>
          </cell>
          <cell r="BA41">
            <v>-23.4</v>
          </cell>
          <cell r="BC41">
            <v>-23.4</v>
          </cell>
          <cell r="BE41">
            <v>0</v>
          </cell>
          <cell r="BG41">
            <v>0</v>
          </cell>
          <cell r="BI41">
            <v>-15.300000000000004</v>
          </cell>
          <cell r="BK41">
            <v>-15.300000000000004</v>
          </cell>
          <cell r="BM41">
            <v>0</v>
          </cell>
          <cell r="BO41">
            <v>0</v>
          </cell>
          <cell r="BQ41" t="str">
            <v>ערוצי אדום</v>
          </cell>
        </row>
        <row r="42">
          <cell r="AF42">
            <v>2651.2620000000002</v>
          </cell>
          <cell r="AJ42">
            <v>7498.4549999999999</v>
          </cell>
          <cell r="AO42" t="str">
            <v>דמי נהול לשמ"מ</v>
          </cell>
        </row>
        <row r="43">
          <cell r="O43" t="str">
            <v>(6)</v>
          </cell>
          <cell r="P43">
            <v>485268</v>
          </cell>
          <cell r="R43" t="str">
            <v>(7)</v>
          </cell>
          <cell r="S43">
            <v>325542</v>
          </cell>
          <cell r="U43">
            <v>258618</v>
          </cell>
          <cell r="W43">
            <v>-98892</v>
          </cell>
          <cell r="Y43" t="str">
            <v>הפרשי הצמדה</v>
          </cell>
          <cell r="AF43">
            <v>0</v>
          </cell>
          <cell r="AJ43">
            <v>0</v>
          </cell>
          <cell r="AL43">
            <v>10149.717000000001</v>
          </cell>
          <cell r="AO43" t="str">
            <v>דמי נהול לעורק</v>
          </cell>
          <cell r="AR43">
            <v>-4199.4245000000001</v>
          </cell>
          <cell r="AT43">
            <v>-38.700000000000003</v>
          </cell>
          <cell r="AV43">
            <v>-1256.1044999999999</v>
          </cell>
          <cell r="AX43">
            <v>-2904.62</v>
          </cell>
          <cell r="BA43">
            <v>-3107.3345000000004</v>
          </cell>
          <cell r="BC43">
            <v>-23.4</v>
          </cell>
          <cell r="BE43">
            <v>-592.08450000000005</v>
          </cell>
          <cell r="BG43">
            <v>-2491.85</v>
          </cell>
          <cell r="BI43">
            <v>-583.33349999999996</v>
          </cell>
          <cell r="BK43">
            <v>-15.300000000000004</v>
          </cell>
          <cell r="BM43">
            <v>-155.26349999999999</v>
          </cell>
          <cell r="BO43">
            <v>-412.77000000000004</v>
          </cell>
        </row>
        <row r="44">
          <cell r="AF44">
            <v>1136.2550000000001</v>
          </cell>
          <cell r="AJ44">
            <v>3213.6239999999998</v>
          </cell>
          <cell r="AO44" t="str">
            <v>דמי נהול לידיעות</v>
          </cell>
        </row>
        <row r="45">
          <cell r="P45">
            <v>4080166</v>
          </cell>
          <cell r="S45">
            <v>2411784</v>
          </cell>
          <cell r="T45" t="str">
            <v>(4)</v>
          </cell>
          <cell r="U45">
            <v>2701323</v>
          </cell>
          <cell r="V45" t="str">
            <v>(3)</v>
          </cell>
          <cell r="W45">
            <v>-1032941</v>
          </cell>
          <cell r="X45" t="str">
            <v>(2)</v>
          </cell>
          <cell r="AF45">
            <v>1768.5889999999999</v>
          </cell>
          <cell r="AO45" t="str">
            <v>דמי נהול למוניטין</v>
          </cell>
          <cell r="AR45">
            <v>20</v>
          </cell>
          <cell r="BA45">
            <v>20</v>
          </cell>
          <cell r="BQ45" t="str">
            <v>נטקום</v>
          </cell>
        </row>
        <row r="46">
          <cell r="AF46">
            <v>108.59399999999999</v>
          </cell>
          <cell r="AO46" t="str">
            <v>דמי נהול לדרה"ש</v>
          </cell>
          <cell r="AR46">
            <v>-4179.4245000000001</v>
          </cell>
          <cell r="BA46">
            <v>-3087.3345000000004</v>
          </cell>
        </row>
        <row r="47">
          <cell r="AF47">
            <v>150.33000000000001</v>
          </cell>
          <cell r="AO47" t="str">
            <v>דמי נהול ליחידי ישראכבל</v>
          </cell>
          <cell r="AV47" t="str">
            <v>חלק המיעוט ברווח</v>
          </cell>
          <cell r="BD47" t="str">
            <v>חלק המיעוט ברווח</v>
          </cell>
          <cell r="BL47" t="str">
            <v>חלק המיעוט ברווח</v>
          </cell>
        </row>
        <row r="48">
          <cell r="S48" t="str">
            <v>(5)</v>
          </cell>
          <cell r="AL48">
            <v>7601</v>
          </cell>
          <cell r="AO48" t="str">
            <v>דמי נהול לנביטה</v>
          </cell>
          <cell r="AV48" t="str">
            <v>לפני מס</v>
          </cell>
          <cell r="BE48" t="str">
            <v>אחרי מס</v>
          </cell>
          <cell r="BM48" t="str">
            <v>במס</v>
          </cell>
        </row>
        <row r="49">
          <cell r="AJ49">
            <v>104.354</v>
          </cell>
          <cell r="AO49" t="str">
            <v>שתל"מ שכר מתכנתים</v>
          </cell>
          <cell r="AV49" t="str">
            <v>1-12/98</v>
          </cell>
          <cell r="BE49" t="str">
            <v>1-12/98</v>
          </cell>
          <cell r="BM49" t="str">
            <v>1-12/98</v>
          </cell>
        </row>
        <row r="50">
          <cell r="AD50">
            <v>13.324999999999999</v>
          </cell>
          <cell r="AO50" t="str">
            <v>עורק בע"מ הנה"ח</v>
          </cell>
        </row>
        <row r="51">
          <cell r="AJ51">
            <v>2</v>
          </cell>
          <cell r="AO51" t="str">
            <v>ידיעות</v>
          </cell>
          <cell r="AV51" t="str">
            <v>מוניטין</v>
          </cell>
          <cell r="BE51" t="str">
            <v>מוניטין</v>
          </cell>
          <cell r="BM51" t="str">
            <v>מוניטין</v>
          </cell>
        </row>
        <row r="52">
          <cell r="AJ52">
            <v>0</v>
          </cell>
          <cell r="AO52" t="str">
            <v>דפ"ז</v>
          </cell>
          <cell r="AR52" t="str">
            <v>סה"כ</v>
          </cell>
          <cell r="AT52" t="str">
            <v>סיגנל</v>
          </cell>
          <cell r="AV52" t="str">
            <v>י. ישראכל</v>
          </cell>
          <cell r="AX52" t="str">
            <v>ידיעות</v>
          </cell>
          <cell r="BA52" t="str">
            <v>סה"כ</v>
          </cell>
          <cell r="BC52" t="str">
            <v>סיגנל</v>
          </cell>
          <cell r="BE52" t="str">
            <v>י. ישראכל</v>
          </cell>
          <cell r="BG52" t="str">
            <v>ידיעות</v>
          </cell>
          <cell r="BI52" t="str">
            <v>סה"כ</v>
          </cell>
          <cell r="BK52" t="str">
            <v>סיגנל</v>
          </cell>
          <cell r="BM52" t="str">
            <v>י. ישראכל</v>
          </cell>
          <cell r="BO52" t="str">
            <v>ידיעות</v>
          </cell>
        </row>
        <row r="53">
          <cell r="AJ53">
            <v>1393.1880000000001</v>
          </cell>
          <cell r="AO53" t="str">
            <v>יערון</v>
          </cell>
          <cell r="AT53">
            <v>0.3</v>
          </cell>
          <cell r="AV53">
            <v>0.32550000000000001</v>
          </cell>
          <cell r="AX53">
            <v>0.3</v>
          </cell>
          <cell r="BC53">
            <v>0.3</v>
          </cell>
          <cell r="BE53">
            <v>0.32550000000000001</v>
          </cell>
          <cell r="BG53">
            <v>0.3</v>
          </cell>
          <cell r="BK53">
            <v>0.3</v>
          </cell>
          <cell r="BM53">
            <v>0.32550000000000001</v>
          </cell>
          <cell r="BO53">
            <v>0.3</v>
          </cell>
        </row>
        <row r="54">
          <cell r="AJ54">
            <v>-964.30399999999997</v>
          </cell>
          <cell r="AN54" t="str">
            <v>דמי נהול ערוצי אדום</v>
          </cell>
          <cell r="AR54" t="str">
            <v>000$</v>
          </cell>
          <cell r="AT54" t="str">
            <v>000$</v>
          </cell>
          <cell r="AV54" t="str">
            <v>000$</v>
          </cell>
          <cell r="AX54" t="str">
            <v>000$</v>
          </cell>
          <cell r="BA54" t="str">
            <v>000$</v>
          </cell>
          <cell r="BC54" t="str">
            <v>000$</v>
          </cell>
          <cell r="BE54" t="str">
            <v>000$</v>
          </cell>
          <cell r="BG54" t="str">
            <v>000$</v>
          </cell>
          <cell r="BI54" t="str">
            <v>000$</v>
          </cell>
          <cell r="BK54" t="str">
            <v>000$</v>
          </cell>
          <cell r="BM54" t="str">
            <v>000$</v>
          </cell>
          <cell r="BO54" t="str">
            <v>000$</v>
          </cell>
        </row>
        <row r="55">
          <cell r="AF55">
            <v>0</v>
          </cell>
          <cell r="AJ55">
            <v>0</v>
          </cell>
          <cell r="AO55" t="str">
            <v>השתתפות ט.ל.מ בהוצ' ער"ז</v>
          </cell>
        </row>
        <row r="56">
          <cell r="AR56">
            <v>-455.53649999999999</v>
          </cell>
          <cell r="AT56">
            <v>0</v>
          </cell>
          <cell r="AV56">
            <v>0</v>
          </cell>
          <cell r="AX56">
            <v>-455.53649999999999</v>
          </cell>
          <cell r="BA56">
            <v>-455.53649999999999</v>
          </cell>
          <cell r="BC56">
            <v>0</v>
          </cell>
          <cell r="BE56">
            <v>0</v>
          </cell>
          <cell r="BG56">
            <v>-455.53649999999999</v>
          </cell>
          <cell r="BI56">
            <v>0</v>
          </cell>
          <cell r="BK56">
            <v>0</v>
          </cell>
          <cell r="BM56">
            <v>0</v>
          </cell>
          <cell r="BO56">
            <v>0</v>
          </cell>
          <cell r="BQ56" t="str">
            <v>מרכז ער"ז</v>
          </cell>
        </row>
        <row r="57">
          <cell r="AD57">
            <v>13.324999999999999</v>
          </cell>
          <cell r="AF57">
            <v>5815.03</v>
          </cell>
          <cell r="AH57">
            <v>0</v>
          </cell>
          <cell r="AJ57">
            <v>11247.316999999999</v>
          </cell>
          <cell r="AL57">
            <v>17750.717000000001</v>
          </cell>
        </row>
        <row r="58">
          <cell r="AR58">
            <v>-3633.75</v>
          </cell>
          <cell r="AT58">
            <v>0</v>
          </cell>
          <cell r="AV58">
            <v>0</v>
          </cell>
          <cell r="AX58">
            <v>-3633.75</v>
          </cell>
          <cell r="BA58">
            <v>-2170.9679999999998</v>
          </cell>
          <cell r="BC58">
            <v>0</v>
          </cell>
          <cell r="BE58">
            <v>0</v>
          </cell>
          <cell r="BG58">
            <v>-2170.9679999999998</v>
          </cell>
          <cell r="BI58">
            <v>-1462.7820000000002</v>
          </cell>
          <cell r="BK58">
            <v>0</v>
          </cell>
          <cell r="BM58">
            <v>0</v>
          </cell>
          <cell r="BO58">
            <v>-1462.7820000000002</v>
          </cell>
          <cell r="BQ58" t="str">
            <v>דרה"ש</v>
          </cell>
        </row>
        <row r="59">
          <cell r="AF59">
            <v>-48.954000000000001</v>
          </cell>
          <cell r="AJ59">
            <v>48.954000000000001</v>
          </cell>
          <cell r="AL59">
            <v>0</v>
          </cell>
          <cell r="AO59" t="str">
            <v>רכישת רכוש קבוע</v>
          </cell>
        </row>
        <row r="60">
          <cell r="AR60">
            <v>-5855.0944999999992</v>
          </cell>
          <cell r="AT60">
            <v>0</v>
          </cell>
          <cell r="AV60">
            <v>-5855.0944999999992</v>
          </cell>
          <cell r="AX60">
            <v>0</v>
          </cell>
          <cell r="BA60">
            <v>-3502.0544999999997</v>
          </cell>
          <cell r="BC60">
            <v>0</v>
          </cell>
          <cell r="BE60">
            <v>-3502.0544999999997</v>
          </cell>
          <cell r="BG60">
            <v>0</v>
          </cell>
          <cell r="BI60">
            <v>-2508.3029999999999</v>
          </cell>
          <cell r="BK60">
            <v>0</v>
          </cell>
          <cell r="BM60">
            <v>-2508.3029999999999</v>
          </cell>
          <cell r="BO60">
            <v>0</v>
          </cell>
          <cell r="BQ60" t="str">
            <v>טל"מ</v>
          </cell>
        </row>
        <row r="61">
          <cell r="P61" t="str">
            <v>ידיעות תקשורת בע"מ</v>
          </cell>
          <cell r="U61" t="str">
            <v>עורק שרותי מידע מקומי בע"מ</v>
          </cell>
          <cell r="AF61">
            <v>1153.335</v>
          </cell>
          <cell r="AJ61">
            <v>-1153.335</v>
          </cell>
          <cell r="AL61">
            <v>0</v>
          </cell>
          <cell r="AO61" t="str">
            <v>מכירת רכוש קבוע</v>
          </cell>
        </row>
        <row r="62">
          <cell r="AR62">
            <v>-8051.3</v>
          </cell>
          <cell r="AT62">
            <v>0</v>
          </cell>
          <cell r="AV62">
            <v>0</v>
          </cell>
          <cell r="AX62">
            <v>-8051.3</v>
          </cell>
          <cell r="BA62">
            <v>-8051.2999999999993</v>
          </cell>
          <cell r="BC62">
            <v>0</v>
          </cell>
          <cell r="BE62">
            <v>0</v>
          </cell>
          <cell r="BG62">
            <v>-8051.2999999999993</v>
          </cell>
          <cell r="BI62">
            <v>0</v>
          </cell>
          <cell r="BK62">
            <v>0</v>
          </cell>
          <cell r="BM62">
            <v>0</v>
          </cell>
          <cell r="BO62">
            <v>0</v>
          </cell>
          <cell r="BQ62" t="str">
            <v>ערוצי זהב</v>
          </cell>
        </row>
        <row r="64">
          <cell r="AR64">
            <v>-115.38000000000001</v>
          </cell>
          <cell r="AT64">
            <v>-115.38000000000001</v>
          </cell>
          <cell r="AV64">
            <v>0</v>
          </cell>
          <cell r="AX64">
            <v>0</v>
          </cell>
          <cell r="BA64">
            <v>-71.03</v>
          </cell>
          <cell r="BC64">
            <v>-71.03</v>
          </cell>
          <cell r="BE64">
            <v>0</v>
          </cell>
          <cell r="BG64">
            <v>0</v>
          </cell>
          <cell r="BI64">
            <v>-44.350000000000009</v>
          </cell>
          <cell r="BK64">
            <v>-44.350000000000009</v>
          </cell>
          <cell r="BM64">
            <v>0</v>
          </cell>
          <cell r="BO64">
            <v>0</v>
          </cell>
          <cell r="BQ64" t="str">
            <v>ערוצי אדום</v>
          </cell>
        </row>
        <row r="66">
          <cell r="P66" t="str">
            <v>המשך לנספח לסעיפים 17 ו-18 בהצהרת המנהלים של ערוצי זהב ושות' בגין הדוחות הכספיים לשנת 1997</v>
          </cell>
          <cell r="AR66">
            <v>-18111.061000000002</v>
          </cell>
          <cell r="AT66">
            <v>-115.38000000000001</v>
          </cell>
          <cell r="AV66">
            <v>-5855.0944999999992</v>
          </cell>
          <cell r="AX66">
            <v>-12140.586500000001</v>
          </cell>
          <cell r="BA66">
            <v>-14250.888999999999</v>
          </cell>
          <cell r="BC66">
            <v>-71.03</v>
          </cell>
          <cell r="BE66">
            <v>-3502.0544999999997</v>
          </cell>
          <cell r="BG66">
            <v>-10677.804499999998</v>
          </cell>
          <cell r="BI66">
            <v>-4015.4349999999999</v>
          </cell>
          <cell r="BK66">
            <v>-44.350000000000009</v>
          </cell>
          <cell r="BM66">
            <v>-2508.3029999999999</v>
          </cell>
          <cell r="BO66">
            <v>-1462.7820000000002</v>
          </cell>
        </row>
        <row r="68">
          <cell r="P68" t="str">
            <v>פרוטים</v>
          </cell>
          <cell r="BA68">
            <v>20</v>
          </cell>
          <cell r="BQ68" t="str">
            <v>נטקום</v>
          </cell>
        </row>
        <row r="69">
          <cell r="BA69">
            <v>-14230.888999999999</v>
          </cell>
          <cell r="BQ69" t="str">
            <v>סה"כ</v>
          </cell>
        </row>
        <row r="70">
          <cell r="P70" t="str">
            <v>ש"ח</v>
          </cell>
          <cell r="Y70" t="str">
            <v>פרוט ההוצאות</v>
          </cell>
          <cell r="AA70" t="str">
            <v>(1)</v>
          </cell>
        </row>
        <row r="71">
          <cell r="P71">
            <v>14353399</v>
          </cell>
          <cell r="W71" t="str">
            <v>דמי שכירות רשת</v>
          </cell>
          <cell r="BQ71" t="str">
            <v>בדיקה</v>
          </cell>
        </row>
        <row r="72">
          <cell r="P72">
            <v>546515</v>
          </cell>
          <cell r="W72" t="str">
            <v xml:space="preserve">דמי שכירות סיב אופטי בנכוי זכוי בגין שנה קודמת </v>
          </cell>
        </row>
        <row r="73">
          <cell r="P73">
            <v>6710114</v>
          </cell>
          <cell r="W73" t="str">
            <v>תחזוקת רשת</v>
          </cell>
          <cell r="BG73">
            <v>21.486299999999972</v>
          </cell>
          <cell r="BQ73" t="str">
            <v>מרכז ער"ז</v>
          </cell>
        </row>
        <row r="74">
          <cell r="P74">
            <v>-2783901</v>
          </cell>
          <cell r="W74" t="str">
            <v>זיכוי בגין פיצוי אי מתן אפשרות להקדמת תשלום</v>
          </cell>
        </row>
        <row r="75">
          <cell r="P75">
            <v>39745</v>
          </cell>
          <cell r="W75" t="str">
            <v>הוצאות אחרות</v>
          </cell>
          <cell r="BG75">
            <v>4.3800000000373984E-2</v>
          </cell>
          <cell r="BQ75" t="str">
            <v>דרה"ש</v>
          </cell>
        </row>
        <row r="76">
          <cell r="P76">
            <v>18865872</v>
          </cell>
          <cell r="Q76">
            <v>0</v>
          </cell>
        </row>
        <row r="77">
          <cell r="Z77" t="str">
            <v>מתחלק:</v>
          </cell>
          <cell r="AA77" t="str">
            <v>(2)</v>
          </cell>
          <cell r="BE77">
            <v>-9.8626499999227235E-2</v>
          </cell>
          <cell r="BQ77" t="str">
            <v>טל"מ</v>
          </cell>
        </row>
        <row r="78">
          <cell r="U78">
            <v>779817</v>
          </cell>
          <cell r="W78" t="str">
            <v>חפירות רג'ואן</v>
          </cell>
          <cell r="Z78" t="str">
            <v>קרן</v>
          </cell>
        </row>
        <row r="79">
          <cell r="U79">
            <v>272119</v>
          </cell>
          <cell r="V79" t="str">
            <v>ארונות ישראלוקס</v>
          </cell>
          <cell r="BG79">
            <v>-44.628036923084437</v>
          </cell>
          <cell r="BQ79" t="str">
            <v>ערוצי זהב</v>
          </cell>
        </row>
        <row r="80">
          <cell r="U80">
            <v>91023</v>
          </cell>
          <cell r="V80" t="str">
            <v>כלי עבודה וחומרים</v>
          </cell>
        </row>
        <row r="81">
          <cell r="U81">
            <v>27509</v>
          </cell>
          <cell r="W81" t="str">
            <v>שונות</v>
          </cell>
          <cell r="BC81">
            <v>0.15550769230767969</v>
          </cell>
          <cell r="BQ81" t="str">
            <v>ערוצי אדום</v>
          </cell>
        </row>
        <row r="82">
          <cell r="S82">
            <v>1170468</v>
          </cell>
        </row>
        <row r="83">
          <cell r="S83">
            <v>-229213</v>
          </cell>
          <cell r="U83" t="str">
            <v>פחות ויתור על חלק מארונות ישראלוקס</v>
          </cell>
        </row>
        <row r="84">
          <cell r="S84">
            <v>941255</v>
          </cell>
        </row>
        <row r="85">
          <cell r="S85">
            <v>-470628</v>
          </cell>
          <cell r="W85" t="str">
            <v>הפרשה על %50 מהיתרה הנומינלית</v>
          </cell>
        </row>
        <row r="86">
          <cell r="P86">
            <v>470627</v>
          </cell>
        </row>
        <row r="87">
          <cell r="P87">
            <v>562314</v>
          </cell>
          <cell r="Y87" t="str">
            <v>הפרשי הצמדה על היתרה</v>
          </cell>
        </row>
        <row r="88">
          <cell r="P88">
            <v>1032941</v>
          </cell>
        </row>
        <row r="89">
          <cell r="Z89" t="str">
            <v>פרוט</v>
          </cell>
          <cell r="AA89" t="str">
            <v>(3)</v>
          </cell>
        </row>
        <row r="90">
          <cell r="W90" t="str">
            <v>קרן</v>
          </cell>
        </row>
        <row r="91">
          <cell r="P91">
            <v>3998674</v>
          </cell>
          <cell r="S91" t="str">
            <v>=</v>
          </cell>
          <cell r="T91" t="str">
            <v>12/96</v>
          </cell>
          <cell r="U91">
            <v>346.45</v>
          </cell>
          <cell r="V91" t="str">
            <v>X</v>
          </cell>
          <cell r="W91">
            <v>2500000</v>
          </cell>
          <cell r="Z91" t="str">
            <v>עכוב תשלום</v>
          </cell>
        </row>
        <row r="92">
          <cell r="T92" t="str">
            <v>6/92</v>
          </cell>
          <cell r="U92">
            <v>216.6</v>
          </cell>
          <cell r="X92">
            <v>595524</v>
          </cell>
          <cell r="Y92" t="str">
            <v>הפשרת תשלום בגין הוצאות</v>
          </cell>
        </row>
        <row r="93">
          <cell r="X93">
            <v>173585</v>
          </cell>
          <cell r="Y93" t="str">
            <v xml:space="preserve">      שאושרו ע"י בזק ב-95</v>
          </cell>
        </row>
        <row r="94">
          <cell r="X94">
            <v>130748</v>
          </cell>
        </row>
        <row r="95">
          <cell r="P95">
            <v>-1297351</v>
          </cell>
          <cell r="S95" t="str">
            <v>=</v>
          </cell>
          <cell r="T95" t="str">
            <v>12/96</v>
          </cell>
          <cell r="U95">
            <v>346.45</v>
          </cell>
          <cell r="V95" t="str">
            <v>X</v>
          </cell>
          <cell r="W95">
            <v>-899857</v>
          </cell>
        </row>
        <row r="96">
          <cell r="P96">
            <v>2701323</v>
          </cell>
          <cell r="T96" t="str">
            <v>5/93</v>
          </cell>
          <cell r="U96">
            <v>240.3</v>
          </cell>
          <cell r="W96">
            <v>1600143</v>
          </cell>
        </row>
        <row r="99">
          <cell r="U99" t="str">
            <v>עבודות מיוחדות שנעשו ע"י בזק, אשר השותפות</v>
          </cell>
          <cell r="AA99" t="str">
            <v>(4)</v>
          </cell>
        </row>
        <row r="100">
          <cell r="S100">
            <v>818100</v>
          </cell>
          <cell r="U100" t="str">
            <v>בגין 93</v>
          </cell>
          <cell r="V100" t="str">
            <v>חויבה בהם, וקיימת מחלוקת בגינן-</v>
          </cell>
        </row>
        <row r="101">
          <cell r="S101">
            <v>452680</v>
          </cell>
          <cell r="U101" t="str">
            <v>בגין 94</v>
          </cell>
        </row>
        <row r="102">
          <cell r="Q102">
            <v>1270780</v>
          </cell>
        </row>
        <row r="103">
          <cell r="Q103">
            <v>-1270780</v>
          </cell>
          <cell r="Y103" t="str">
            <v>שולם 15/5/96</v>
          </cell>
        </row>
        <row r="104">
          <cell r="P104">
            <v>0</v>
          </cell>
        </row>
        <row r="105">
          <cell r="Q105">
            <v>40701</v>
          </cell>
          <cell r="S105" t="str">
            <v>בגין 93</v>
          </cell>
          <cell r="U105" t="str">
            <v>הפרשי הצמדה על הנ"ל - טרם שולמו</v>
          </cell>
        </row>
        <row r="106">
          <cell r="Q106">
            <v>183128</v>
          </cell>
          <cell r="S106" t="str">
            <v>בגין 94</v>
          </cell>
        </row>
        <row r="107">
          <cell r="Q107">
            <v>121117</v>
          </cell>
          <cell r="S107" t="str">
            <v>בגין 95</v>
          </cell>
        </row>
        <row r="108">
          <cell r="Q108">
            <v>72420</v>
          </cell>
          <cell r="R108" t="str">
            <v>(7)</v>
          </cell>
          <cell r="S108" t="str">
            <v>בגין 96</v>
          </cell>
        </row>
        <row r="109">
          <cell r="P109">
            <v>417366</v>
          </cell>
        </row>
        <row r="110">
          <cell r="P110">
            <v>417366</v>
          </cell>
        </row>
        <row r="111">
          <cell r="W111" t="str">
            <v>|חייבים בגין תוואי שלא שולמו מאחר וקיימת</v>
          </cell>
        </row>
        <row r="112">
          <cell r="Q112">
            <v>1219608</v>
          </cell>
          <cell r="W112" t="str">
            <v>בגינם מחלוקת</v>
          </cell>
        </row>
        <row r="113">
          <cell r="Q113">
            <v>11122</v>
          </cell>
          <cell r="R113" t="str">
            <v>(7)</v>
          </cell>
          <cell r="U113" t="str">
            <v>הפרשי הצמדה על הנ"ל -</v>
          </cell>
        </row>
        <row r="114">
          <cell r="P114">
            <v>1230730</v>
          </cell>
        </row>
        <row r="116">
          <cell r="P116">
            <v>1648096</v>
          </cell>
          <cell r="W116" t="str">
            <v>סה"כ טרם שולם</v>
          </cell>
        </row>
        <row r="118">
          <cell r="Q118">
            <v>2046858</v>
          </cell>
          <cell r="W118" t="str">
            <v xml:space="preserve">חשבונית מס' 9663 בגין שכירות סיבי אופטי </v>
          </cell>
        </row>
        <row r="119">
          <cell r="Q119">
            <v>347966</v>
          </cell>
          <cell r="W119" t="str">
            <v>מע"מ לא נתבע</v>
          </cell>
        </row>
        <row r="120">
          <cell r="Q120">
            <v>-1394824</v>
          </cell>
          <cell r="W120" t="str">
            <v>פחות לא ישולם לפי הערכה</v>
          </cell>
        </row>
        <row r="121">
          <cell r="P121">
            <v>1000000</v>
          </cell>
          <cell r="U121" t="str">
            <v>יתרה - הפרשה בגין ח-ן שכירות סיב אופטי טרם שולמה</v>
          </cell>
        </row>
        <row r="122">
          <cell r="P122">
            <v>21697</v>
          </cell>
          <cell r="U122" t="str">
            <v>חשבונות בגין שנת 96 שולמו ב-97</v>
          </cell>
        </row>
        <row r="123">
          <cell r="P123">
            <v>-26746</v>
          </cell>
          <cell r="U123" t="str">
            <v>חשבונות בגין שנת 96 התקבלו ב-97</v>
          </cell>
        </row>
        <row r="124">
          <cell r="P124">
            <v>-473263</v>
          </cell>
          <cell r="S124" t="str">
            <v>מע"מ על זיכוי בגין פיצוי אי מתן אפשרות להקדמת תשלום קוזז מתשלומים ב-97</v>
          </cell>
        </row>
        <row r="125">
          <cell r="O125" t="str">
            <v>(7)</v>
          </cell>
          <cell r="P125">
            <v>242000</v>
          </cell>
          <cell r="U125" t="str">
            <v>הפרשי הצמדה על איחור בתשלום דמי שכירות מראש</v>
          </cell>
        </row>
        <row r="126">
          <cell r="P126">
            <v>2411784</v>
          </cell>
          <cell r="Q126">
            <v>0</v>
          </cell>
        </row>
        <row r="127">
          <cell r="U127" t="str">
            <v>סה"כ לזכות הבזק-</v>
          </cell>
          <cell r="AA127" t="str">
            <v>(5)</v>
          </cell>
        </row>
        <row r="128">
          <cell r="P128">
            <v>2411784</v>
          </cell>
          <cell r="U128" t="str">
            <v>בגין רשת הפצה</v>
          </cell>
        </row>
        <row r="129">
          <cell r="P129">
            <v>2701323</v>
          </cell>
          <cell r="U129" t="str">
            <v>בגין דמי שכירות רשת</v>
          </cell>
        </row>
        <row r="130">
          <cell r="P130">
            <v>5113107</v>
          </cell>
        </row>
        <row r="131">
          <cell r="W131" t="str">
            <v>הוצג בהוצאות ממון, נטו.</v>
          </cell>
          <cell r="AA131" t="str">
            <v>(6)</v>
          </cell>
        </row>
        <row r="135">
          <cell r="P135" t="str">
            <v>ידיעות תקשורת בע"מ</v>
          </cell>
          <cell r="U135" t="str">
            <v>עורק שרותי מידע מקומי בע"מ</v>
          </cell>
        </row>
        <row r="140">
          <cell r="BS140" t="str">
            <v xml:space="preserve"> </v>
          </cell>
        </row>
        <row r="143">
          <cell r="BS143" t="str">
            <v xml:space="preserve"> </v>
          </cell>
        </row>
        <row r="144">
          <cell r="BS144" t="str">
            <v xml:space="preserve"> </v>
          </cell>
        </row>
        <row r="145">
          <cell r="BS145" t="str">
            <v>ערוצי זהב ושות'</v>
          </cell>
        </row>
        <row r="146">
          <cell r="BS146" t="str">
            <v>שותפות רשומה</v>
          </cell>
        </row>
        <row r="150">
          <cell r="BS150" t="str">
            <v>פרוטוקול מאסיפת השותפים</v>
          </cell>
        </row>
        <row r="151">
          <cell r="BS151" t="str">
            <v>שנתקיימה ביום</v>
          </cell>
        </row>
        <row r="159">
          <cell r="BS159" t="str">
            <v>1. אשור הדוחות הכספיים ליום 31 בדצמבר 1998.</v>
          </cell>
        </row>
        <row r="161">
          <cell r="BS161" t="str">
            <v>2. אשור עסקאות עם צדדים קשורים.</v>
          </cell>
        </row>
        <row r="163">
          <cell r="BS163" t="str">
            <v>3. אשור חיובי ט.ל.מ בהשתתפות בהוצאות:</v>
          </cell>
        </row>
        <row r="165">
          <cell r="BS165" t="str">
            <v xml:space="preserve">    א. ההוצאות שהיוו בסיס לחיוב.</v>
          </cell>
        </row>
        <row r="167">
          <cell r="BS167" t="str">
            <v xml:space="preserve">    ב. אופן חשוב החיוב.</v>
          </cell>
        </row>
        <row r="175">
          <cell r="BS175" t="str">
            <v>1. לאשר הדוחות הכספיים הנומינלים ליום 31 בדצמבר 1998.</v>
          </cell>
        </row>
        <row r="177">
          <cell r="BS177" t="str">
            <v>2. לאשר את העסקאות עם צדדים קשורים כמפורט בדוחות</v>
          </cell>
        </row>
        <row r="178">
          <cell r="BS178" t="str">
            <v xml:space="preserve">   הכספיים הנ"ל.</v>
          </cell>
        </row>
        <row r="180">
          <cell r="BS180" t="str">
            <v>3. לאשר חיובי ט.ל.מ בהשתתפות בהוצאות כדלקמן:</v>
          </cell>
        </row>
        <row r="182">
          <cell r="BS182" t="str">
            <v xml:space="preserve">    א. ההוצאות שהיוו בסיס לחיוב, כמפורט בנספח א' לפרוטוקול.</v>
          </cell>
        </row>
        <row r="184">
          <cell r="BS184" t="str">
            <v xml:space="preserve">    ב. אופן חשוב החיוב, כמפורט בנספח ב' לפרוטוקול.</v>
          </cell>
        </row>
        <row r="185">
          <cell r="BS185" t="str">
            <v>4. לאשר חלוקת אובדן הממירים במלאי בין ערוצי זהב לט.ל.מ</v>
          </cell>
        </row>
        <row r="205">
          <cell r="BS205" t="str">
            <v xml:space="preserve"> </v>
          </cell>
        </row>
        <row r="207">
          <cell r="BS207" t="str">
            <v>ערוצי זהב ושות' 31.12.98</v>
          </cell>
        </row>
        <row r="209">
          <cell r="BS209" t="str">
            <v>נספח א' לפרוטוקול</v>
          </cell>
        </row>
        <row r="211">
          <cell r="BS211" t="str">
            <v>השתתפות ט.ל.מ בהוצאות ערוצי זהב</v>
          </cell>
        </row>
        <row r="270">
          <cell r="BS270" t="str">
            <v>ערוצי זהב ושות' 31.12.97</v>
          </cell>
        </row>
        <row r="272">
          <cell r="BS272" t="str">
            <v>נספח ב' לפרוטוקול</v>
          </cell>
        </row>
        <row r="274">
          <cell r="BS274" t="str">
            <v>השתתפות ט.ל.מ בהוצאות ערוצי זהב</v>
          </cell>
        </row>
        <row r="338">
          <cell r="BS338" t="e">
            <v>#VALUE!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>
        <row r="9">
          <cell r="O9" t="str">
            <v>משרדי</v>
          </cell>
        </row>
      </sheetData>
      <sheetData sheetId="18">
        <row r="9">
          <cell r="O9" t="str">
            <v>משרדי</v>
          </cell>
        </row>
      </sheetData>
      <sheetData sheetId="19">
        <row r="9">
          <cell r="R9" t="str">
            <v>31 בדצמבר</v>
          </cell>
        </row>
      </sheetData>
      <sheetData sheetId="20"/>
      <sheetData sheetId="21"/>
      <sheetData sheetId="22">
        <row r="9">
          <cell r="O9" t="str">
            <v>משרדי</v>
          </cell>
        </row>
      </sheetData>
      <sheetData sheetId="23">
        <row r="9">
          <cell r="O9" t="str">
            <v>משרדי</v>
          </cell>
        </row>
      </sheetData>
      <sheetData sheetId="24">
        <row r="9">
          <cell r="R9" t="str">
            <v>31 בדצמבר</v>
          </cell>
        </row>
      </sheetData>
      <sheetData sheetId="25"/>
      <sheetData sheetId="26"/>
      <sheetData sheetId="27">
        <row r="9">
          <cell r="O9" t="str">
            <v>משרדי</v>
          </cell>
        </row>
      </sheetData>
      <sheetData sheetId="28">
        <row r="9">
          <cell r="O9" t="str">
            <v>משרדי</v>
          </cell>
        </row>
      </sheetData>
      <sheetData sheetId="29">
        <row r="9">
          <cell r="R9" t="str">
            <v>31 בדצמבר</v>
          </cell>
        </row>
      </sheetData>
      <sheetData sheetId="30"/>
      <sheetData sheetId="31"/>
      <sheetData sheetId="32">
        <row r="9">
          <cell r="O9" t="str">
            <v>משרדי</v>
          </cell>
        </row>
      </sheetData>
      <sheetData sheetId="33">
        <row r="9">
          <cell r="O9" t="str">
            <v>משרדי</v>
          </cell>
        </row>
      </sheetData>
      <sheetData sheetId="34">
        <row r="9">
          <cell r="R9" t="str">
            <v>31 בדצמבר</v>
          </cell>
        </row>
      </sheetData>
      <sheetData sheetId="35"/>
      <sheetData sheetId="36"/>
      <sheetData sheetId="37">
        <row r="9">
          <cell r="O9" t="str">
            <v>משרדי</v>
          </cell>
        </row>
      </sheetData>
      <sheetData sheetId="38">
        <row r="9">
          <cell r="O9" t="str">
            <v>משרדי</v>
          </cell>
        </row>
      </sheetData>
      <sheetData sheetId="39">
        <row r="9">
          <cell r="R9" t="str">
            <v>31 בדצמבר</v>
          </cell>
        </row>
      </sheetData>
      <sheetData sheetId="40"/>
      <sheetData sheetId="41"/>
      <sheetData sheetId="42">
        <row r="9">
          <cell r="O9" t="str">
            <v>משרדי</v>
          </cell>
        </row>
      </sheetData>
      <sheetData sheetId="43">
        <row r="9">
          <cell r="O9" t="str">
            <v>משרדי</v>
          </cell>
        </row>
      </sheetData>
      <sheetData sheetId="44">
        <row r="9">
          <cell r="R9" t="str">
            <v>31 בדצמבר</v>
          </cell>
        </row>
      </sheetData>
      <sheetData sheetId="45" refreshError="1"/>
      <sheetData sheetId="46" refreshError="1"/>
      <sheetData sheetId="47"/>
      <sheetData sheetId="48"/>
      <sheetData sheetId="49" refreshError="1"/>
      <sheetData sheetId="50" refreshError="1"/>
      <sheetData sheetId="51">
        <row r="9">
          <cell r="AN9">
            <v>0</v>
          </cell>
        </row>
      </sheetData>
      <sheetData sheetId="52">
        <row r="9">
          <cell r="O9" t="str">
            <v>?????</v>
          </cell>
        </row>
      </sheetData>
      <sheetData sheetId="53">
        <row r="9">
          <cell r="R9" t="str">
            <v>31 ??????</v>
          </cell>
        </row>
      </sheetData>
      <sheetData sheetId="54" refreshError="1"/>
      <sheetData sheetId="55"/>
      <sheetData sheetId="56"/>
      <sheetData sheetId="57">
        <row r="9">
          <cell r="O9" t="str">
            <v>משרדי</v>
          </cell>
        </row>
      </sheetData>
      <sheetData sheetId="58">
        <row r="9">
          <cell r="O9" t="str">
            <v>משרדי</v>
          </cell>
        </row>
      </sheetData>
      <sheetData sheetId="59">
        <row r="9">
          <cell r="O9" t="str">
            <v>משרדי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קרן הון"/>
      <sheetName val="מנטורטק רבעון"/>
      <sheetName val="PC מאוחד"/>
      <sheetName val="מנטורטק משולב"/>
      <sheetName val="סיון משולב"/>
      <sheetName val="מאזנים משולב"/>
      <sheetName val="סיון מאוחד"/>
      <sheetName val="יחסים אנליטים"/>
      <sheetName val="סיון פתרונות -cbt "/>
      <sheetName val="סיון פיתוח - TBT"/>
      <sheetName val="סיון ירושלים"/>
      <sheetName val="סיון הדרכה "/>
      <sheetName val="תרומה נומינלית"/>
      <sheetName val="סבירות מימון"/>
      <sheetName val="פרוטים"/>
      <sheetName val="פקודות נוספות"/>
      <sheetName val="אנליטי"/>
      <sheetName val="השקעה בסיון ירושלים"/>
      <sheetName val="מדדים"/>
      <sheetName val="מס נדחה והפרשה למס"/>
      <sheetName val="רכוש קבוע"/>
      <sheetName val="פקודות איחוד"/>
      <sheetName val="הכנסות מראש"/>
      <sheetName val="מעגלים"/>
      <sheetName val="מעגל רכוש קבוע ש&quot;ח"/>
      <sheetName val="אנליטי מאוחד"/>
      <sheetName val="mentortech inc"/>
      <sheetName val="Criteria"/>
      <sheetName val="Lists"/>
      <sheetName val="Cash Flow"/>
      <sheetName val="Brazil"/>
      <sheetName val="Ger"/>
      <sheetName val="Mexico"/>
      <sheetName val="U.K."/>
      <sheetName val=""/>
      <sheetName val="קרן_הון"/>
      <sheetName val="מנטורטק_רבעון"/>
      <sheetName val="PC_מאוחד"/>
      <sheetName val="מנטורטק_משולב"/>
      <sheetName val="סיון_משולב"/>
      <sheetName val="מאזנים_משולב"/>
      <sheetName val="סיון_מאוחד"/>
      <sheetName val="יחסים_אנליטים"/>
      <sheetName val="סיון_פתרונות_-cbt_"/>
      <sheetName val="סיון_פיתוח_-_TBT"/>
      <sheetName val="סיון_ירושלים"/>
      <sheetName val="סיון_הדרכה_"/>
      <sheetName val="תרומה_נומינלית"/>
      <sheetName val="סבירות_מימון"/>
      <sheetName val="פקודות_נוספות"/>
      <sheetName val="השקעה_בסיון_ירושלים"/>
      <sheetName val="מס_נדחה_והפרשה_למס"/>
      <sheetName val="רכוש_קבוע"/>
      <sheetName val="פקודות_איחוד"/>
      <sheetName val="הכנסות_מראש"/>
      <sheetName val="מעגל_רכוש_קבוע_ש&quot;ח"/>
      <sheetName val="אנליטי_מאוחד"/>
      <sheetName val="mentortech_inc"/>
      <sheetName val="P&amp;L - YTD"/>
      <sheetName val="Note D &amp; E"/>
      <sheetName val="Note F &amp; G"/>
      <sheetName val="I-C FA"/>
      <sheetName val="Note 21-27"/>
      <sheetName val="SH_Equity"/>
      <sheetName val="Cash_Flow"/>
      <sheetName val="Currencies"/>
      <sheetName val="Assets "/>
      <sheetName val="Liabilities"/>
      <sheetName val="Note 1-9"/>
      <sheetName val="Note A &amp; B"/>
      <sheetName val="Note C"/>
      <sheetName val="Note 13"/>
      <sheetName val="CODS"/>
      <sheetName val="Annual Notes"/>
      <sheetName val="Note 10-12"/>
      <sheetName val="Gnrl note"/>
      <sheetName val="MENU"/>
      <sheetName val="N-SBU"/>
      <sheetName val="Sheet1"/>
      <sheetName val="print"/>
      <sheetName val="Note QD &amp; E"/>
      <sheetName val="Note QF &amp; G "/>
      <sheetName val="NoteQ 21-27"/>
      <sheetName val="קרן_הון4"/>
      <sheetName val="מנטורטק_רבעון4"/>
      <sheetName val="PC_מאוחד4"/>
      <sheetName val="מנטורטק_משולב4"/>
      <sheetName val="סיון_משולב4"/>
      <sheetName val="מאזנים_משולב4"/>
      <sheetName val="סיון_מאוחד4"/>
      <sheetName val="יחסים_אנליטים4"/>
      <sheetName val="סיון_פתרונות_-cbt_4"/>
      <sheetName val="סיון_פיתוח_-_TBT4"/>
      <sheetName val="סיון_ירושלים4"/>
      <sheetName val="סיון_הדרכה_4"/>
      <sheetName val="תרומה_נומינלית4"/>
      <sheetName val="סבירות_מימון4"/>
      <sheetName val="פקודות_נוספות4"/>
      <sheetName val="השקעה_בסיון_ירושלים4"/>
      <sheetName val="מס_נדחה_והפרשה_למס4"/>
      <sheetName val="רכוש_קבוע4"/>
      <sheetName val="פקודות_איחוד4"/>
      <sheetName val="הכנסות_מראש4"/>
      <sheetName val="מעגל_רכוש_קבוע_ש&quot;ח4"/>
      <sheetName val="אנליטי_מאוחד4"/>
      <sheetName val="mentortech_inc4"/>
      <sheetName val="קרן_הון1"/>
      <sheetName val="מנטורטק_רבעון1"/>
      <sheetName val="PC_מאוחד1"/>
      <sheetName val="מנטורטק_משולב1"/>
      <sheetName val="סיון_משולב1"/>
      <sheetName val="מאזנים_משולב1"/>
      <sheetName val="סיון_מאוחד1"/>
      <sheetName val="יחסים_אנליטים1"/>
      <sheetName val="סיון_פתרונות_-cbt_1"/>
      <sheetName val="סיון_פיתוח_-_TBT1"/>
      <sheetName val="סיון_ירושלים1"/>
      <sheetName val="סיון_הדרכה_1"/>
      <sheetName val="תרומה_נומינלית1"/>
      <sheetName val="סבירות_מימון1"/>
      <sheetName val="פקודות_נוספות1"/>
      <sheetName val="השקעה_בסיון_ירושלים1"/>
      <sheetName val="מס_נדחה_והפרשה_למס1"/>
      <sheetName val="רכוש_קבוע1"/>
      <sheetName val="פקודות_איחוד1"/>
      <sheetName val="הכנסות_מראש1"/>
      <sheetName val="מעגל_רכוש_קבוע_ש&quot;ח1"/>
      <sheetName val="אנליטי_מאוחד1"/>
      <sheetName val="mentortech_inc1"/>
      <sheetName val="קרן_הון2"/>
      <sheetName val="מנטורטק_רבעון2"/>
      <sheetName val="PC_מאוחד2"/>
      <sheetName val="מנטורטק_משולב2"/>
      <sheetName val="סיון_משולב2"/>
      <sheetName val="מאזנים_משולב2"/>
      <sheetName val="סיון_מאוחד2"/>
      <sheetName val="יחסים_אנליטים2"/>
      <sheetName val="סיון_פתרונות_-cbt_2"/>
      <sheetName val="סיון_פיתוח_-_TBT2"/>
      <sheetName val="סיון_ירושלים2"/>
      <sheetName val="סיון_הדרכה_2"/>
      <sheetName val="תרומה_נומינלית2"/>
      <sheetName val="סבירות_מימון2"/>
      <sheetName val="פקודות_נוספות2"/>
      <sheetName val="השקעה_בסיון_ירושלים2"/>
      <sheetName val="מס_נדחה_והפרשה_למס2"/>
      <sheetName val="רכוש_קבוע2"/>
      <sheetName val="פקודות_איחוד2"/>
      <sheetName val="הכנסות_מראש2"/>
      <sheetName val="מעגל_רכוש_קבוע_ש&quot;ח2"/>
      <sheetName val="אנליטי_מאוחד2"/>
      <sheetName val="mentortech_inc2"/>
      <sheetName val="קרן_הון3"/>
      <sheetName val="מנטורטק_רבעון3"/>
      <sheetName val="PC_מאוחד3"/>
      <sheetName val="מנטורטק_משולב3"/>
      <sheetName val="סיון_משולב3"/>
      <sheetName val="מאזנים_משולב3"/>
      <sheetName val="סיון_מאוחד3"/>
      <sheetName val="יחסים_אנליטים3"/>
      <sheetName val="סיון_פתרונות_-cbt_3"/>
      <sheetName val="סיון_פיתוח_-_TBT3"/>
      <sheetName val="סיון_ירושלים3"/>
      <sheetName val="סיון_הדרכה_3"/>
      <sheetName val="תרומה_נומינלית3"/>
      <sheetName val="סבירות_מימון3"/>
      <sheetName val="פקודות_נוספות3"/>
      <sheetName val="השקעה_בסיון_ירושלים3"/>
      <sheetName val="מס_נדחה_והפרשה_למס3"/>
      <sheetName val="רכוש_קבוע3"/>
      <sheetName val="פקודות_איחוד3"/>
      <sheetName val="הכנסות_מראש3"/>
      <sheetName val="מעגל_רכוש_קבוע_ש&quot;ח3"/>
      <sheetName val="אנליטי_מאוחד3"/>
      <sheetName val="mentortech_inc3"/>
      <sheetName val="קרן_הון5"/>
      <sheetName val="מנטורטק_רבעון5"/>
      <sheetName val="PC_מאוחד5"/>
      <sheetName val="מנטורטק_משולב5"/>
      <sheetName val="סיון_משולב5"/>
      <sheetName val="מאזנים_משולב5"/>
      <sheetName val="סיון_מאוחד5"/>
      <sheetName val="יחסים_אנליטים5"/>
      <sheetName val="סיון_פתרונות_-cbt_5"/>
      <sheetName val="סיון_פיתוח_-_TBT5"/>
      <sheetName val="סיון_ירושלים5"/>
      <sheetName val="סיון_הדרכה_5"/>
      <sheetName val="תרומה_נומינלית5"/>
      <sheetName val="סבירות_מימון5"/>
      <sheetName val="פקודות_נוספות5"/>
      <sheetName val="השקעה_בסיון_ירושלים5"/>
      <sheetName val="מס_נדחה_והפרשה_למס5"/>
      <sheetName val="רכוש_קבוע5"/>
      <sheetName val="פקודות_איחוד5"/>
      <sheetName val="הכנסות_מראש5"/>
      <sheetName val="מעגל_רכוש_קבוע_ש&quot;ח5"/>
      <sheetName val="אנליטי_מאוחד5"/>
      <sheetName val="mentortech_inc5"/>
      <sheetName val="קרן_הון6"/>
      <sheetName val="מנטורטק_רבעון6"/>
      <sheetName val="PC_מאוחד6"/>
      <sheetName val="מנטורטק_משולב6"/>
      <sheetName val="סיון_משולב6"/>
      <sheetName val="מאזנים_משולב6"/>
      <sheetName val="סיון_מאוחד6"/>
      <sheetName val="יחסים_אנליטים6"/>
      <sheetName val="סיון_פתרונות_-cbt_6"/>
      <sheetName val="סיון_פיתוח_-_TBT6"/>
      <sheetName val="סיון_ירושלים6"/>
      <sheetName val="סיון_הדרכה_6"/>
      <sheetName val="תרומה_נומינלית6"/>
      <sheetName val="סבירות_מימון6"/>
      <sheetName val="פקודות_נוספות6"/>
      <sheetName val="השקעה_בסיון_ירושלים6"/>
      <sheetName val="מס_נדחה_והפרשה_למס6"/>
      <sheetName val="רכוש_קבוע6"/>
      <sheetName val="פקודות_איחוד6"/>
      <sheetName val="הכנסות_מראש6"/>
      <sheetName val="מעגל_רכוש_קבוע_ש&quot;ח6"/>
      <sheetName val="אנליטי_מאוחד6"/>
      <sheetName val="mentortech_inc6"/>
      <sheetName val="קרן_הון7"/>
      <sheetName val="מנטורטק_רבעון7"/>
      <sheetName val="PC_מאוחד7"/>
      <sheetName val="מנטורטק_משולב7"/>
      <sheetName val="סיון_משולב7"/>
      <sheetName val="מאזנים_משולב7"/>
      <sheetName val="סיון_מאוחד7"/>
      <sheetName val="יחסים_אנליטים7"/>
      <sheetName val="סיון_פתרונות_-cbt_7"/>
      <sheetName val="סיון_פיתוח_-_TBT7"/>
      <sheetName val="סיון_ירושלים7"/>
      <sheetName val="סיון_הדרכה_7"/>
      <sheetName val="תרומה_נומינלית7"/>
      <sheetName val="סבירות_מימון7"/>
      <sheetName val="פקודות_נוספות7"/>
      <sheetName val="השקעה_בסיון_ירושלים7"/>
      <sheetName val="מס_נדחה_והפרשה_למס7"/>
      <sheetName val="רכוש_קבוע7"/>
      <sheetName val="פקודות_איחוד7"/>
      <sheetName val="הכנסות_מראש7"/>
      <sheetName val="מעגל_רכוש_קבוע_ש&quot;ח7"/>
      <sheetName val="אנליטי_מאוחד7"/>
      <sheetName val="mentortech_inc7"/>
      <sheetName val="Israel expense per department"/>
      <sheetName val="Option expenses 2018"/>
      <sheetName val="Journal Pivot"/>
      <sheetName val="DB"/>
      <sheetName val="B&amp;S Calculation K1"/>
      <sheetName val=" standard deviation Majority"/>
      <sheetName val=" standard deviation (volatility"/>
      <sheetName val="Employee list"/>
      <sheetName val="Forfeit"/>
      <sheetName val="forfeit Rare calculation"/>
      <sheetName val="קרן_הון8"/>
      <sheetName val="מנטורטק_רבעון8"/>
      <sheetName val="PC_מאוחד8"/>
      <sheetName val="מנטורטק_משולב8"/>
      <sheetName val="סיון_משולב8"/>
      <sheetName val="מאזנים_משולב8"/>
      <sheetName val="סיון_מאוחד8"/>
      <sheetName val="יחסים_אנליטים8"/>
      <sheetName val="סיון_פתרונות_-cbt_8"/>
      <sheetName val="סיון_פיתוח_-_TBT8"/>
      <sheetName val="סיון_ירושלים8"/>
      <sheetName val="סיון_הדרכה_8"/>
      <sheetName val="תרומה_נומינלית8"/>
      <sheetName val="סבירות_מימון8"/>
      <sheetName val="פקודות_נוספות8"/>
      <sheetName val="השקעה_בסיון_ירושלים8"/>
      <sheetName val="מס_נדחה_והפרשה_למס8"/>
      <sheetName val="רכוש_קבוע8"/>
      <sheetName val="פקודות_איחוד8"/>
      <sheetName val="הכנסות_מראש8"/>
      <sheetName val="מעגל_רכוש_קבוע_ש&quot;ח8"/>
      <sheetName val="אנליטי_מאוחד8"/>
      <sheetName val="mentortech_inc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2">
          <cell r="E32">
            <v>106.6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 1"/>
      <sheetName val="Temp 2"/>
    </sheetNames>
    <sheetDataSet>
      <sheetData sheetId="0" refreshError="1"/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1"/>
      <sheetName val="עלות מחלקה - הצגה חודשית"/>
      <sheetName val="עלות מחלקה - הצגה רבעונית"/>
      <sheetName val="עלות מחלקה - הצגה רב-שנתית"/>
      <sheetName val="עלות עובדים - הצגה רבעונית"/>
      <sheetName val="עלות עובדים - הצגה רב-שנתית"/>
      <sheetName val="רב שנתי בחתך חודשי"/>
      <sheetName val="מעלות לנטו - פרוט לפי עובדים"/>
      <sheetName val="מעלות לנטו - פרוט לפי חודשים"/>
      <sheetName val="מעלות לנטו - ריכוז לפי עובדים"/>
      <sheetName val="עלות ושווי"/>
      <sheetName val="אין יותר"/>
      <sheetName val="גיליון3"/>
    </sheetNames>
    <sheetDataSet>
      <sheetData sheetId="0">
        <row r="1">
          <cell r="A1" t="str">
            <v>שם החברה</v>
          </cell>
          <cell r="B1" t="str">
            <v>שנת מס</v>
          </cell>
          <cell r="C1" t="str">
            <v>מספר חודש</v>
          </cell>
          <cell r="D1" t="str">
            <v>מספר עובד</v>
          </cell>
          <cell r="E1" t="str">
            <v>שם העובד</v>
          </cell>
          <cell r="F1" t="str">
            <v>שם מחלקה</v>
          </cell>
          <cell r="G1" t="str">
            <v>מספר תת-מחלקה</v>
          </cell>
          <cell r="H1" t="str">
            <v>סיכום ברוטו</v>
          </cell>
          <cell r="I1" t="str">
            <v>תשלומים</v>
          </cell>
          <cell r="J1" t="str">
            <v>תגמולים-מ</v>
          </cell>
          <cell r="K1" t="str">
            <v>קרן השת.-מ</v>
          </cell>
          <cell r="L1" t="str">
            <v>פיצויים</v>
          </cell>
          <cell r="M1" t="str">
            <v>שונות</v>
          </cell>
          <cell r="N1" t="str">
            <v>בט.לאומי-מ</v>
          </cell>
          <cell r="O1" t="str">
            <v>מס מעסיקים</v>
          </cell>
          <cell r="P1" t="str">
            <v>מס שכר</v>
          </cell>
          <cell r="Q1" t="str">
            <v>הטל ע.זר</v>
          </cell>
          <cell r="R1" t="str">
            <v>סה"כ עלות</v>
          </cell>
          <cell r="S1" t="str">
            <v>מס הכנסה</v>
          </cell>
          <cell r="T1" t="str">
            <v>תגמולים-ע</v>
          </cell>
          <cell r="U1" t="str">
            <v>קרן השת.-ע</v>
          </cell>
          <cell r="V1" t="str">
            <v>הסתדרות</v>
          </cell>
          <cell r="W1" t="str">
            <v>נכ.אחרים</v>
          </cell>
          <cell r="X1" t="str">
            <v>ביטוח לאומי</v>
          </cell>
          <cell r="Y1" t="str">
            <v>שכר נטו</v>
          </cell>
          <cell r="Z1" t="str">
            <v>נכ.רשות</v>
          </cell>
          <cell r="AA1" t="str">
            <v>לתשלום</v>
          </cell>
          <cell r="AB1" t="str">
            <v>רבעון</v>
          </cell>
          <cell r="AC1" t="str">
            <v>בחר עובד</v>
          </cell>
          <cell r="AD1" t="str">
            <v>בחר מחלקה</v>
          </cell>
          <cell r="AE1" t="str">
            <v>בחר רבעון</v>
          </cell>
          <cell r="AF1" t="str">
            <v>בחר חודש</v>
          </cell>
          <cell r="AG1" t="str">
            <v>סיכום תשלומי מעביד</v>
          </cell>
          <cell r="AH1" t="str">
            <v>מס הכנסה וביל</v>
          </cell>
          <cell r="AI1" t="str">
            <v>שווי</v>
          </cell>
        </row>
        <row r="2">
          <cell r="A2" t="str">
            <v>פיר 39 (ישראל) בע"מ</v>
          </cell>
          <cell r="B2">
            <v>2006</v>
          </cell>
          <cell r="C2">
            <v>4</v>
          </cell>
          <cell r="D2">
            <v>1</v>
          </cell>
          <cell r="E2" t="str">
            <v>סולומון  עמיעד</v>
          </cell>
          <cell r="F2" t="str">
            <v>הנהלה</v>
          </cell>
          <cell r="G2">
            <v>0</v>
          </cell>
          <cell r="H2">
            <v>15000</v>
          </cell>
          <cell r="I2">
            <v>15000</v>
          </cell>
          <cell r="N2">
            <v>820.99</v>
          </cell>
          <cell r="R2">
            <v>15820.99</v>
          </cell>
          <cell r="S2">
            <v>7350</v>
          </cell>
          <cell r="X2">
            <v>1800</v>
          </cell>
          <cell r="Y2">
            <v>5850</v>
          </cell>
          <cell r="AA2">
            <v>5850</v>
          </cell>
          <cell r="AB2">
            <v>2</v>
          </cell>
          <cell r="AC2" t="str">
            <v>סולומון  עמיעד</v>
          </cell>
          <cell r="AD2" t="str">
            <v>הנהלה</v>
          </cell>
          <cell r="AE2">
            <v>2</v>
          </cell>
          <cell r="AF2">
            <v>4</v>
          </cell>
          <cell r="AG2">
            <v>820.99</v>
          </cell>
          <cell r="AH2">
            <v>9150</v>
          </cell>
        </row>
        <row r="3">
          <cell r="A3" t="str">
            <v>פיר 39 (ישראל) בע"מ</v>
          </cell>
          <cell r="B3">
            <v>2006</v>
          </cell>
          <cell r="C3">
            <v>5</v>
          </cell>
          <cell r="D3">
            <v>1</v>
          </cell>
          <cell r="E3" t="str">
            <v>סולומון  עמיעד</v>
          </cell>
          <cell r="F3" t="str">
            <v>הנהלה</v>
          </cell>
          <cell r="G3">
            <v>0</v>
          </cell>
          <cell r="H3">
            <v>15000</v>
          </cell>
          <cell r="I3">
            <v>15000</v>
          </cell>
          <cell r="N3">
            <v>820.99</v>
          </cell>
          <cell r="R3">
            <v>15820.99</v>
          </cell>
          <cell r="S3">
            <v>7350</v>
          </cell>
          <cell r="X3">
            <v>1800</v>
          </cell>
          <cell r="Y3">
            <v>5850</v>
          </cell>
          <cell r="AA3">
            <v>5850</v>
          </cell>
          <cell r="AB3">
            <v>2</v>
          </cell>
          <cell r="AC3" t="str">
            <v>סולומון  עמיעד</v>
          </cell>
          <cell r="AD3" t="str">
            <v>הנהלה</v>
          </cell>
          <cell r="AE3">
            <v>2</v>
          </cell>
          <cell r="AF3">
            <v>5</v>
          </cell>
          <cell r="AG3">
            <v>820.99</v>
          </cell>
          <cell r="AH3">
            <v>9150</v>
          </cell>
        </row>
        <row r="4">
          <cell r="A4" t="str">
            <v>פיר 39 (ישראל) בע"מ</v>
          </cell>
          <cell r="B4">
            <v>2006</v>
          </cell>
          <cell r="C4">
            <v>6</v>
          </cell>
          <cell r="D4">
            <v>1</v>
          </cell>
          <cell r="E4" t="str">
            <v>סולומון  עמיעד</v>
          </cell>
          <cell r="F4" t="str">
            <v>הנהלה</v>
          </cell>
          <cell r="G4">
            <v>0</v>
          </cell>
          <cell r="H4">
            <v>19679.86</v>
          </cell>
          <cell r="I4">
            <v>19142.96</v>
          </cell>
          <cell r="N4">
            <v>1086.8</v>
          </cell>
          <cell r="R4">
            <v>20229.759999999998</v>
          </cell>
          <cell r="S4">
            <v>9643.1299999999992</v>
          </cell>
          <cell r="X4">
            <v>2361.58</v>
          </cell>
          <cell r="Y4">
            <v>7138.25</v>
          </cell>
          <cell r="Z4">
            <v>13</v>
          </cell>
          <cell r="AA4">
            <v>7125.25</v>
          </cell>
          <cell r="AB4">
            <v>2</v>
          </cell>
          <cell r="AC4" t="str">
            <v>סולומון  עמיעד</v>
          </cell>
          <cell r="AD4" t="str">
            <v>הנהלה</v>
          </cell>
          <cell r="AE4">
            <v>2</v>
          </cell>
          <cell r="AF4">
            <v>6</v>
          </cell>
          <cell r="AG4">
            <v>1086.8</v>
          </cell>
          <cell r="AH4">
            <v>12004.71</v>
          </cell>
          <cell r="AI4">
            <v>536.9</v>
          </cell>
        </row>
        <row r="5">
          <cell r="A5" t="str">
            <v>פיר 39 (ישראל) בע"מ</v>
          </cell>
          <cell r="B5">
            <v>2006</v>
          </cell>
          <cell r="C5">
            <v>7</v>
          </cell>
          <cell r="D5">
            <v>1</v>
          </cell>
          <cell r="E5" t="str">
            <v>סולומון  עמיעד</v>
          </cell>
          <cell r="F5" t="str">
            <v>הנהלה</v>
          </cell>
          <cell r="G5">
            <v>0</v>
          </cell>
          <cell r="H5">
            <v>18597.46</v>
          </cell>
          <cell r="I5">
            <v>17078.46</v>
          </cell>
          <cell r="N5">
            <v>1025.32</v>
          </cell>
          <cell r="R5">
            <v>18103.78</v>
          </cell>
          <cell r="S5">
            <v>4446.32</v>
          </cell>
          <cell r="W5">
            <v>0</v>
          </cell>
          <cell r="X5">
            <v>1855.14</v>
          </cell>
          <cell r="Y5">
            <v>10777</v>
          </cell>
          <cell r="Z5">
            <v>104</v>
          </cell>
          <cell r="AA5">
            <v>10673</v>
          </cell>
          <cell r="AB5">
            <v>3</v>
          </cell>
          <cell r="AC5" t="str">
            <v>סולומון  עמיעד</v>
          </cell>
          <cell r="AD5" t="str">
            <v>הנהלה</v>
          </cell>
          <cell r="AE5">
            <v>3</v>
          </cell>
          <cell r="AF5">
            <v>7</v>
          </cell>
          <cell r="AG5">
            <v>1025.32</v>
          </cell>
          <cell r="AH5">
            <v>6301.46</v>
          </cell>
          <cell r="AI5">
            <v>1519</v>
          </cell>
        </row>
        <row r="6">
          <cell r="A6" t="str">
            <v>פיר 39 (ישראל) בע"מ</v>
          </cell>
          <cell r="B6">
            <v>2006</v>
          </cell>
          <cell r="C6">
            <v>8</v>
          </cell>
          <cell r="D6">
            <v>1</v>
          </cell>
          <cell r="E6" t="str">
            <v>סולומון  עמיעד</v>
          </cell>
          <cell r="F6" t="str">
            <v>הנהלה</v>
          </cell>
          <cell r="G6">
            <v>0</v>
          </cell>
          <cell r="H6">
            <v>18532.45</v>
          </cell>
          <cell r="I6">
            <v>17078.45</v>
          </cell>
          <cell r="N6">
            <v>1021.63</v>
          </cell>
          <cell r="R6">
            <v>18100.080000000002</v>
          </cell>
          <cell r="S6">
            <v>4424.1099999999997</v>
          </cell>
          <cell r="W6">
            <v>0</v>
          </cell>
          <cell r="X6">
            <v>1847.34</v>
          </cell>
          <cell r="Y6">
            <v>10807</v>
          </cell>
          <cell r="Z6">
            <v>39</v>
          </cell>
          <cell r="AA6">
            <v>10768</v>
          </cell>
          <cell r="AB6">
            <v>3</v>
          </cell>
          <cell r="AC6" t="str">
            <v>סולומון  עמיעד</v>
          </cell>
          <cell r="AD6" t="str">
            <v>הנהלה</v>
          </cell>
          <cell r="AE6">
            <v>3</v>
          </cell>
          <cell r="AF6">
            <v>8</v>
          </cell>
          <cell r="AG6">
            <v>1021.63</v>
          </cell>
          <cell r="AH6">
            <v>6271.45</v>
          </cell>
          <cell r="AI6">
            <v>1454</v>
          </cell>
        </row>
        <row r="7">
          <cell r="A7" t="str">
            <v>פיר 39 (ישראל) בע"מ</v>
          </cell>
          <cell r="B7">
            <v>2006</v>
          </cell>
          <cell r="C7">
            <v>9</v>
          </cell>
          <cell r="D7">
            <v>1</v>
          </cell>
          <cell r="E7" t="str">
            <v>סולומון  עמיעד</v>
          </cell>
          <cell r="F7" t="str">
            <v>הנהלה</v>
          </cell>
          <cell r="G7">
            <v>0</v>
          </cell>
          <cell r="H7">
            <v>19135.38</v>
          </cell>
          <cell r="I7">
            <v>17355.38</v>
          </cell>
          <cell r="N7">
            <v>1055.8800000000001</v>
          </cell>
          <cell r="R7">
            <v>18411.259999999998</v>
          </cell>
          <cell r="S7">
            <v>4639.68</v>
          </cell>
          <cell r="W7">
            <v>0</v>
          </cell>
          <cell r="X7">
            <v>1919.7</v>
          </cell>
          <cell r="Y7">
            <v>10796</v>
          </cell>
          <cell r="Z7">
            <v>65</v>
          </cell>
          <cell r="AA7">
            <v>10731</v>
          </cell>
          <cell r="AB7">
            <v>3</v>
          </cell>
          <cell r="AC7" t="str">
            <v>סולומון  עמיעד</v>
          </cell>
          <cell r="AD7" t="str">
            <v>הנהלה</v>
          </cell>
          <cell r="AE7">
            <v>3</v>
          </cell>
          <cell r="AF7">
            <v>9</v>
          </cell>
          <cell r="AG7">
            <v>1055.8800000000001</v>
          </cell>
          <cell r="AH7">
            <v>6559.38</v>
          </cell>
          <cell r="AI7">
            <v>1780</v>
          </cell>
        </row>
        <row r="8">
          <cell r="A8" t="str">
            <v>פיר 39 (ישראל) בע"מ</v>
          </cell>
          <cell r="B8">
            <v>2006</v>
          </cell>
          <cell r="C8">
            <v>10</v>
          </cell>
          <cell r="D8">
            <v>1</v>
          </cell>
          <cell r="E8" t="str">
            <v>סולומון  עמיעד</v>
          </cell>
          <cell r="F8" t="str">
            <v>הנהלה</v>
          </cell>
          <cell r="G8">
            <v>0</v>
          </cell>
          <cell r="H8">
            <v>18493.46</v>
          </cell>
          <cell r="I8">
            <v>17078.46</v>
          </cell>
          <cell r="N8">
            <v>1019.41</v>
          </cell>
          <cell r="R8">
            <v>18097.87</v>
          </cell>
          <cell r="S8">
            <v>4409.8</v>
          </cell>
          <cell r="W8">
            <v>0</v>
          </cell>
          <cell r="X8">
            <v>1842.66</v>
          </cell>
          <cell r="Y8">
            <v>10826</v>
          </cell>
          <cell r="AA8">
            <v>10826</v>
          </cell>
          <cell r="AB8">
            <v>4</v>
          </cell>
          <cell r="AC8" t="str">
            <v>סולומון  עמיעד</v>
          </cell>
          <cell r="AD8" t="str">
            <v>הנהלה</v>
          </cell>
          <cell r="AE8">
            <v>4</v>
          </cell>
          <cell r="AF8">
            <v>10</v>
          </cell>
          <cell r="AG8">
            <v>1019.41</v>
          </cell>
          <cell r="AH8">
            <v>6252.46</v>
          </cell>
          <cell r="AI8">
            <v>1415</v>
          </cell>
        </row>
        <row r="9">
          <cell r="A9" t="str">
            <v>פיר 39 (ישראל) בע"מ</v>
          </cell>
          <cell r="B9">
            <v>2006</v>
          </cell>
          <cell r="C9">
            <v>11</v>
          </cell>
          <cell r="D9">
            <v>1</v>
          </cell>
          <cell r="E9" t="str">
            <v>סולומון  עמיעד</v>
          </cell>
          <cell r="F9" t="str">
            <v>הנהלה</v>
          </cell>
          <cell r="G9">
            <v>0</v>
          </cell>
          <cell r="H9">
            <v>18553.45</v>
          </cell>
          <cell r="I9">
            <v>17078.45</v>
          </cell>
          <cell r="N9">
            <v>1022.82</v>
          </cell>
          <cell r="R9">
            <v>18101.27</v>
          </cell>
          <cell r="S9">
            <v>4430.59</v>
          </cell>
          <cell r="W9">
            <v>0</v>
          </cell>
          <cell r="X9">
            <v>1849.86</v>
          </cell>
          <cell r="Y9">
            <v>10798</v>
          </cell>
          <cell r="Z9">
            <v>43</v>
          </cell>
          <cell r="AA9">
            <v>10755</v>
          </cell>
          <cell r="AB9">
            <v>4</v>
          </cell>
          <cell r="AC9" t="str">
            <v>סולומון  עמיעד</v>
          </cell>
          <cell r="AD9" t="str">
            <v>הנהלה</v>
          </cell>
          <cell r="AE9">
            <v>4</v>
          </cell>
          <cell r="AF9">
            <v>11</v>
          </cell>
          <cell r="AG9">
            <v>1022.82</v>
          </cell>
          <cell r="AH9">
            <v>6280.45</v>
          </cell>
          <cell r="AI9">
            <v>1475</v>
          </cell>
        </row>
        <row r="10">
          <cell r="A10" t="str">
            <v>פיר 39 (ישראל) בע"מ</v>
          </cell>
          <cell r="B10">
            <v>2006</v>
          </cell>
          <cell r="C10">
            <v>12</v>
          </cell>
          <cell r="D10">
            <v>1</v>
          </cell>
          <cell r="E10" t="str">
            <v>סולומון  עמיעד</v>
          </cell>
          <cell r="F10" t="str">
            <v>הנהלה</v>
          </cell>
          <cell r="G10">
            <v>0</v>
          </cell>
          <cell r="H10">
            <v>23539.35</v>
          </cell>
          <cell r="I10">
            <v>17078.45</v>
          </cell>
          <cell r="J10">
            <v>7559</v>
          </cell>
          <cell r="K10">
            <v>11326</v>
          </cell>
          <cell r="L10">
            <v>12532</v>
          </cell>
          <cell r="M10">
            <v>0</v>
          </cell>
          <cell r="N10">
            <v>1306.02</v>
          </cell>
          <cell r="R10">
            <v>49801.47</v>
          </cell>
          <cell r="S10">
            <v>-8126.72</v>
          </cell>
          <cell r="T10">
            <v>7576</v>
          </cell>
          <cell r="U10">
            <v>3775</v>
          </cell>
          <cell r="W10">
            <v>0</v>
          </cell>
          <cell r="X10">
            <v>2448.17</v>
          </cell>
          <cell r="Y10">
            <v>11406</v>
          </cell>
          <cell r="Z10">
            <v>43</v>
          </cell>
          <cell r="AA10">
            <v>11363</v>
          </cell>
          <cell r="AB10">
            <v>4</v>
          </cell>
          <cell r="AC10" t="str">
            <v>סולומון  עמיעד</v>
          </cell>
          <cell r="AD10" t="str">
            <v>הנהלה</v>
          </cell>
          <cell r="AE10">
            <v>4</v>
          </cell>
          <cell r="AF10">
            <v>12</v>
          </cell>
          <cell r="AG10">
            <v>32723.02</v>
          </cell>
          <cell r="AH10">
            <v>-5678.55</v>
          </cell>
          <cell r="AI10">
            <v>6460.9</v>
          </cell>
        </row>
        <row r="11">
          <cell r="A11" t="str">
            <v>פיר 39 (ישראל) בע"מ</v>
          </cell>
          <cell r="B11">
            <v>2006</v>
          </cell>
          <cell r="C11">
            <v>4</v>
          </cell>
          <cell r="D11">
            <v>2</v>
          </cell>
          <cell r="E11" t="str">
            <v>ברקת  ניר</v>
          </cell>
          <cell r="F11" t="str">
            <v>הנהלה</v>
          </cell>
          <cell r="G11">
            <v>0</v>
          </cell>
          <cell r="H11">
            <v>22000</v>
          </cell>
          <cell r="I11">
            <v>22000</v>
          </cell>
          <cell r="N11">
            <v>1218.5899999999999</v>
          </cell>
          <cell r="R11">
            <v>23218.59</v>
          </cell>
          <cell r="S11">
            <v>5687.5</v>
          </cell>
          <cell r="W11">
            <v>0</v>
          </cell>
          <cell r="X11">
            <v>2263.4499999999998</v>
          </cell>
          <cell r="Y11">
            <v>14049.05</v>
          </cell>
          <cell r="AA11">
            <v>14049.05</v>
          </cell>
          <cell r="AB11">
            <v>2</v>
          </cell>
          <cell r="AC11" t="str">
            <v>ברקת  ניר</v>
          </cell>
          <cell r="AD11" t="str">
            <v>הנהלה</v>
          </cell>
          <cell r="AE11">
            <v>2</v>
          </cell>
          <cell r="AF11">
            <v>4</v>
          </cell>
          <cell r="AG11">
            <v>1218.5899999999999</v>
          </cell>
          <cell r="AH11">
            <v>7950.95</v>
          </cell>
        </row>
        <row r="12">
          <cell r="A12" t="str">
            <v>פיר 39 (ישראל) בע"מ</v>
          </cell>
          <cell r="B12">
            <v>2006</v>
          </cell>
          <cell r="C12">
            <v>5</v>
          </cell>
          <cell r="D12">
            <v>2</v>
          </cell>
          <cell r="E12" t="str">
            <v>ברקת  ניר</v>
          </cell>
          <cell r="F12" t="str">
            <v>הנהלה</v>
          </cell>
          <cell r="G12">
            <v>0</v>
          </cell>
          <cell r="H12">
            <v>22000</v>
          </cell>
          <cell r="I12">
            <v>22000</v>
          </cell>
          <cell r="N12">
            <v>1218.5899999999999</v>
          </cell>
          <cell r="R12">
            <v>23218.59</v>
          </cell>
          <cell r="S12">
            <v>5687.5</v>
          </cell>
          <cell r="W12">
            <v>0</v>
          </cell>
          <cell r="X12">
            <v>2263.4499999999998</v>
          </cell>
          <cell r="Y12">
            <v>14049.05</v>
          </cell>
          <cell r="AA12">
            <v>14049.05</v>
          </cell>
          <cell r="AB12">
            <v>2</v>
          </cell>
          <cell r="AC12" t="str">
            <v>ברקת  ניר</v>
          </cell>
          <cell r="AD12" t="str">
            <v>הנהלה</v>
          </cell>
          <cell r="AE12">
            <v>2</v>
          </cell>
          <cell r="AF12">
            <v>5</v>
          </cell>
          <cell r="AG12">
            <v>1218.5899999999999</v>
          </cell>
          <cell r="AH12">
            <v>7950.95</v>
          </cell>
        </row>
        <row r="13">
          <cell r="A13" t="str">
            <v>פיר 39 (ישראל) בע"מ</v>
          </cell>
          <cell r="B13">
            <v>2006</v>
          </cell>
          <cell r="C13">
            <v>6</v>
          </cell>
          <cell r="D13">
            <v>2</v>
          </cell>
          <cell r="E13" t="str">
            <v>ברקת  ניר</v>
          </cell>
          <cell r="F13" t="str">
            <v>הנהלה</v>
          </cell>
          <cell r="G13">
            <v>0</v>
          </cell>
          <cell r="H13">
            <v>19641.57</v>
          </cell>
          <cell r="I13">
            <v>19091.669999999998</v>
          </cell>
          <cell r="N13">
            <v>1084.6300000000001</v>
          </cell>
          <cell r="R13">
            <v>20176.3</v>
          </cell>
          <cell r="S13">
            <v>4814.88</v>
          </cell>
          <cell r="W13">
            <v>0</v>
          </cell>
          <cell r="X13">
            <v>1980.44</v>
          </cell>
          <cell r="Y13">
            <v>12296.35</v>
          </cell>
          <cell r="Z13">
            <v>26</v>
          </cell>
          <cell r="AA13">
            <v>12270.35</v>
          </cell>
          <cell r="AB13">
            <v>2</v>
          </cell>
          <cell r="AC13" t="str">
            <v>ברקת  ניר</v>
          </cell>
          <cell r="AD13" t="str">
            <v>הנהלה</v>
          </cell>
          <cell r="AE13">
            <v>2</v>
          </cell>
          <cell r="AF13">
            <v>6</v>
          </cell>
          <cell r="AG13">
            <v>1084.6300000000001</v>
          </cell>
          <cell r="AH13">
            <v>6795.32</v>
          </cell>
          <cell r="AI13">
            <v>549.9</v>
          </cell>
        </row>
        <row r="14">
          <cell r="A14" t="str">
            <v>פיר 39 (ישראל) בע"מ</v>
          </cell>
          <cell r="B14">
            <v>2006</v>
          </cell>
          <cell r="C14">
            <v>7</v>
          </cell>
          <cell r="D14">
            <v>2</v>
          </cell>
          <cell r="E14" t="str">
            <v>ברקת  ניר</v>
          </cell>
          <cell r="F14" t="str">
            <v>הנהלה</v>
          </cell>
          <cell r="G14">
            <v>0</v>
          </cell>
          <cell r="H14">
            <v>18678.669999999998</v>
          </cell>
          <cell r="I14">
            <v>17081.669999999998</v>
          </cell>
          <cell r="N14">
            <v>1029.93</v>
          </cell>
          <cell r="R14">
            <v>18111.599999999999</v>
          </cell>
          <cell r="S14">
            <v>4458.78</v>
          </cell>
          <cell r="W14">
            <v>0</v>
          </cell>
          <cell r="X14">
            <v>1864.89</v>
          </cell>
          <cell r="Y14">
            <v>10758</v>
          </cell>
          <cell r="Z14">
            <v>182</v>
          </cell>
          <cell r="AA14">
            <v>10576</v>
          </cell>
          <cell r="AB14">
            <v>3</v>
          </cell>
          <cell r="AC14" t="str">
            <v>ברקת  ניר</v>
          </cell>
          <cell r="AD14" t="str">
            <v>הנהלה</v>
          </cell>
          <cell r="AE14">
            <v>3</v>
          </cell>
          <cell r="AF14">
            <v>7</v>
          </cell>
          <cell r="AG14">
            <v>1029.93</v>
          </cell>
          <cell r="AH14">
            <v>6323.67</v>
          </cell>
          <cell r="AI14">
            <v>1597</v>
          </cell>
        </row>
        <row r="15">
          <cell r="A15" t="str">
            <v>פיר 39 (ישראל) בע"מ</v>
          </cell>
          <cell r="B15">
            <v>2006</v>
          </cell>
          <cell r="C15">
            <v>8</v>
          </cell>
          <cell r="D15">
            <v>2</v>
          </cell>
          <cell r="E15" t="str">
            <v>ברקת  ניר</v>
          </cell>
          <cell r="F15" t="str">
            <v>הנהלה</v>
          </cell>
          <cell r="G15">
            <v>0</v>
          </cell>
          <cell r="H15">
            <v>18522.66</v>
          </cell>
          <cell r="I15">
            <v>17081.66</v>
          </cell>
          <cell r="N15">
            <v>1021.07</v>
          </cell>
          <cell r="R15">
            <v>18102.73</v>
          </cell>
          <cell r="S15">
            <v>4413.49</v>
          </cell>
          <cell r="X15">
            <v>1846.17</v>
          </cell>
          <cell r="Y15">
            <v>10822</v>
          </cell>
          <cell r="Z15">
            <v>26</v>
          </cell>
          <cell r="AA15">
            <v>10796</v>
          </cell>
          <cell r="AB15">
            <v>3</v>
          </cell>
          <cell r="AC15" t="str">
            <v>ברקת  ניר</v>
          </cell>
          <cell r="AD15" t="str">
            <v>הנהלה</v>
          </cell>
          <cell r="AE15">
            <v>3</v>
          </cell>
          <cell r="AF15">
            <v>8</v>
          </cell>
          <cell r="AG15">
            <v>1021.07</v>
          </cell>
          <cell r="AH15">
            <v>6259.66</v>
          </cell>
          <cell r="AI15">
            <v>1441</v>
          </cell>
        </row>
        <row r="16">
          <cell r="A16" t="str">
            <v>פיר 39 (ישראל) בע"מ</v>
          </cell>
          <cell r="B16">
            <v>2006</v>
          </cell>
          <cell r="C16">
            <v>9</v>
          </cell>
          <cell r="D16">
            <v>2</v>
          </cell>
          <cell r="E16" t="str">
            <v>ברקת  ניר</v>
          </cell>
          <cell r="F16" t="str">
            <v>הנהלה</v>
          </cell>
          <cell r="G16">
            <v>0</v>
          </cell>
          <cell r="H16">
            <v>19470.39</v>
          </cell>
          <cell r="I16">
            <v>17755.39</v>
          </cell>
          <cell r="N16">
            <v>1074.9000000000001</v>
          </cell>
          <cell r="R16">
            <v>18830.29</v>
          </cell>
          <cell r="S16">
            <v>4760.49</v>
          </cell>
          <cell r="W16">
            <v>0</v>
          </cell>
          <cell r="X16">
            <v>1959.9</v>
          </cell>
          <cell r="Y16">
            <v>11035</v>
          </cell>
          <cell r="AA16">
            <v>11035</v>
          </cell>
          <cell r="AB16">
            <v>3</v>
          </cell>
          <cell r="AC16" t="str">
            <v>ברקת  ניר</v>
          </cell>
          <cell r="AD16" t="str">
            <v>הנהלה</v>
          </cell>
          <cell r="AE16">
            <v>3</v>
          </cell>
          <cell r="AF16">
            <v>9</v>
          </cell>
          <cell r="AG16">
            <v>1074.9000000000001</v>
          </cell>
          <cell r="AH16">
            <v>6720.39</v>
          </cell>
          <cell r="AI16">
            <v>1715</v>
          </cell>
        </row>
        <row r="17">
          <cell r="A17" t="str">
            <v>פיר 39 (ישראל) בע"מ</v>
          </cell>
          <cell r="B17">
            <v>2006</v>
          </cell>
          <cell r="C17">
            <v>10</v>
          </cell>
          <cell r="D17">
            <v>2</v>
          </cell>
          <cell r="E17" t="str">
            <v>ברקת  ניר</v>
          </cell>
          <cell r="F17" t="str">
            <v>הנהלה</v>
          </cell>
          <cell r="G17">
            <v>0</v>
          </cell>
          <cell r="H17">
            <v>18943.46</v>
          </cell>
          <cell r="I17">
            <v>17678.46</v>
          </cell>
          <cell r="N17">
            <v>1044.97</v>
          </cell>
          <cell r="R17">
            <v>18723.43</v>
          </cell>
          <cell r="S17">
            <v>4571.8</v>
          </cell>
          <cell r="W17">
            <v>0</v>
          </cell>
          <cell r="X17">
            <v>1896.66</v>
          </cell>
          <cell r="Y17">
            <v>11210</v>
          </cell>
          <cell r="AA17">
            <v>11210</v>
          </cell>
          <cell r="AB17">
            <v>4</v>
          </cell>
          <cell r="AC17" t="str">
            <v>ברקת  ניר</v>
          </cell>
          <cell r="AD17" t="str">
            <v>הנהלה</v>
          </cell>
          <cell r="AE17">
            <v>4</v>
          </cell>
          <cell r="AF17">
            <v>10</v>
          </cell>
          <cell r="AG17">
            <v>1044.97</v>
          </cell>
          <cell r="AH17">
            <v>6468.46</v>
          </cell>
          <cell r="AI17">
            <v>1265</v>
          </cell>
        </row>
        <row r="18">
          <cell r="A18" t="str">
            <v>פיר 39 (ישראל) בע"מ</v>
          </cell>
          <cell r="B18">
            <v>2006</v>
          </cell>
          <cell r="C18">
            <v>11</v>
          </cell>
          <cell r="D18">
            <v>2</v>
          </cell>
          <cell r="E18" t="str">
            <v>ברקת  ניר</v>
          </cell>
          <cell r="F18" t="str">
            <v>הנהלה</v>
          </cell>
          <cell r="G18">
            <v>0</v>
          </cell>
          <cell r="H18">
            <v>19213.46</v>
          </cell>
          <cell r="I18">
            <v>17678.46</v>
          </cell>
          <cell r="N18">
            <v>1060.31</v>
          </cell>
          <cell r="R18">
            <v>18738.77</v>
          </cell>
          <cell r="S18">
            <v>4668.3999999999996</v>
          </cell>
          <cell r="W18">
            <v>0</v>
          </cell>
          <cell r="X18">
            <v>1929.06</v>
          </cell>
          <cell r="Y18">
            <v>11081</v>
          </cell>
          <cell r="Z18">
            <v>120</v>
          </cell>
          <cell r="AA18">
            <v>10961</v>
          </cell>
          <cell r="AB18">
            <v>4</v>
          </cell>
          <cell r="AC18" t="str">
            <v>ברקת  ניר</v>
          </cell>
          <cell r="AD18" t="str">
            <v>הנהלה</v>
          </cell>
          <cell r="AE18">
            <v>4</v>
          </cell>
          <cell r="AF18">
            <v>11</v>
          </cell>
          <cell r="AG18">
            <v>1060.31</v>
          </cell>
          <cell r="AH18">
            <v>6597.46</v>
          </cell>
          <cell r="AI18">
            <v>1535</v>
          </cell>
        </row>
        <row r="19">
          <cell r="A19" t="str">
            <v>פיר 39 (ישראל) בע"מ</v>
          </cell>
          <cell r="B19">
            <v>2006</v>
          </cell>
          <cell r="C19">
            <v>12</v>
          </cell>
          <cell r="D19">
            <v>2</v>
          </cell>
          <cell r="E19" t="str">
            <v>ברקת  ניר</v>
          </cell>
          <cell r="F19" t="str">
            <v>הנהלה</v>
          </cell>
          <cell r="G19">
            <v>0</v>
          </cell>
          <cell r="H19">
            <v>19138.45</v>
          </cell>
          <cell r="I19">
            <v>17678.45</v>
          </cell>
          <cell r="N19">
            <v>1056.05</v>
          </cell>
          <cell r="R19">
            <v>18734.5</v>
          </cell>
          <cell r="S19">
            <v>4641.3900000000003</v>
          </cell>
          <cell r="W19">
            <v>0</v>
          </cell>
          <cell r="X19">
            <v>1920.06</v>
          </cell>
          <cell r="Y19">
            <v>11117</v>
          </cell>
          <cell r="Z19">
            <v>152</v>
          </cell>
          <cell r="AA19">
            <v>10965</v>
          </cell>
          <cell r="AB19">
            <v>4</v>
          </cell>
          <cell r="AC19" t="str">
            <v>ברקת  ניר</v>
          </cell>
          <cell r="AD19" t="str">
            <v>הנהלה</v>
          </cell>
          <cell r="AE19">
            <v>4</v>
          </cell>
          <cell r="AF19">
            <v>12</v>
          </cell>
          <cell r="AG19">
            <v>1056.05</v>
          </cell>
          <cell r="AH19">
            <v>6561.45</v>
          </cell>
          <cell r="AI19">
            <v>1460</v>
          </cell>
        </row>
        <row r="20">
          <cell r="A20" t="str">
            <v>פיר 39 (ישראל) בע"מ</v>
          </cell>
          <cell r="B20">
            <v>2006</v>
          </cell>
          <cell r="C20">
            <v>5</v>
          </cell>
          <cell r="D20">
            <v>3</v>
          </cell>
          <cell r="E20" t="str">
            <v>גפני  הדר</v>
          </cell>
          <cell r="F20" t="str">
            <v>הנהלה</v>
          </cell>
          <cell r="G20">
            <v>0</v>
          </cell>
          <cell r="H20">
            <v>2001</v>
          </cell>
          <cell r="I20">
            <v>2001</v>
          </cell>
          <cell r="N20">
            <v>99.65</v>
          </cell>
          <cell r="R20">
            <v>2100.65</v>
          </cell>
          <cell r="W20">
            <v>0</v>
          </cell>
          <cell r="X20">
            <v>70.03</v>
          </cell>
          <cell r="Y20">
            <v>1930.97</v>
          </cell>
          <cell r="AA20">
            <v>1930.97</v>
          </cell>
          <cell r="AB20">
            <v>2</v>
          </cell>
          <cell r="AC20" t="str">
            <v>גפני  הדר</v>
          </cell>
          <cell r="AD20" t="str">
            <v>הנהלה</v>
          </cell>
          <cell r="AE20">
            <v>2</v>
          </cell>
          <cell r="AF20">
            <v>5</v>
          </cell>
          <cell r="AG20">
            <v>99.65</v>
          </cell>
          <cell r="AH20">
            <v>70.03</v>
          </cell>
        </row>
        <row r="21">
          <cell r="A21" t="str">
            <v>פיר 39 (ישראל) בע"מ</v>
          </cell>
          <cell r="B21">
            <v>2006</v>
          </cell>
          <cell r="C21">
            <v>6</v>
          </cell>
          <cell r="D21">
            <v>3</v>
          </cell>
          <cell r="E21" t="str">
            <v>גפני  הדר</v>
          </cell>
          <cell r="F21" t="str">
            <v>הנהלה</v>
          </cell>
          <cell r="G21">
            <v>0</v>
          </cell>
          <cell r="H21">
            <v>2001</v>
          </cell>
          <cell r="I21">
            <v>2001</v>
          </cell>
          <cell r="N21">
            <v>99.65</v>
          </cell>
          <cell r="R21">
            <v>2100.65</v>
          </cell>
          <cell r="W21">
            <v>0</v>
          </cell>
          <cell r="X21">
            <v>70.03</v>
          </cell>
          <cell r="Y21">
            <v>1930.97</v>
          </cell>
          <cell r="AA21">
            <v>1930.97</v>
          </cell>
          <cell r="AB21">
            <v>2</v>
          </cell>
          <cell r="AC21" t="str">
            <v>גפני  הדר</v>
          </cell>
          <cell r="AD21" t="str">
            <v>הנהלה</v>
          </cell>
          <cell r="AE21">
            <v>2</v>
          </cell>
          <cell r="AF21">
            <v>6</v>
          </cell>
          <cell r="AG21">
            <v>99.65</v>
          </cell>
          <cell r="AH21">
            <v>70.03</v>
          </cell>
        </row>
        <row r="22">
          <cell r="A22" t="str">
            <v>פיר 39 (ישראל) בע"מ</v>
          </cell>
          <cell r="B22">
            <v>2006</v>
          </cell>
          <cell r="C22">
            <v>5</v>
          </cell>
          <cell r="D22">
            <v>4</v>
          </cell>
          <cell r="E22" t="str">
            <v>עקביה  תמר</v>
          </cell>
          <cell r="F22" t="str">
            <v>הנהלה</v>
          </cell>
          <cell r="G22">
            <v>0</v>
          </cell>
          <cell r="H22">
            <v>1595</v>
          </cell>
          <cell r="I22">
            <v>1595</v>
          </cell>
          <cell r="N22">
            <v>79.430000000000007</v>
          </cell>
          <cell r="R22">
            <v>1674.43</v>
          </cell>
          <cell r="W22">
            <v>0</v>
          </cell>
          <cell r="X22">
            <v>55.83</v>
          </cell>
          <cell r="Y22">
            <v>1539.17</v>
          </cell>
          <cell r="AA22">
            <v>1539.17</v>
          </cell>
          <cell r="AB22">
            <v>2</v>
          </cell>
          <cell r="AC22" t="str">
            <v>עקביה  תמר</v>
          </cell>
          <cell r="AD22" t="str">
            <v>הנהלה</v>
          </cell>
          <cell r="AE22">
            <v>2</v>
          </cell>
          <cell r="AF22">
            <v>5</v>
          </cell>
          <cell r="AG22">
            <v>79.430000000000007</v>
          </cell>
          <cell r="AH22">
            <v>55.83</v>
          </cell>
        </row>
        <row r="23">
          <cell r="A23" t="str">
            <v>פיר 39 (ישראל) בע"מ</v>
          </cell>
          <cell r="B23">
            <v>2006</v>
          </cell>
          <cell r="C23">
            <v>6</v>
          </cell>
          <cell r="D23">
            <v>4</v>
          </cell>
          <cell r="E23" t="str">
            <v>עקביה  תמר</v>
          </cell>
          <cell r="F23" t="str">
            <v>הנהלה</v>
          </cell>
          <cell r="G23">
            <v>0</v>
          </cell>
          <cell r="H23">
            <v>1595</v>
          </cell>
          <cell r="I23">
            <v>1595</v>
          </cell>
          <cell r="N23">
            <v>79.430000000000007</v>
          </cell>
          <cell r="R23">
            <v>1674.43</v>
          </cell>
          <cell r="W23">
            <v>0</v>
          </cell>
          <cell r="X23">
            <v>55.83</v>
          </cell>
          <cell r="Y23">
            <v>1539.17</v>
          </cell>
          <cell r="AA23">
            <v>1539.17</v>
          </cell>
          <cell r="AB23">
            <v>2</v>
          </cell>
          <cell r="AC23" t="str">
            <v>עקביה  תמר</v>
          </cell>
          <cell r="AD23" t="str">
            <v>הנהלה</v>
          </cell>
          <cell r="AE23">
            <v>2</v>
          </cell>
          <cell r="AF23">
            <v>6</v>
          </cell>
          <cell r="AG23">
            <v>79.430000000000007</v>
          </cell>
          <cell r="AH23">
            <v>55.83</v>
          </cell>
        </row>
        <row r="24">
          <cell r="A24" t="str">
            <v>פיר 39 (ישראל) בע"מ</v>
          </cell>
          <cell r="B24">
            <v>2006</v>
          </cell>
          <cell r="C24">
            <v>7</v>
          </cell>
          <cell r="D24">
            <v>4</v>
          </cell>
          <cell r="E24" t="str">
            <v>עקביה  תמר</v>
          </cell>
          <cell r="F24" t="str">
            <v>הנהלה</v>
          </cell>
          <cell r="G24">
            <v>0</v>
          </cell>
          <cell r="H24">
            <v>2632.5</v>
          </cell>
          <cell r="I24">
            <v>2632.5</v>
          </cell>
          <cell r="N24">
            <v>130.74</v>
          </cell>
          <cell r="R24">
            <v>2763.24</v>
          </cell>
          <cell r="X24">
            <v>92.5</v>
          </cell>
          <cell r="Y24">
            <v>2540</v>
          </cell>
          <cell r="Z24">
            <v>26</v>
          </cell>
          <cell r="AA24">
            <v>2514</v>
          </cell>
          <cell r="AB24">
            <v>3</v>
          </cell>
          <cell r="AC24" t="str">
            <v>עקביה  תמר</v>
          </cell>
          <cell r="AD24" t="str">
            <v>הנהלה</v>
          </cell>
          <cell r="AE24">
            <v>3</v>
          </cell>
          <cell r="AF24">
            <v>7</v>
          </cell>
          <cell r="AG24">
            <v>130.74</v>
          </cell>
          <cell r="AH24">
            <v>92.5</v>
          </cell>
        </row>
        <row r="25">
          <cell r="A25" t="str">
            <v>פיר 39 (ישראל) בע"מ</v>
          </cell>
          <cell r="B25">
            <v>2006</v>
          </cell>
          <cell r="C25">
            <v>8</v>
          </cell>
          <cell r="D25">
            <v>4</v>
          </cell>
          <cell r="E25" t="str">
            <v>עקביה  תמר</v>
          </cell>
          <cell r="F25" t="str">
            <v>הנהלה</v>
          </cell>
          <cell r="G25">
            <v>0</v>
          </cell>
          <cell r="H25">
            <v>2997.96</v>
          </cell>
          <cell r="I25">
            <v>2997.96</v>
          </cell>
          <cell r="N25">
            <v>149.27000000000001</v>
          </cell>
          <cell r="R25">
            <v>3147.23</v>
          </cell>
          <cell r="W25">
            <v>0</v>
          </cell>
          <cell r="X25">
            <v>104.96</v>
          </cell>
          <cell r="Y25">
            <v>2893</v>
          </cell>
          <cell r="AA25">
            <v>2893</v>
          </cell>
          <cell r="AB25">
            <v>3</v>
          </cell>
          <cell r="AC25" t="str">
            <v>עקביה  תמר</v>
          </cell>
          <cell r="AD25" t="str">
            <v>הנהלה</v>
          </cell>
          <cell r="AE25">
            <v>3</v>
          </cell>
          <cell r="AF25">
            <v>8</v>
          </cell>
          <cell r="AG25">
            <v>149.27000000000001</v>
          </cell>
          <cell r="AH25">
            <v>104.96</v>
          </cell>
        </row>
        <row r="26">
          <cell r="A26" t="str">
            <v>פיר 39 (ישראל) בע"מ</v>
          </cell>
          <cell r="B26">
            <v>2006</v>
          </cell>
          <cell r="C26">
            <v>10</v>
          </cell>
          <cell r="D26">
            <v>4</v>
          </cell>
          <cell r="E26" t="str">
            <v>עקביה  תמר</v>
          </cell>
          <cell r="F26" t="str">
            <v>הנהלה</v>
          </cell>
          <cell r="G26">
            <v>0</v>
          </cell>
          <cell r="H26">
            <v>1288.31</v>
          </cell>
          <cell r="I26">
            <v>1288.31</v>
          </cell>
          <cell r="N26">
            <v>48.02</v>
          </cell>
          <cell r="R26">
            <v>1336.33</v>
          </cell>
          <cell r="W26">
            <v>0</v>
          </cell>
          <cell r="X26">
            <v>33.31</v>
          </cell>
          <cell r="Y26">
            <v>1255</v>
          </cell>
          <cell r="AA26">
            <v>1255</v>
          </cell>
          <cell r="AB26">
            <v>4</v>
          </cell>
          <cell r="AC26" t="str">
            <v>עקביה  תמר</v>
          </cell>
          <cell r="AD26" t="str">
            <v>הנהלה</v>
          </cell>
          <cell r="AE26">
            <v>4</v>
          </cell>
          <cell r="AF26">
            <v>10</v>
          </cell>
          <cell r="AG26">
            <v>48.02</v>
          </cell>
          <cell r="AH26">
            <v>33.31</v>
          </cell>
        </row>
        <row r="27">
          <cell r="A27" t="str">
            <v>פיר 39 (ישראל) בע"מ</v>
          </cell>
          <cell r="B27">
            <v>2006</v>
          </cell>
          <cell r="C27">
            <v>5</v>
          </cell>
          <cell r="D27">
            <v>5</v>
          </cell>
          <cell r="E27" t="str">
            <v>רופא  גיא</v>
          </cell>
          <cell r="F27" t="str">
            <v>הנהלה</v>
          </cell>
          <cell r="G27">
            <v>0</v>
          </cell>
          <cell r="H27">
            <v>2465</v>
          </cell>
          <cell r="I27">
            <v>2465</v>
          </cell>
          <cell r="N27">
            <v>122.76</v>
          </cell>
          <cell r="R27">
            <v>2587.7600000000002</v>
          </cell>
          <cell r="W27">
            <v>0</v>
          </cell>
          <cell r="X27">
            <v>86.28</v>
          </cell>
          <cell r="Y27">
            <v>2378.7199999999998</v>
          </cell>
          <cell r="AA27">
            <v>2378.7199999999998</v>
          </cell>
          <cell r="AB27">
            <v>2</v>
          </cell>
          <cell r="AC27" t="str">
            <v>רופא  גיא</v>
          </cell>
          <cell r="AD27" t="str">
            <v>הנהלה</v>
          </cell>
          <cell r="AE27">
            <v>2</v>
          </cell>
          <cell r="AF27">
            <v>5</v>
          </cell>
          <cell r="AG27">
            <v>122.76</v>
          </cell>
          <cell r="AH27">
            <v>86.28</v>
          </cell>
        </row>
        <row r="28">
          <cell r="A28" t="str">
            <v>פיר 39 (ישראל) בע"מ</v>
          </cell>
          <cell r="B28">
            <v>2006</v>
          </cell>
          <cell r="C28">
            <v>6</v>
          </cell>
          <cell r="D28">
            <v>5</v>
          </cell>
          <cell r="E28" t="str">
            <v>רופא  גיא</v>
          </cell>
          <cell r="F28" t="str">
            <v>הנהלה</v>
          </cell>
          <cell r="G28">
            <v>0</v>
          </cell>
          <cell r="H28">
            <v>3509</v>
          </cell>
          <cell r="I28">
            <v>3509</v>
          </cell>
          <cell r="N28">
            <v>174.75</v>
          </cell>
          <cell r="R28">
            <v>3683.75</v>
          </cell>
          <cell r="W28">
            <v>0</v>
          </cell>
          <cell r="X28">
            <v>122.82</v>
          </cell>
          <cell r="Y28">
            <v>3386.18</v>
          </cell>
          <cell r="AA28">
            <v>3386.18</v>
          </cell>
          <cell r="AB28">
            <v>2</v>
          </cell>
          <cell r="AC28" t="str">
            <v>רופא  גיא</v>
          </cell>
          <cell r="AD28" t="str">
            <v>הנהלה</v>
          </cell>
          <cell r="AE28">
            <v>2</v>
          </cell>
          <cell r="AF28">
            <v>6</v>
          </cell>
          <cell r="AG28">
            <v>174.75</v>
          </cell>
          <cell r="AH28">
            <v>122.82</v>
          </cell>
        </row>
        <row r="29">
          <cell r="A29" t="str">
            <v>פיר 39 (ישראל) בע"מ</v>
          </cell>
          <cell r="B29">
            <v>2006</v>
          </cell>
          <cell r="C29">
            <v>7</v>
          </cell>
          <cell r="D29">
            <v>5</v>
          </cell>
          <cell r="E29" t="str">
            <v>רופא  גיא</v>
          </cell>
          <cell r="F29" t="str">
            <v>הנהלה</v>
          </cell>
          <cell r="G29">
            <v>0</v>
          </cell>
          <cell r="H29">
            <v>3366.98</v>
          </cell>
          <cell r="I29">
            <v>3366.98</v>
          </cell>
          <cell r="N29">
            <v>167.55</v>
          </cell>
          <cell r="R29">
            <v>3534.53</v>
          </cell>
          <cell r="W29">
            <v>0</v>
          </cell>
          <cell r="X29">
            <v>117.98</v>
          </cell>
          <cell r="Y29">
            <v>3249</v>
          </cell>
          <cell r="Z29">
            <v>52</v>
          </cell>
          <cell r="AA29">
            <v>3197</v>
          </cell>
          <cell r="AB29">
            <v>3</v>
          </cell>
          <cell r="AC29" t="str">
            <v>רופא  גיא</v>
          </cell>
          <cell r="AD29" t="str">
            <v>הנהלה</v>
          </cell>
          <cell r="AE29">
            <v>3</v>
          </cell>
          <cell r="AF29">
            <v>7</v>
          </cell>
          <cell r="AG29">
            <v>167.55</v>
          </cell>
          <cell r="AH29">
            <v>117.98</v>
          </cell>
        </row>
        <row r="30">
          <cell r="A30" t="str">
            <v>פיר 39 (ישראל) בע"מ</v>
          </cell>
          <cell r="B30">
            <v>2006</v>
          </cell>
          <cell r="C30">
            <v>8</v>
          </cell>
          <cell r="D30">
            <v>5</v>
          </cell>
          <cell r="E30" t="str">
            <v>רופא  גיא</v>
          </cell>
          <cell r="F30" t="str">
            <v>הנהלה</v>
          </cell>
          <cell r="G30">
            <v>0</v>
          </cell>
          <cell r="H30">
            <v>3689.2</v>
          </cell>
          <cell r="I30">
            <v>3689.2</v>
          </cell>
          <cell r="N30">
            <v>183.65</v>
          </cell>
          <cell r="R30">
            <v>3872.85</v>
          </cell>
          <cell r="W30">
            <v>0</v>
          </cell>
          <cell r="X30">
            <v>129.19999999999999</v>
          </cell>
          <cell r="Y30">
            <v>3560</v>
          </cell>
          <cell r="Z30">
            <v>130</v>
          </cell>
          <cell r="AA30">
            <v>3430</v>
          </cell>
          <cell r="AB30">
            <v>3</v>
          </cell>
          <cell r="AC30" t="str">
            <v>רופא  גיא</v>
          </cell>
          <cell r="AD30" t="str">
            <v>הנהלה</v>
          </cell>
          <cell r="AE30">
            <v>3</v>
          </cell>
          <cell r="AF30">
            <v>8</v>
          </cell>
          <cell r="AG30">
            <v>183.65</v>
          </cell>
          <cell r="AH30">
            <v>129.19999999999999</v>
          </cell>
        </row>
        <row r="31">
          <cell r="A31" t="str">
            <v>פיר 39 (ישראל) בע"מ</v>
          </cell>
          <cell r="B31">
            <v>2006</v>
          </cell>
          <cell r="C31">
            <v>9</v>
          </cell>
          <cell r="D31">
            <v>5</v>
          </cell>
          <cell r="E31" t="str">
            <v>רופא  גיא</v>
          </cell>
          <cell r="F31" t="str">
            <v>הנהלה</v>
          </cell>
          <cell r="G31">
            <v>0</v>
          </cell>
          <cell r="H31">
            <v>9101.16</v>
          </cell>
          <cell r="I31">
            <v>8710.16</v>
          </cell>
          <cell r="N31">
            <v>485.93</v>
          </cell>
          <cell r="R31">
            <v>9196.09</v>
          </cell>
          <cell r="S31">
            <v>298.57</v>
          </cell>
          <cell r="W31">
            <v>0</v>
          </cell>
          <cell r="X31">
            <v>715.59</v>
          </cell>
          <cell r="Y31">
            <v>7696</v>
          </cell>
          <cell r="Z31">
            <v>225</v>
          </cell>
          <cell r="AA31">
            <v>7471</v>
          </cell>
          <cell r="AB31">
            <v>3</v>
          </cell>
          <cell r="AC31" t="str">
            <v>רופא  גיא</v>
          </cell>
          <cell r="AD31" t="str">
            <v>הנהלה</v>
          </cell>
          <cell r="AE31">
            <v>3</v>
          </cell>
          <cell r="AF31">
            <v>9</v>
          </cell>
          <cell r="AG31">
            <v>485.93</v>
          </cell>
          <cell r="AH31">
            <v>1014.16</v>
          </cell>
          <cell r="AI31">
            <v>391</v>
          </cell>
        </row>
        <row r="32">
          <cell r="A32" t="str">
            <v>פיר 39 (ישראל) בע"מ</v>
          </cell>
          <cell r="B32">
            <v>2006</v>
          </cell>
          <cell r="C32">
            <v>10</v>
          </cell>
          <cell r="D32">
            <v>5</v>
          </cell>
          <cell r="E32" t="str">
            <v>רופא  גיא</v>
          </cell>
          <cell r="F32" t="str">
            <v>הנהלה</v>
          </cell>
          <cell r="G32">
            <v>0</v>
          </cell>
          <cell r="H32">
            <v>7150</v>
          </cell>
          <cell r="I32">
            <v>7000</v>
          </cell>
          <cell r="N32">
            <v>375.11</v>
          </cell>
          <cell r="R32">
            <v>7375.11</v>
          </cell>
          <cell r="S32">
            <v>658.55</v>
          </cell>
          <cell r="W32">
            <v>0</v>
          </cell>
          <cell r="X32">
            <v>481.45</v>
          </cell>
          <cell r="Y32">
            <v>5860</v>
          </cell>
          <cell r="Z32">
            <v>110</v>
          </cell>
          <cell r="AA32">
            <v>5750</v>
          </cell>
          <cell r="AB32">
            <v>4</v>
          </cell>
          <cell r="AC32" t="str">
            <v>רופא  גיא</v>
          </cell>
          <cell r="AD32" t="str">
            <v>הנהלה</v>
          </cell>
          <cell r="AE32">
            <v>4</v>
          </cell>
          <cell r="AF32">
            <v>10</v>
          </cell>
          <cell r="AG32">
            <v>375.11</v>
          </cell>
          <cell r="AH32">
            <v>1140</v>
          </cell>
          <cell r="AI32">
            <v>150</v>
          </cell>
        </row>
        <row r="33">
          <cell r="A33" t="str">
            <v>פיר 39 (ישראל) בע"מ</v>
          </cell>
          <cell r="B33">
            <v>2006</v>
          </cell>
          <cell r="C33">
            <v>11</v>
          </cell>
          <cell r="D33">
            <v>5</v>
          </cell>
          <cell r="E33" t="str">
            <v>רופא  גיא</v>
          </cell>
          <cell r="F33" t="str">
            <v>פיתוח</v>
          </cell>
          <cell r="G33">
            <v>0</v>
          </cell>
          <cell r="H33">
            <v>7420</v>
          </cell>
          <cell r="I33">
            <v>7000</v>
          </cell>
          <cell r="N33">
            <v>390.44</v>
          </cell>
          <cell r="R33">
            <v>7390.44</v>
          </cell>
          <cell r="S33">
            <v>718.15</v>
          </cell>
          <cell r="W33">
            <v>0</v>
          </cell>
          <cell r="X33">
            <v>513.85</v>
          </cell>
          <cell r="Y33">
            <v>5768</v>
          </cell>
          <cell r="Z33">
            <v>280</v>
          </cell>
          <cell r="AA33">
            <v>5488</v>
          </cell>
          <cell r="AB33">
            <v>4</v>
          </cell>
          <cell r="AC33" t="str">
            <v>רופא  גיא</v>
          </cell>
          <cell r="AD33" t="str">
            <v>פיתוח</v>
          </cell>
          <cell r="AE33">
            <v>4</v>
          </cell>
          <cell r="AF33">
            <v>11</v>
          </cell>
          <cell r="AG33">
            <v>390.44</v>
          </cell>
          <cell r="AH33">
            <v>1232</v>
          </cell>
          <cell r="AI33">
            <v>420</v>
          </cell>
        </row>
        <row r="34">
          <cell r="A34" t="str">
            <v>פיר 39 (ישראל) בע"מ</v>
          </cell>
          <cell r="B34">
            <v>2006</v>
          </cell>
          <cell r="C34">
            <v>12</v>
          </cell>
          <cell r="D34">
            <v>5</v>
          </cell>
          <cell r="E34" t="str">
            <v>רופא  גיא</v>
          </cell>
          <cell r="F34" t="str">
            <v>פיתוח</v>
          </cell>
          <cell r="G34">
            <v>0</v>
          </cell>
          <cell r="H34">
            <v>7315</v>
          </cell>
          <cell r="I34">
            <v>7000</v>
          </cell>
          <cell r="N34">
            <v>384.48</v>
          </cell>
          <cell r="R34">
            <v>7384.48</v>
          </cell>
          <cell r="S34">
            <v>695.75</v>
          </cell>
          <cell r="W34">
            <v>0</v>
          </cell>
          <cell r="X34">
            <v>501.25</v>
          </cell>
          <cell r="Y34">
            <v>5803</v>
          </cell>
          <cell r="Z34">
            <v>340</v>
          </cell>
          <cell r="AA34">
            <v>5463</v>
          </cell>
          <cell r="AB34">
            <v>4</v>
          </cell>
          <cell r="AC34" t="str">
            <v>רופא  גיא</v>
          </cell>
          <cell r="AD34" t="str">
            <v>פיתוח</v>
          </cell>
          <cell r="AE34">
            <v>4</v>
          </cell>
          <cell r="AF34">
            <v>12</v>
          </cell>
          <cell r="AG34">
            <v>384.48</v>
          </cell>
          <cell r="AH34">
            <v>1197</v>
          </cell>
          <cell r="AI34">
            <v>315</v>
          </cell>
        </row>
        <row r="35">
          <cell r="A35" t="str">
            <v>פיר 39 (ישראל) בע"מ</v>
          </cell>
          <cell r="B35">
            <v>2006</v>
          </cell>
          <cell r="C35">
            <v>5</v>
          </cell>
          <cell r="D35">
            <v>6</v>
          </cell>
          <cell r="E35" t="str">
            <v>ברקת  נעם</v>
          </cell>
          <cell r="F35" t="str">
            <v>הנהלה</v>
          </cell>
          <cell r="G35">
            <v>0</v>
          </cell>
          <cell r="H35">
            <v>1986.5</v>
          </cell>
          <cell r="I35">
            <v>1986.5</v>
          </cell>
          <cell r="N35">
            <v>98.93</v>
          </cell>
          <cell r="R35">
            <v>2085.4299999999998</v>
          </cell>
          <cell r="W35">
            <v>0</v>
          </cell>
          <cell r="X35">
            <v>69.53</v>
          </cell>
          <cell r="Y35">
            <v>1916.97</v>
          </cell>
          <cell r="AA35">
            <v>1916.97</v>
          </cell>
          <cell r="AB35">
            <v>2</v>
          </cell>
          <cell r="AC35" t="str">
            <v>ברקת  נעם</v>
          </cell>
          <cell r="AD35" t="str">
            <v>הנהלה</v>
          </cell>
          <cell r="AE35">
            <v>2</v>
          </cell>
          <cell r="AF35">
            <v>5</v>
          </cell>
          <cell r="AG35">
            <v>98.93</v>
          </cell>
          <cell r="AH35">
            <v>69.53</v>
          </cell>
        </row>
        <row r="36">
          <cell r="A36" t="str">
            <v>פיר 39 (ישראל) בע"מ</v>
          </cell>
          <cell r="B36">
            <v>2006</v>
          </cell>
          <cell r="C36">
            <v>6</v>
          </cell>
          <cell r="D36">
            <v>6</v>
          </cell>
          <cell r="E36" t="str">
            <v>ברקת  נעם</v>
          </cell>
          <cell r="F36" t="str">
            <v>הנהלה</v>
          </cell>
          <cell r="G36">
            <v>0</v>
          </cell>
          <cell r="H36">
            <v>2972.5</v>
          </cell>
          <cell r="I36">
            <v>2972.5</v>
          </cell>
          <cell r="N36">
            <v>148.03</v>
          </cell>
          <cell r="R36">
            <v>3120.53</v>
          </cell>
          <cell r="W36">
            <v>0</v>
          </cell>
          <cell r="X36">
            <v>104.04</v>
          </cell>
          <cell r="Y36">
            <v>2868.46</v>
          </cell>
          <cell r="AA36">
            <v>2868.46</v>
          </cell>
          <cell r="AB36">
            <v>2</v>
          </cell>
          <cell r="AC36" t="str">
            <v>ברקת  נעם</v>
          </cell>
          <cell r="AD36" t="str">
            <v>הנהלה</v>
          </cell>
          <cell r="AE36">
            <v>2</v>
          </cell>
          <cell r="AF36">
            <v>6</v>
          </cell>
          <cell r="AG36">
            <v>148.03</v>
          </cell>
          <cell r="AH36">
            <v>104.04</v>
          </cell>
        </row>
        <row r="37">
          <cell r="A37" t="str">
            <v>פיר 39 (ישראל) בע"מ</v>
          </cell>
          <cell r="B37">
            <v>2006</v>
          </cell>
          <cell r="C37">
            <v>7</v>
          </cell>
          <cell r="D37">
            <v>6</v>
          </cell>
          <cell r="E37" t="str">
            <v>ברקת  נעם</v>
          </cell>
          <cell r="F37" t="str">
            <v>הנהלה</v>
          </cell>
          <cell r="G37">
            <v>0</v>
          </cell>
          <cell r="H37">
            <v>2605.9</v>
          </cell>
          <cell r="I37">
            <v>2605.9</v>
          </cell>
          <cell r="N37">
            <v>130.07</v>
          </cell>
          <cell r="R37">
            <v>2735.97</v>
          </cell>
          <cell r="W37">
            <v>0</v>
          </cell>
          <cell r="X37">
            <v>90.9</v>
          </cell>
          <cell r="Y37">
            <v>2515</v>
          </cell>
          <cell r="Z37">
            <v>52</v>
          </cell>
          <cell r="AA37">
            <v>2463</v>
          </cell>
          <cell r="AB37">
            <v>3</v>
          </cell>
          <cell r="AC37" t="str">
            <v>ברקת  נעם</v>
          </cell>
          <cell r="AD37" t="str">
            <v>הנהלה</v>
          </cell>
          <cell r="AE37">
            <v>3</v>
          </cell>
          <cell r="AF37">
            <v>7</v>
          </cell>
          <cell r="AG37">
            <v>130.07</v>
          </cell>
          <cell r="AH37">
            <v>90.9</v>
          </cell>
        </row>
        <row r="38">
          <cell r="A38" t="str">
            <v>פיר 39 (ישראל) בע"מ</v>
          </cell>
          <cell r="B38">
            <v>2006</v>
          </cell>
          <cell r="C38">
            <v>8</v>
          </cell>
          <cell r="D38">
            <v>6</v>
          </cell>
          <cell r="E38" t="str">
            <v>ברקת  נעם</v>
          </cell>
          <cell r="F38" t="str">
            <v>הנהלה</v>
          </cell>
          <cell r="G38">
            <v>0</v>
          </cell>
          <cell r="H38">
            <v>1981.92</v>
          </cell>
          <cell r="I38">
            <v>1981.92</v>
          </cell>
          <cell r="N38">
            <v>99.15</v>
          </cell>
          <cell r="R38">
            <v>2081.0700000000002</v>
          </cell>
          <cell r="W38">
            <v>0</v>
          </cell>
          <cell r="X38">
            <v>68.92</v>
          </cell>
          <cell r="Y38">
            <v>1913</v>
          </cell>
          <cell r="Z38">
            <v>26</v>
          </cell>
          <cell r="AA38">
            <v>1887</v>
          </cell>
          <cell r="AB38">
            <v>3</v>
          </cell>
          <cell r="AC38" t="str">
            <v>ברקת  נעם</v>
          </cell>
          <cell r="AD38" t="str">
            <v>הנהלה</v>
          </cell>
          <cell r="AE38">
            <v>3</v>
          </cell>
          <cell r="AF38">
            <v>8</v>
          </cell>
          <cell r="AG38">
            <v>99.15</v>
          </cell>
          <cell r="AH38">
            <v>68.92</v>
          </cell>
        </row>
        <row r="39">
          <cell r="A39" t="str">
            <v>פיר 39 (ישראל) בע"מ</v>
          </cell>
          <cell r="B39">
            <v>2006</v>
          </cell>
          <cell r="C39">
            <v>9</v>
          </cell>
          <cell r="D39">
            <v>6</v>
          </cell>
          <cell r="E39" t="str">
            <v>ברקת  נעם</v>
          </cell>
          <cell r="F39" t="str">
            <v>הנהלה</v>
          </cell>
          <cell r="G39">
            <v>0</v>
          </cell>
          <cell r="H39">
            <v>3722.95</v>
          </cell>
          <cell r="I39">
            <v>3522.95</v>
          </cell>
          <cell r="N39">
            <v>185.75</v>
          </cell>
          <cell r="R39">
            <v>3708.7</v>
          </cell>
          <cell r="W39">
            <v>0</v>
          </cell>
          <cell r="X39">
            <v>129.94999999999999</v>
          </cell>
          <cell r="Y39">
            <v>3393</v>
          </cell>
          <cell r="Z39">
            <v>26</v>
          </cell>
          <cell r="AA39">
            <v>3367</v>
          </cell>
          <cell r="AB39">
            <v>3</v>
          </cell>
          <cell r="AC39" t="str">
            <v>ברקת  נעם</v>
          </cell>
          <cell r="AD39" t="str">
            <v>הנהלה</v>
          </cell>
          <cell r="AE39">
            <v>3</v>
          </cell>
          <cell r="AF39">
            <v>9</v>
          </cell>
          <cell r="AG39">
            <v>185.75</v>
          </cell>
          <cell r="AH39">
            <v>129.94999999999999</v>
          </cell>
          <cell r="AI39">
            <v>200</v>
          </cell>
        </row>
        <row r="40">
          <cell r="A40" t="str">
            <v>פיר 39 (ישראל) בע"מ</v>
          </cell>
          <cell r="B40">
            <v>2006</v>
          </cell>
          <cell r="C40">
            <v>10</v>
          </cell>
          <cell r="D40">
            <v>6</v>
          </cell>
          <cell r="E40" t="str">
            <v>ברקת  נעם</v>
          </cell>
          <cell r="F40" t="str">
            <v>הנהלה</v>
          </cell>
          <cell r="G40">
            <v>0</v>
          </cell>
          <cell r="H40">
            <v>4072.5</v>
          </cell>
          <cell r="I40">
            <v>4057.5</v>
          </cell>
          <cell r="N40">
            <v>202.85</v>
          </cell>
          <cell r="R40">
            <v>4260.3500000000004</v>
          </cell>
          <cell r="X40">
            <v>142.5</v>
          </cell>
          <cell r="Y40">
            <v>3915</v>
          </cell>
          <cell r="Z40">
            <v>11</v>
          </cell>
          <cell r="AA40">
            <v>3904</v>
          </cell>
          <cell r="AB40">
            <v>4</v>
          </cell>
          <cell r="AC40" t="str">
            <v>ברקת  נעם</v>
          </cell>
          <cell r="AD40" t="str">
            <v>הנהלה</v>
          </cell>
          <cell r="AE40">
            <v>4</v>
          </cell>
          <cell r="AF40">
            <v>10</v>
          </cell>
          <cell r="AG40">
            <v>202.85</v>
          </cell>
          <cell r="AH40">
            <v>142.5</v>
          </cell>
          <cell r="AI40">
            <v>15</v>
          </cell>
        </row>
        <row r="41">
          <cell r="A41" t="str">
            <v>פיר 39 (ישראל) בע"מ</v>
          </cell>
          <cell r="B41">
            <v>2006</v>
          </cell>
          <cell r="C41">
            <v>11</v>
          </cell>
          <cell r="D41">
            <v>6</v>
          </cell>
          <cell r="E41" t="str">
            <v>ברקת  נעם</v>
          </cell>
          <cell r="F41" t="str">
            <v>פיתוח</v>
          </cell>
          <cell r="G41">
            <v>0</v>
          </cell>
          <cell r="H41">
            <v>4297.8</v>
          </cell>
          <cell r="I41">
            <v>4282.8</v>
          </cell>
          <cell r="N41">
            <v>213.65</v>
          </cell>
          <cell r="R41">
            <v>4496.45</v>
          </cell>
          <cell r="W41">
            <v>0</v>
          </cell>
          <cell r="X41">
            <v>150.80000000000001</v>
          </cell>
          <cell r="Y41">
            <v>4132</v>
          </cell>
          <cell r="Z41">
            <v>11</v>
          </cell>
          <cell r="AA41">
            <v>4121</v>
          </cell>
          <cell r="AB41">
            <v>4</v>
          </cell>
          <cell r="AC41" t="str">
            <v>ברקת  נעם</v>
          </cell>
          <cell r="AD41" t="str">
            <v>פיתוח</v>
          </cell>
          <cell r="AE41">
            <v>4</v>
          </cell>
          <cell r="AF41">
            <v>11</v>
          </cell>
          <cell r="AG41">
            <v>213.65</v>
          </cell>
          <cell r="AH41">
            <v>150.80000000000001</v>
          </cell>
          <cell r="AI41">
            <v>15</v>
          </cell>
        </row>
        <row r="42">
          <cell r="A42" t="str">
            <v>פיר 39 (ישראל) בע"מ</v>
          </cell>
          <cell r="B42">
            <v>2006</v>
          </cell>
          <cell r="C42">
            <v>12</v>
          </cell>
          <cell r="D42">
            <v>6</v>
          </cell>
          <cell r="E42" t="str">
            <v>ברקת  נעם</v>
          </cell>
          <cell r="F42" t="str">
            <v>פיתוח</v>
          </cell>
          <cell r="G42">
            <v>0</v>
          </cell>
          <cell r="H42">
            <v>4236</v>
          </cell>
          <cell r="I42">
            <v>4236</v>
          </cell>
          <cell r="N42">
            <v>211.21</v>
          </cell>
          <cell r="R42">
            <v>4447.21</v>
          </cell>
          <cell r="W42">
            <v>0</v>
          </cell>
          <cell r="X42">
            <v>148</v>
          </cell>
          <cell r="Y42">
            <v>4088</v>
          </cell>
          <cell r="Z42">
            <v>60</v>
          </cell>
          <cell r="AA42">
            <v>4028</v>
          </cell>
          <cell r="AB42">
            <v>4</v>
          </cell>
          <cell r="AC42" t="str">
            <v>ברקת  נעם</v>
          </cell>
          <cell r="AD42" t="str">
            <v>פיתוח</v>
          </cell>
          <cell r="AE42">
            <v>4</v>
          </cell>
          <cell r="AF42">
            <v>12</v>
          </cell>
          <cell r="AG42">
            <v>211.21</v>
          </cell>
          <cell r="AH42">
            <v>148</v>
          </cell>
        </row>
        <row r="43">
          <cell r="A43" t="str">
            <v>פיר 39 (ישראל) בע"מ</v>
          </cell>
          <cell r="B43">
            <v>2006</v>
          </cell>
          <cell r="C43">
            <v>5</v>
          </cell>
          <cell r="D43">
            <v>7</v>
          </cell>
          <cell r="E43" t="str">
            <v>מור  טל</v>
          </cell>
          <cell r="F43" t="str">
            <v>הנהלה</v>
          </cell>
          <cell r="G43">
            <v>0</v>
          </cell>
          <cell r="H43">
            <v>1261.5</v>
          </cell>
          <cell r="I43">
            <v>1261.5</v>
          </cell>
          <cell r="N43">
            <v>62.82</v>
          </cell>
          <cell r="R43">
            <v>1324.32</v>
          </cell>
          <cell r="W43">
            <v>0</v>
          </cell>
          <cell r="X43">
            <v>44.16</v>
          </cell>
          <cell r="Y43">
            <v>1217.3399999999999</v>
          </cell>
          <cell r="AA43">
            <v>1217.3399999999999</v>
          </cell>
          <cell r="AB43">
            <v>2</v>
          </cell>
          <cell r="AC43" t="str">
            <v>מור  טל</v>
          </cell>
          <cell r="AD43" t="str">
            <v>הנהלה</v>
          </cell>
          <cell r="AE43">
            <v>2</v>
          </cell>
          <cell r="AF43">
            <v>5</v>
          </cell>
          <cell r="AG43">
            <v>62.82</v>
          </cell>
          <cell r="AH43">
            <v>44.16</v>
          </cell>
        </row>
        <row r="44">
          <cell r="A44" t="str">
            <v>פיר 39 (ישראל) בע"מ</v>
          </cell>
          <cell r="B44">
            <v>2006</v>
          </cell>
          <cell r="C44">
            <v>6</v>
          </cell>
          <cell r="D44">
            <v>7</v>
          </cell>
          <cell r="E44" t="str">
            <v>מור  טל</v>
          </cell>
          <cell r="F44" t="str">
            <v>הנהלה</v>
          </cell>
          <cell r="G44">
            <v>0</v>
          </cell>
          <cell r="H44">
            <v>2740.5</v>
          </cell>
          <cell r="I44">
            <v>2740.5</v>
          </cell>
          <cell r="N44">
            <v>136.47999999999999</v>
          </cell>
          <cell r="R44">
            <v>2876.98</v>
          </cell>
          <cell r="W44">
            <v>0</v>
          </cell>
          <cell r="X44">
            <v>95.92</v>
          </cell>
          <cell r="Y44">
            <v>2644.58</v>
          </cell>
          <cell r="AA44">
            <v>2644.58</v>
          </cell>
          <cell r="AB44">
            <v>2</v>
          </cell>
          <cell r="AC44" t="str">
            <v>מור  טל</v>
          </cell>
          <cell r="AD44" t="str">
            <v>הנהלה</v>
          </cell>
          <cell r="AE44">
            <v>2</v>
          </cell>
          <cell r="AF44">
            <v>6</v>
          </cell>
          <cell r="AG44">
            <v>136.47999999999999</v>
          </cell>
          <cell r="AH44">
            <v>95.92</v>
          </cell>
        </row>
        <row r="45">
          <cell r="A45" t="str">
            <v>פיר 39 (ישראל) בע"מ</v>
          </cell>
          <cell r="B45">
            <v>2006</v>
          </cell>
          <cell r="C45">
            <v>7</v>
          </cell>
          <cell r="D45">
            <v>7</v>
          </cell>
          <cell r="E45" t="str">
            <v>מור  טל</v>
          </cell>
          <cell r="F45" t="str">
            <v>הנהלה</v>
          </cell>
          <cell r="G45">
            <v>0</v>
          </cell>
          <cell r="H45">
            <v>2700.62</v>
          </cell>
          <cell r="I45">
            <v>2700.62</v>
          </cell>
          <cell r="N45">
            <v>134.38999999999999</v>
          </cell>
          <cell r="R45">
            <v>2835.01</v>
          </cell>
          <cell r="W45">
            <v>0</v>
          </cell>
          <cell r="X45">
            <v>94.62</v>
          </cell>
          <cell r="Y45">
            <v>2606</v>
          </cell>
          <cell r="AA45">
            <v>2606</v>
          </cell>
          <cell r="AB45">
            <v>3</v>
          </cell>
          <cell r="AC45" t="str">
            <v>מור  טל</v>
          </cell>
          <cell r="AD45" t="str">
            <v>הנהלה</v>
          </cell>
          <cell r="AE45">
            <v>3</v>
          </cell>
          <cell r="AF45">
            <v>7</v>
          </cell>
          <cell r="AG45">
            <v>134.38999999999999</v>
          </cell>
          <cell r="AH45">
            <v>94.62</v>
          </cell>
        </row>
        <row r="46">
          <cell r="A46" t="str">
            <v>פיר 39 (ישראל) בע"מ</v>
          </cell>
          <cell r="B46">
            <v>2006</v>
          </cell>
          <cell r="C46">
            <v>8</v>
          </cell>
          <cell r="D46">
            <v>7</v>
          </cell>
          <cell r="E46" t="str">
            <v>מור  טל</v>
          </cell>
          <cell r="F46" t="str">
            <v>הנהלה</v>
          </cell>
          <cell r="G46">
            <v>0</v>
          </cell>
          <cell r="H46">
            <v>2666.3</v>
          </cell>
          <cell r="I46">
            <v>2666.3</v>
          </cell>
          <cell r="N46">
            <v>132.81</v>
          </cell>
          <cell r="R46">
            <v>2799.11</v>
          </cell>
          <cell r="W46">
            <v>0</v>
          </cell>
          <cell r="X46">
            <v>93.3</v>
          </cell>
          <cell r="Y46">
            <v>2573</v>
          </cell>
          <cell r="AA46">
            <v>2573</v>
          </cell>
          <cell r="AB46">
            <v>3</v>
          </cell>
          <cell r="AC46" t="str">
            <v>מור  טל</v>
          </cell>
          <cell r="AD46" t="str">
            <v>הנהלה</v>
          </cell>
          <cell r="AE46">
            <v>3</v>
          </cell>
          <cell r="AF46">
            <v>8</v>
          </cell>
          <cell r="AG46">
            <v>132.81</v>
          </cell>
          <cell r="AH46">
            <v>93.3</v>
          </cell>
        </row>
        <row r="47">
          <cell r="A47" t="str">
            <v>פיר 39 (ישראל) בע"מ</v>
          </cell>
          <cell r="B47">
            <v>2006</v>
          </cell>
          <cell r="C47">
            <v>9</v>
          </cell>
          <cell r="D47">
            <v>7</v>
          </cell>
          <cell r="E47" t="str">
            <v>מור  טל</v>
          </cell>
          <cell r="F47" t="str">
            <v>הנהלה</v>
          </cell>
          <cell r="G47">
            <v>0</v>
          </cell>
          <cell r="H47">
            <v>4345.8100000000004</v>
          </cell>
          <cell r="I47">
            <v>4145.8100000000004</v>
          </cell>
          <cell r="N47">
            <v>216.71</v>
          </cell>
          <cell r="R47">
            <v>4362.5200000000004</v>
          </cell>
          <cell r="W47">
            <v>0</v>
          </cell>
          <cell r="X47">
            <v>151.81</v>
          </cell>
          <cell r="Y47">
            <v>3994</v>
          </cell>
          <cell r="AA47">
            <v>3994</v>
          </cell>
          <cell r="AB47">
            <v>3</v>
          </cell>
          <cell r="AC47" t="str">
            <v>מור  טל</v>
          </cell>
          <cell r="AD47" t="str">
            <v>הנהלה</v>
          </cell>
          <cell r="AE47">
            <v>3</v>
          </cell>
          <cell r="AF47">
            <v>9</v>
          </cell>
          <cell r="AG47">
            <v>216.71</v>
          </cell>
          <cell r="AH47">
            <v>151.81</v>
          </cell>
          <cell r="AI47">
            <v>200</v>
          </cell>
        </row>
        <row r="48">
          <cell r="A48" t="str">
            <v>פיר 39 (ישראל) בע"מ</v>
          </cell>
          <cell r="B48">
            <v>2006</v>
          </cell>
          <cell r="C48">
            <v>10</v>
          </cell>
          <cell r="D48">
            <v>7</v>
          </cell>
          <cell r="E48" t="str">
            <v>מור  טל</v>
          </cell>
          <cell r="F48" t="str">
            <v>הנהלה</v>
          </cell>
          <cell r="G48">
            <v>0</v>
          </cell>
          <cell r="H48">
            <v>3406.5</v>
          </cell>
          <cell r="I48">
            <v>3406.5</v>
          </cell>
          <cell r="N48">
            <v>169.37</v>
          </cell>
          <cell r="R48">
            <v>3575.87</v>
          </cell>
          <cell r="W48">
            <v>0</v>
          </cell>
          <cell r="X48">
            <v>119.5</v>
          </cell>
          <cell r="Y48">
            <v>3287</v>
          </cell>
          <cell r="AA48">
            <v>3287</v>
          </cell>
          <cell r="AB48">
            <v>4</v>
          </cell>
          <cell r="AC48" t="str">
            <v>מור  טל</v>
          </cell>
          <cell r="AD48" t="str">
            <v>הנהלה</v>
          </cell>
          <cell r="AE48">
            <v>4</v>
          </cell>
          <cell r="AF48">
            <v>10</v>
          </cell>
          <cell r="AG48">
            <v>169.37</v>
          </cell>
          <cell r="AH48">
            <v>119.5</v>
          </cell>
        </row>
        <row r="49">
          <cell r="A49" t="str">
            <v>פיר 39 (ישראל) בע"מ</v>
          </cell>
          <cell r="B49">
            <v>2006</v>
          </cell>
          <cell r="C49">
            <v>11</v>
          </cell>
          <cell r="D49">
            <v>7</v>
          </cell>
          <cell r="E49" t="str">
            <v>מור  טל</v>
          </cell>
          <cell r="F49" t="str">
            <v>פיתוח</v>
          </cell>
          <cell r="G49">
            <v>0</v>
          </cell>
          <cell r="H49">
            <v>4310.3999999999996</v>
          </cell>
          <cell r="I49">
            <v>4310.3999999999996</v>
          </cell>
          <cell r="N49">
            <v>215.12</v>
          </cell>
          <cell r="R49">
            <v>4525.5200000000004</v>
          </cell>
          <cell r="W49">
            <v>0</v>
          </cell>
          <cell r="X49">
            <v>150.4</v>
          </cell>
          <cell r="Y49">
            <v>4160</v>
          </cell>
          <cell r="AA49">
            <v>4160</v>
          </cell>
          <cell r="AB49">
            <v>4</v>
          </cell>
          <cell r="AC49" t="str">
            <v>מור  טל</v>
          </cell>
          <cell r="AD49" t="str">
            <v>פיתוח</v>
          </cell>
          <cell r="AE49">
            <v>4</v>
          </cell>
          <cell r="AF49">
            <v>11</v>
          </cell>
          <cell r="AG49">
            <v>215.12</v>
          </cell>
          <cell r="AH49">
            <v>150.4</v>
          </cell>
        </row>
        <row r="50">
          <cell r="A50" t="str">
            <v>פיר 39 (ישראל) בע"מ</v>
          </cell>
          <cell r="B50">
            <v>2006</v>
          </cell>
          <cell r="C50">
            <v>12</v>
          </cell>
          <cell r="D50">
            <v>7</v>
          </cell>
          <cell r="E50" t="str">
            <v>מור  טל</v>
          </cell>
          <cell r="F50" t="str">
            <v>פיתוח</v>
          </cell>
          <cell r="G50">
            <v>0</v>
          </cell>
          <cell r="H50">
            <v>4011.15</v>
          </cell>
          <cell r="I50">
            <v>4011.15</v>
          </cell>
          <cell r="N50">
            <v>154.66</v>
          </cell>
          <cell r="R50">
            <v>4165.8100000000004</v>
          </cell>
          <cell r="W50">
            <v>0</v>
          </cell>
          <cell r="X50">
            <v>109.15</v>
          </cell>
          <cell r="Y50">
            <v>3902</v>
          </cell>
          <cell r="AA50">
            <v>3902</v>
          </cell>
          <cell r="AB50">
            <v>4</v>
          </cell>
          <cell r="AC50" t="str">
            <v>מור  טל</v>
          </cell>
          <cell r="AD50" t="str">
            <v>פיתוח</v>
          </cell>
          <cell r="AE50">
            <v>4</v>
          </cell>
          <cell r="AF50">
            <v>12</v>
          </cell>
          <cell r="AG50">
            <v>154.66</v>
          </cell>
          <cell r="AH50">
            <v>109.15</v>
          </cell>
        </row>
        <row r="51">
          <cell r="A51" t="str">
            <v>פיר 39 (ישראל) בע"מ</v>
          </cell>
          <cell r="B51">
            <v>2006</v>
          </cell>
          <cell r="C51">
            <v>5</v>
          </cell>
          <cell r="D51">
            <v>8</v>
          </cell>
          <cell r="E51" t="str">
            <v>זיגרמן  תומר</v>
          </cell>
          <cell r="F51" t="str">
            <v>הנהלה</v>
          </cell>
          <cell r="G51">
            <v>0</v>
          </cell>
          <cell r="H51">
            <v>899</v>
          </cell>
          <cell r="I51">
            <v>899</v>
          </cell>
          <cell r="N51">
            <v>44.77</v>
          </cell>
          <cell r="R51">
            <v>943.77</v>
          </cell>
          <cell r="W51">
            <v>0</v>
          </cell>
          <cell r="X51">
            <v>31.47</v>
          </cell>
          <cell r="Y51">
            <v>867.53</v>
          </cell>
          <cell r="AA51">
            <v>867.53</v>
          </cell>
          <cell r="AB51">
            <v>2</v>
          </cell>
          <cell r="AC51" t="str">
            <v>זיגרמן  תומר</v>
          </cell>
          <cell r="AD51" t="str">
            <v>הנהלה</v>
          </cell>
          <cell r="AE51">
            <v>2</v>
          </cell>
          <cell r="AF51">
            <v>5</v>
          </cell>
          <cell r="AG51">
            <v>44.77</v>
          </cell>
          <cell r="AH51">
            <v>31.47</v>
          </cell>
        </row>
        <row r="52">
          <cell r="A52" t="str">
            <v>פיר 39 (ישראל) בע"מ</v>
          </cell>
          <cell r="B52">
            <v>2006</v>
          </cell>
          <cell r="C52">
            <v>6</v>
          </cell>
          <cell r="D52">
            <v>8</v>
          </cell>
          <cell r="E52" t="str">
            <v>זיגרמן  תומר</v>
          </cell>
          <cell r="F52" t="str">
            <v>הנהלה</v>
          </cell>
          <cell r="G52">
            <v>0</v>
          </cell>
          <cell r="H52">
            <v>899</v>
          </cell>
          <cell r="I52">
            <v>899</v>
          </cell>
          <cell r="N52">
            <v>44.77</v>
          </cell>
          <cell r="R52">
            <v>943.77</v>
          </cell>
          <cell r="W52">
            <v>0</v>
          </cell>
          <cell r="X52">
            <v>31.47</v>
          </cell>
          <cell r="Y52">
            <v>867.53</v>
          </cell>
          <cell r="AA52">
            <v>867.53</v>
          </cell>
          <cell r="AB52">
            <v>2</v>
          </cell>
          <cell r="AC52" t="str">
            <v>זיגרמן  תומר</v>
          </cell>
          <cell r="AD52" t="str">
            <v>הנהלה</v>
          </cell>
          <cell r="AE52">
            <v>2</v>
          </cell>
          <cell r="AF52">
            <v>6</v>
          </cell>
          <cell r="AG52">
            <v>44.77</v>
          </cell>
          <cell r="AH52">
            <v>31.47</v>
          </cell>
        </row>
        <row r="53">
          <cell r="A53" t="str">
            <v>פיר 39 (ישראל) בע"מ</v>
          </cell>
          <cell r="B53">
            <v>2006</v>
          </cell>
          <cell r="C53">
            <v>7</v>
          </cell>
          <cell r="D53">
            <v>8</v>
          </cell>
          <cell r="E53" t="str">
            <v>זיגרמן  תומר</v>
          </cell>
          <cell r="F53" t="str">
            <v>הנהלה</v>
          </cell>
          <cell r="G53">
            <v>0</v>
          </cell>
          <cell r="H53">
            <v>2911.3</v>
          </cell>
          <cell r="I53">
            <v>2911.3</v>
          </cell>
          <cell r="N53">
            <v>144.58000000000001</v>
          </cell>
          <cell r="R53">
            <v>3055.88</v>
          </cell>
          <cell r="W53">
            <v>0</v>
          </cell>
          <cell r="X53">
            <v>102.3</v>
          </cell>
          <cell r="Y53">
            <v>2809</v>
          </cell>
          <cell r="Z53">
            <v>990</v>
          </cell>
          <cell r="AA53">
            <v>1819</v>
          </cell>
          <cell r="AB53">
            <v>3</v>
          </cell>
          <cell r="AC53" t="str">
            <v>זיגרמן  תומר</v>
          </cell>
          <cell r="AD53" t="str">
            <v>הנהלה</v>
          </cell>
          <cell r="AE53">
            <v>3</v>
          </cell>
          <cell r="AF53">
            <v>7</v>
          </cell>
          <cell r="AG53">
            <v>144.58000000000001</v>
          </cell>
          <cell r="AH53">
            <v>102.3</v>
          </cell>
        </row>
        <row r="54">
          <cell r="A54" t="str">
            <v>פיר 39 (ישראל) בע"מ</v>
          </cell>
          <cell r="B54">
            <v>2006</v>
          </cell>
          <cell r="C54">
            <v>8</v>
          </cell>
          <cell r="D54">
            <v>8</v>
          </cell>
          <cell r="E54" t="str">
            <v>זיגרמן  תומר</v>
          </cell>
          <cell r="F54" t="str">
            <v>הנהלה</v>
          </cell>
          <cell r="G54">
            <v>0</v>
          </cell>
          <cell r="H54">
            <v>1253.76</v>
          </cell>
          <cell r="I54">
            <v>1253.76</v>
          </cell>
          <cell r="N54">
            <v>62.57</v>
          </cell>
          <cell r="R54">
            <v>1316.33</v>
          </cell>
          <cell r="W54">
            <v>0</v>
          </cell>
          <cell r="X54">
            <v>43.76</v>
          </cell>
          <cell r="Y54">
            <v>1210</v>
          </cell>
          <cell r="Z54">
            <v>26</v>
          </cell>
          <cell r="AA54">
            <v>1184</v>
          </cell>
          <cell r="AB54">
            <v>3</v>
          </cell>
          <cell r="AC54" t="str">
            <v>זיגרמן  תומר</v>
          </cell>
          <cell r="AD54" t="str">
            <v>הנהלה</v>
          </cell>
          <cell r="AE54">
            <v>3</v>
          </cell>
          <cell r="AF54">
            <v>8</v>
          </cell>
          <cell r="AG54">
            <v>62.57</v>
          </cell>
          <cell r="AH54">
            <v>43.76</v>
          </cell>
        </row>
        <row r="55">
          <cell r="A55" t="str">
            <v>פיר 39 (ישראל) בע"מ</v>
          </cell>
          <cell r="B55">
            <v>2006</v>
          </cell>
          <cell r="C55">
            <v>9</v>
          </cell>
          <cell r="D55">
            <v>8</v>
          </cell>
          <cell r="E55" t="str">
            <v>זיגרמן  תומר</v>
          </cell>
          <cell r="F55" t="str">
            <v>הנהלה</v>
          </cell>
          <cell r="G55">
            <v>0</v>
          </cell>
          <cell r="H55">
            <v>2587.64</v>
          </cell>
          <cell r="I55">
            <v>2387.64</v>
          </cell>
          <cell r="N55">
            <v>128.79</v>
          </cell>
          <cell r="R55">
            <v>2516.4299999999998</v>
          </cell>
          <cell r="W55">
            <v>0</v>
          </cell>
          <cell r="X55">
            <v>90.64</v>
          </cell>
          <cell r="Y55">
            <v>2297</v>
          </cell>
          <cell r="AA55">
            <v>2297</v>
          </cell>
          <cell r="AB55">
            <v>3</v>
          </cell>
          <cell r="AC55" t="str">
            <v>זיגרמן  תומר</v>
          </cell>
          <cell r="AD55" t="str">
            <v>הנהלה</v>
          </cell>
          <cell r="AE55">
            <v>3</v>
          </cell>
          <cell r="AF55">
            <v>9</v>
          </cell>
          <cell r="AG55">
            <v>128.79</v>
          </cell>
          <cell r="AH55">
            <v>90.64</v>
          </cell>
          <cell r="AI55">
            <v>200</v>
          </cell>
        </row>
        <row r="56">
          <cell r="A56" t="str">
            <v>פיר 39 (ישראל) בע"מ</v>
          </cell>
          <cell r="B56">
            <v>2006</v>
          </cell>
          <cell r="C56">
            <v>10</v>
          </cell>
          <cell r="D56">
            <v>8</v>
          </cell>
          <cell r="E56" t="str">
            <v>זיגרמן  תומר</v>
          </cell>
          <cell r="F56" t="str">
            <v>הנהלה</v>
          </cell>
          <cell r="G56">
            <v>0</v>
          </cell>
          <cell r="H56">
            <v>2141.62</v>
          </cell>
          <cell r="I56">
            <v>2141.62</v>
          </cell>
          <cell r="N56">
            <v>106.99</v>
          </cell>
          <cell r="R56">
            <v>2248.61</v>
          </cell>
          <cell r="W56">
            <v>0</v>
          </cell>
          <cell r="X56">
            <v>74.62</v>
          </cell>
          <cell r="Y56">
            <v>2067</v>
          </cell>
          <cell r="AA56">
            <v>2067</v>
          </cell>
          <cell r="AB56">
            <v>4</v>
          </cell>
          <cell r="AC56" t="str">
            <v>זיגרמן  תומר</v>
          </cell>
          <cell r="AD56" t="str">
            <v>הנהלה</v>
          </cell>
          <cell r="AE56">
            <v>4</v>
          </cell>
          <cell r="AF56">
            <v>10</v>
          </cell>
          <cell r="AG56">
            <v>106.99</v>
          </cell>
          <cell r="AH56">
            <v>74.62</v>
          </cell>
        </row>
        <row r="57">
          <cell r="A57" t="str">
            <v>פיר 39 (ישראל) בע"מ</v>
          </cell>
          <cell r="B57">
            <v>2006</v>
          </cell>
          <cell r="C57">
            <v>11</v>
          </cell>
          <cell r="D57">
            <v>8</v>
          </cell>
          <cell r="E57" t="str">
            <v>זיגרמן  תומר</v>
          </cell>
          <cell r="F57" t="str">
            <v>פיתוח</v>
          </cell>
          <cell r="G57">
            <v>0</v>
          </cell>
          <cell r="H57">
            <v>1812.84</v>
          </cell>
          <cell r="I57">
            <v>1812.84</v>
          </cell>
          <cell r="N57">
            <v>71.28</v>
          </cell>
          <cell r="R57">
            <v>1884.12</v>
          </cell>
          <cell r="W57">
            <v>0</v>
          </cell>
          <cell r="X57">
            <v>49.84</v>
          </cell>
          <cell r="Y57">
            <v>1763</v>
          </cell>
          <cell r="AA57">
            <v>1763</v>
          </cell>
          <cell r="AB57">
            <v>4</v>
          </cell>
          <cell r="AC57" t="str">
            <v>זיגרמן  תומר</v>
          </cell>
          <cell r="AD57" t="str">
            <v>פיתוח</v>
          </cell>
          <cell r="AE57">
            <v>4</v>
          </cell>
          <cell r="AF57">
            <v>11</v>
          </cell>
          <cell r="AG57">
            <v>71.28</v>
          </cell>
          <cell r="AH57">
            <v>49.84</v>
          </cell>
        </row>
        <row r="58">
          <cell r="A58" t="str">
            <v>פיר 39 (ישראל) בע"מ</v>
          </cell>
          <cell r="B58">
            <v>2006</v>
          </cell>
          <cell r="C58">
            <v>6</v>
          </cell>
          <cell r="D58">
            <v>9</v>
          </cell>
          <cell r="E58" t="str">
            <v>סולומון  יאיר</v>
          </cell>
          <cell r="F58" t="str">
            <v>הנהלה</v>
          </cell>
          <cell r="G58">
            <v>0</v>
          </cell>
          <cell r="H58">
            <v>3053.5</v>
          </cell>
          <cell r="I58">
            <v>3053.5</v>
          </cell>
          <cell r="N58">
            <v>152.06</v>
          </cell>
          <cell r="R58">
            <v>3205.56</v>
          </cell>
          <cell r="W58">
            <v>0</v>
          </cell>
          <cell r="X58">
            <v>106.87</v>
          </cell>
          <cell r="Y58">
            <v>2946.63</v>
          </cell>
          <cell r="AA58">
            <v>2946.63</v>
          </cell>
          <cell r="AB58">
            <v>2</v>
          </cell>
          <cell r="AC58" t="str">
            <v>סולומון  יאיר</v>
          </cell>
          <cell r="AD58" t="str">
            <v>הנהלה</v>
          </cell>
          <cell r="AE58">
            <v>2</v>
          </cell>
          <cell r="AF58">
            <v>6</v>
          </cell>
          <cell r="AG58">
            <v>152.06</v>
          </cell>
          <cell r="AH58">
            <v>106.87</v>
          </cell>
        </row>
        <row r="59">
          <cell r="A59" t="str">
            <v>פיר 39 (ישראל) בע"מ</v>
          </cell>
          <cell r="B59">
            <v>2006</v>
          </cell>
          <cell r="C59">
            <v>7</v>
          </cell>
          <cell r="D59">
            <v>9</v>
          </cell>
          <cell r="E59" t="str">
            <v>סולומון  יאיר</v>
          </cell>
          <cell r="F59" t="str">
            <v>הנהלה</v>
          </cell>
          <cell r="G59">
            <v>0</v>
          </cell>
          <cell r="H59">
            <v>1555.78</v>
          </cell>
          <cell r="I59">
            <v>1555.78</v>
          </cell>
          <cell r="N59">
            <v>77.150000000000006</v>
          </cell>
          <cell r="R59">
            <v>1632.93</v>
          </cell>
          <cell r="W59">
            <v>0</v>
          </cell>
          <cell r="X59">
            <v>54.78</v>
          </cell>
          <cell r="Y59">
            <v>1501</v>
          </cell>
          <cell r="AA59">
            <v>1501</v>
          </cell>
          <cell r="AB59">
            <v>3</v>
          </cell>
          <cell r="AC59" t="str">
            <v>סולומון  יאיר</v>
          </cell>
          <cell r="AD59" t="str">
            <v>הנהלה</v>
          </cell>
          <cell r="AE59">
            <v>3</v>
          </cell>
          <cell r="AF59">
            <v>7</v>
          </cell>
          <cell r="AG59">
            <v>77.150000000000006</v>
          </cell>
          <cell r="AH59">
            <v>54.78</v>
          </cell>
        </row>
        <row r="60">
          <cell r="A60" t="str">
            <v>פיר 39 (ישראל) בע"מ</v>
          </cell>
          <cell r="B60">
            <v>2006</v>
          </cell>
          <cell r="C60">
            <v>8</v>
          </cell>
          <cell r="D60">
            <v>9</v>
          </cell>
          <cell r="E60" t="str">
            <v>סולומון  יאיר</v>
          </cell>
          <cell r="F60" t="str">
            <v>הנהלה</v>
          </cell>
          <cell r="G60">
            <v>0</v>
          </cell>
          <cell r="H60">
            <v>5824.48</v>
          </cell>
          <cell r="I60">
            <v>5824.48</v>
          </cell>
          <cell r="N60">
            <v>299.72000000000003</v>
          </cell>
          <cell r="R60">
            <v>6124.2</v>
          </cell>
          <cell r="W60">
            <v>0</v>
          </cell>
          <cell r="X60">
            <v>322.48</v>
          </cell>
          <cell r="Y60">
            <v>5502</v>
          </cell>
          <cell r="AA60">
            <v>5502</v>
          </cell>
          <cell r="AB60">
            <v>3</v>
          </cell>
          <cell r="AC60" t="str">
            <v>סולומון  יאיר</v>
          </cell>
          <cell r="AD60" t="str">
            <v>הנהלה</v>
          </cell>
          <cell r="AE60">
            <v>3</v>
          </cell>
          <cell r="AF60">
            <v>8</v>
          </cell>
          <cell r="AG60">
            <v>299.72000000000003</v>
          </cell>
          <cell r="AH60">
            <v>322.48</v>
          </cell>
        </row>
        <row r="61">
          <cell r="A61" t="str">
            <v>פיר 39 (ישראל) בע"מ</v>
          </cell>
          <cell r="B61">
            <v>2006</v>
          </cell>
          <cell r="C61">
            <v>9</v>
          </cell>
          <cell r="D61">
            <v>9</v>
          </cell>
          <cell r="E61" t="str">
            <v>סולומון  יאיר</v>
          </cell>
          <cell r="F61" t="str">
            <v>הנהלה</v>
          </cell>
          <cell r="G61">
            <v>0</v>
          </cell>
          <cell r="H61">
            <v>2264.65</v>
          </cell>
          <cell r="I61">
            <v>2064.65</v>
          </cell>
          <cell r="N61">
            <v>112.39</v>
          </cell>
          <cell r="R61">
            <v>2177.04</v>
          </cell>
          <cell r="W61">
            <v>0</v>
          </cell>
          <cell r="X61">
            <v>79.650000000000006</v>
          </cell>
          <cell r="Y61">
            <v>1985</v>
          </cell>
          <cell r="AA61">
            <v>1985</v>
          </cell>
          <cell r="AB61">
            <v>3</v>
          </cell>
          <cell r="AC61" t="str">
            <v>סולומון  יאיר</v>
          </cell>
          <cell r="AD61" t="str">
            <v>הנהלה</v>
          </cell>
          <cell r="AE61">
            <v>3</v>
          </cell>
          <cell r="AF61">
            <v>9</v>
          </cell>
          <cell r="AG61">
            <v>112.39</v>
          </cell>
          <cell r="AH61">
            <v>79.650000000000006</v>
          </cell>
          <cell r="AI61">
            <v>200</v>
          </cell>
        </row>
        <row r="62">
          <cell r="A62" t="str">
            <v>פיר 39 (ישראל) בע"מ</v>
          </cell>
          <cell r="B62">
            <v>2006</v>
          </cell>
          <cell r="C62">
            <v>10</v>
          </cell>
          <cell r="D62">
            <v>9</v>
          </cell>
          <cell r="E62" t="str">
            <v>סולומון  יאיר</v>
          </cell>
          <cell r="F62" t="str">
            <v>הנהלה</v>
          </cell>
          <cell r="G62">
            <v>0</v>
          </cell>
          <cell r="H62">
            <v>183.9</v>
          </cell>
          <cell r="I62">
            <v>183.9</v>
          </cell>
          <cell r="N62">
            <v>8.6999999999999993</v>
          </cell>
          <cell r="R62">
            <v>192.6</v>
          </cell>
          <cell r="W62">
            <v>0</v>
          </cell>
          <cell r="X62">
            <v>6.9</v>
          </cell>
          <cell r="Y62">
            <v>177</v>
          </cell>
          <cell r="AA62">
            <v>177</v>
          </cell>
          <cell r="AB62">
            <v>4</v>
          </cell>
          <cell r="AC62" t="str">
            <v>סולומון  יאיר</v>
          </cell>
          <cell r="AD62" t="str">
            <v>הנהלה</v>
          </cell>
          <cell r="AE62">
            <v>4</v>
          </cell>
          <cell r="AF62">
            <v>10</v>
          </cell>
          <cell r="AG62">
            <v>8.6999999999999993</v>
          </cell>
          <cell r="AH62">
            <v>6.9</v>
          </cell>
        </row>
        <row r="63">
          <cell r="A63" t="str">
            <v>פיר 39 (ישראל) בע"מ</v>
          </cell>
          <cell r="B63">
            <v>2006</v>
          </cell>
          <cell r="C63">
            <v>11</v>
          </cell>
          <cell r="D63">
            <v>9</v>
          </cell>
          <cell r="E63" t="str">
            <v>סולומון  יאיר</v>
          </cell>
          <cell r="F63" t="str">
            <v>פיתוח</v>
          </cell>
          <cell r="G63">
            <v>0</v>
          </cell>
          <cell r="H63">
            <v>6000</v>
          </cell>
          <cell r="I63">
            <v>6000</v>
          </cell>
          <cell r="N63">
            <v>310.24</v>
          </cell>
          <cell r="R63">
            <v>6310.24</v>
          </cell>
          <cell r="W63">
            <v>0</v>
          </cell>
          <cell r="X63">
            <v>343</v>
          </cell>
          <cell r="Y63">
            <v>5657</v>
          </cell>
          <cell r="AA63">
            <v>5657</v>
          </cell>
          <cell r="AB63">
            <v>4</v>
          </cell>
          <cell r="AC63" t="str">
            <v>סולומון  יאיר</v>
          </cell>
          <cell r="AD63" t="str">
            <v>פיתוח</v>
          </cell>
          <cell r="AE63">
            <v>4</v>
          </cell>
          <cell r="AF63">
            <v>11</v>
          </cell>
          <cell r="AG63">
            <v>310.24</v>
          </cell>
          <cell r="AH63">
            <v>343</v>
          </cell>
        </row>
        <row r="64">
          <cell r="A64" t="str">
            <v>פיר 39 (ישראל) בע"מ</v>
          </cell>
          <cell r="B64">
            <v>2006</v>
          </cell>
          <cell r="C64">
            <v>12</v>
          </cell>
          <cell r="D64">
            <v>9</v>
          </cell>
          <cell r="E64" t="str">
            <v>סולומון  יאיר</v>
          </cell>
          <cell r="F64" t="str">
            <v>פיתוח</v>
          </cell>
          <cell r="G64">
            <v>0</v>
          </cell>
          <cell r="H64">
            <v>3000</v>
          </cell>
          <cell r="I64">
            <v>3000</v>
          </cell>
          <cell r="N64">
            <v>149.4</v>
          </cell>
          <cell r="R64">
            <v>3149.4</v>
          </cell>
          <cell r="X64">
            <v>105</v>
          </cell>
          <cell r="Y64">
            <v>2895</v>
          </cell>
          <cell r="AA64">
            <v>2895</v>
          </cell>
          <cell r="AB64">
            <v>4</v>
          </cell>
          <cell r="AC64" t="str">
            <v>סולומון  יאיר</v>
          </cell>
          <cell r="AD64" t="str">
            <v>פיתוח</v>
          </cell>
          <cell r="AE64">
            <v>4</v>
          </cell>
          <cell r="AF64">
            <v>12</v>
          </cell>
          <cell r="AG64">
            <v>149.4</v>
          </cell>
          <cell r="AH64">
            <v>105</v>
          </cell>
        </row>
        <row r="65">
          <cell r="A65" t="str">
            <v>פיר 39 (ישראל) בע"מ</v>
          </cell>
          <cell r="B65">
            <v>2006</v>
          </cell>
          <cell r="C65">
            <v>5</v>
          </cell>
          <cell r="D65">
            <v>10</v>
          </cell>
          <cell r="E65" t="str">
            <v>אליאס  שירה</v>
          </cell>
          <cell r="F65" t="str">
            <v>הנהלה</v>
          </cell>
          <cell r="G65">
            <v>0</v>
          </cell>
          <cell r="H65">
            <v>1102</v>
          </cell>
          <cell r="I65">
            <v>1102</v>
          </cell>
          <cell r="N65">
            <v>54.88</v>
          </cell>
          <cell r="R65">
            <v>1156.8800000000001</v>
          </cell>
          <cell r="W65">
            <v>0</v>
          </cell>
          <cell r="X65">
            <v>38.57</v>
          </cell>
          <cell r="Y65">
            <v>1063.43</v>
          </cell>
          <cell r="AA65">
            <v>1063.43</v>
          </cell>
          <cell r="AB65">
            <v>2</v>
          </cell>
          <cell r="AC65" t="str">
            <v>אליאס  שירה</v>
          </cell>
          <cell r="AD65" t="str">
            <v>הנהלה</v>
          </cell>
          <cell r="AE65">
            <v>2</v>
          </cell>
          <cell r="AF65">
            <v>5</v>
          </cell>
          <cell r="AG65">
            <v>54.88</v>
          </cell>
          <cell r="AH65">
            <v>38.57</v>
          </cell>
        </row>
        <row r="66">
          <cell r="A66" t="str">
            <v>פיר 39 (ישראל) בע"מ</v>
          </cell>
          <cell r="B66">
            <v>2006</v>
          </cell>
          <cell r="C66">
            <v>6</v>
          </cell>
          <cell r="D66">
            <v>10</v>
          </cell>
          <cell r="E66" t="str">
            <v>אליאס  שירה</v>
          </cell>
          <cell r="F66" t="str">
            <v>הנהלה</v>
          </cell>
          <cell r="G66">
            <v>0</v>
          </cell>
          <cell r="H66">
            <v>1102</v>
          </cell>
          <cell r="I66">
            <v>1102</v>
          </cell>
          <cell r="N66">
            <v>54.88</v>
          </cell>
          <cell r="R66">
            <v>1156.8800000000001</v>
          </cell>
          <cell r="W66">
            <v>0</v>
          </cell>
          <cell r="X66">
            <v>38.57</v>
          </cell>
          <cell r="Y66">
            <v>1063.43</v>
          </cell>
          <cell r="AA66">
            <v>1063.43</v>
          </cell>
          <cell r="AB66">
            <v>2</v>
          </cell>
          <cell r="AC66" t="str">
            <v>אליאס  שירה</v>
          </cell>
          <cell r="AD66" t="str">
            <v>הנהלה</v>
          </cell>
          <cell r="AE66">
            <v>2</v>
          </cell>
          <cell r="AF66">
            <v>6</v>
          </cell>
          <cell r="AG66">
            <v>54.88</v>
          </cell>
          <cell r="AH66">
            <v>38.57</v>
          </cell>
        </row>
        <row r="67">
          <cell r="A67" t="str">
            <v>פיר 39 (ישראל) בע"מ</v>
          </cell>
          <cell r="B67">
            <v>2006</v>
          </cell>
          <cell r="C67">
            <v>7</v>
          </cell>
          <cell r="D67">
            <v>10</v>
          </cell>
          <cell r="E67" t="str">
            <v>אליאס  שירה</v>
          </cell>
          <cell r="F67" t="str">
            <v>הנהלה</v>
          </cell>
          <cell r="G67">
            <v>0</v>
          </cell>
          <cell r="H67">
            <v>3667.3</v>
          </cell>
          <cell r="I67">
            <v>3667.3</v>
          </cell>
          <cell r="N67">
            <v>182.69</v>
          </cell>
          <cell r="R67">
            <v>3849.99</v>
          </cell>
          <cell r="W67">
            <v>0</v>
          </cell>
          <cell r="X67">
            <v>128.30000000000001</v>
          </cell>
          <cell r="Y67">
            <v>3539</v>
          </cell>
          <cell r="Z67">
            <v>900</v>
          </cell>
          <cell r="AA67">
            <v>2639</v>
          </cell>
          <cell r="AB67">
            <v>3</v>
          </cell>
          <cell r="AC67" t="str">
            <v>אליאס  שירה</v>
          </cell>
          <cell r="AD67" t="str">
            <v>הנהלה</v>
          </cell>
          <cell r="AE67">
            <v>3</v>
          </cell>
          <cell r="AF67">
            <v>7</v>
          </cell>
          <cell r="AG67">
            <v>182.69</v>
          </cell>
          <cell r="AH67">
            <v>128.30000000000001</v>
          </cell>
        </row>
        <row r="68">
          <cell r="A68" t="str">
            <v>פיר 39 (ישראל) בע"מ</v>
          </cell>
          <cell r="B68">
            <v>2006</v>
          </cell>
          <cell r="C68">
            <v>8</v>
          </cell>
          <cell r="D68">
            <v>10</v>
          </cell>
          <cell r="E68" t="str">
            <v>אליאס  שירה</v>
          </cell>
          <cell r="F68" t="str">
            <v>הנהלה</v>
          </cell>
          <cell r="G68">
            <v>0</v>
          </cell>
          <cell r="H68">
            <v>2737.8</v>
          </cell>
          <cell r="I68">
            <v>2737.8</v>
          </cell>
          <cell r="N68">
            <v>136.36000000000001</v>
          </cell>
          <cell r="R68">
            <v>2874.16</v>
          </cell>
          <cell r="W68">
            <v>0</v>
          </cell>
          <cell r="X68">
            <v>95.8</v>
          </cell>
          <cell r="Y68">
            <v>2642</v>
          </cell>
          <cell r="Z68">
            <v>26</v>
          </cell>
          <cell r="AA68">
            <v>2616</v>
          </cell>
          <cell r="AB68">
            <v>3</v>
          </cell>
          <cell r="AC68" t="str">
            <v>אליאס  שירה</v>
          </cell>
          <cell r="AD68" t="str">
            <v>הנהלה</v>
          </cell>
          <cell r="AE68">
            <v>3</v>
          </cell>
          <cell r="AF68">
            <v>8</v>
          </cell>
          <cell r="AG68">
            <v>136.36000000000001</v>
          </cell>
          <cell r="AH68">
            <v>95.8</v>
          </cell>
        </row>
        <row r="69">
          <cell r="A69" t="str">
            <v>פיר 39 (ישראל) בע"מ</v>
          </cell>
          <cell r="B69">
            <v>2006</v>
          </cell>
          <cell r="C69">
            <v>9</v>
          </cell>
          <cell r="D69">
            <v>10</v>
          </cell>
          <cell r="E69" t="str">
            <v>אליאס  שירה</v>
          </cell>
          <cell r="F69" t="str">
            <v>הנהלה</v>
          </cell>
          <cell r="G69">
            <v>0</v>
          </cell>
          <cell r="H69">
            <v>2890.01</v>
          </cell>
          <cell r="I69">
            <v>2690.01</v>
          </cell>
          <cell r="N69">
            <v>144.06</v>
          </cell>
          <cell r="R69">
            <v>2834.07</v>
          </cell>
          <cell r="W69">
            <v>0</v>
          </cell>
          <cell r="X69">
            <v>101.01</v>
          </cell>
          <cell r="Y69">
            <v>2589</v>
          </cell>
          <cell r="AA69">
            <v>2589</v>
          </cell>
          <cell r="AB69">
            <v>3</v>
          </cell>
          <cell r="AC69" t="str">
            <v>אליאס  שירה</v>
          </cell>
          <cell r="AD69" t="str">
            <v>הנהלה</v>
          </cell>
          <cell r="AE69">
            <v>3</v>
          </cell>
          <cell r="AF69">
            <v>9</v>
          </cell>
          <cell r="AG69">
            <v>144.06</v>
          </cell>
          <cell r="AH69">
            <v>101.01</v>
          </cell>
          <cell r="AI69">
            <v>200</v>
          </cell>
        </row>
        <row r="70">
          <cell r="A70" t="str">
            <v>פיר 39 (ישראל) בע"מ</v>
          </cell>
          <cell r="B70">
            <v>2006</v>
          </cell>
          <cell r="C70">
            <v>10</v>
          </cell>
          <cell r="D70">
            <v>10</v>
          </cell>
          <cell r="E70" t="str">
            <v>אליאס  שירה</v>
          </cell>
          <cell r="F70" t="str">
            <v>הנהלה</v>
          </cell>
          <cell r="G70">
            <v>0</v>
          </cell>
          <cell r="H70">
            <v>784.97</v>
          </cell>
          <cell r="I70">
            <v>784.97</v>
          </cell>
          <cell r="N70">
            <v>19.670000000000002</v>
          </cell>
          <cell r="R70">
            <v>804.64</v>
          </cell>
          <cell r="W70">
            <v>0</v>
          </cell>
          <cell r="X70">
            <v>12.97</v>
          </cell>
          <cell r="Y70">
            <v>772</v>
          </cell>
          <cell r="AA70">
            <v>772</v>
          </cell>
          <cell r="AB70">
            <v>4</v>
          </cell>
          <cell r="AC70" t="str">
            <v>אליאס  שירה</v>
          </cell>
          <cell r="AD70" t="str">
            <v>הנהלה</v>
          </cell>
          <cell r="AE70">
            <v>4</v>
          </cell>
          <cell r="AF70">
            <v>10</v>
          </cell>
          <cell r="AG70">
            <v>19.670000000000002</v>
          </cell>
          <cell r="AH70">
            <v>12.97</v>
          </cell>
        </row>
        <row r="71">
          <cell r="A71" t="str">
            <v>פיר 39 (ישראל) בע"מ</v>
          </cell>
          <cell r="B71">
            <v>2006</v>
          </cell>
          <cell r="C71">
            <v>6</v>
          </cell>
          <cell r="D71">
            <v>11</v>
          </cell>
          <cell r="E71" t="str">
            <v>וייס  עפרי</v>
          </cell>
          <cell r="F71" t="str">
            <v>הנהלה</v>
          </cell>
          <cell r="G71">
            <v>0</v>
          </cell>
          <cell r="H71">
            <v>5109.59</v>
          </cell>
          <cell r="I71">
            <v>5011.59</v>
          </cell>
          <cell r="N71">
            <v>259.20999999999998</v>
          </cell>
          <cell r="R71">
            <v>5270.8</v>
          </cell>
          <cell r="W71">
            <v>0</v>
          </cell>
          <cell r="X71">
            <v>236.6</v>
          </cell>
          <cell r="Y71">
            <v>4774.99</v>
          </cell>
          <cell r="Z71">
            <v>13</v>
          </cell>
          <cell r="AA71">
            <v>4761.99</v>
          </cell>
          <cell r="AB71">
            <v>2</v>
          </cell>
          <cell r="AC71" t="str">
            <v>וייס  עפרי</v>
          </cell>
          <cell r="AD71" t="str">
            <v>הנהלה</v>
          </cell>
          <cell r="AE71">
            <v>2</v>
          </cell>
          <cell r="AF71">
            <v>6</v>
          </cell>
          <cell r="AG71">
            <v>259.20999999999998</v>
          </cell>
          <cell r="AH71">
            <v>236.6</v>
          </cell>
          <cell r="AI71">
            <v>98</v>
          </cell>
        </row>
        <row r="72">
          <cell r="A72" t="str">
            <v>פיר 39 (ישראל) בע"מ</v>
          </cell>
          <cell r="B72">
            <v>2006</v>
          </cell>
          <cell r="C72">
            <v>7</v>
          </cell>
          <cell r="D72">
            <v>11</v>
          </cell>
          <cell r="E72" t="str">
            <v>וייס  עפרי</v>
          </cell>
          <cell r="F72" t="str">
            <v>הנהלה</v>
          </cell>
          <cell r="G72">
            <v>0</v>
          </cell>
          <cell r="H72">
            <v>5239.59</v>
          </cell>
          <cell r="I72">
            <v>5011.59</v>
          </cell>
          <cell r="N72">
            <v>266.2</v>
          </cell>
          <cell r="R72">
            <v>5277.79</v>
          </cell>
          <cell r="W72">
            <v>0</v>
          </cell>
          <cell r="X72">
            <v>252.59</v>
          </cell>
          <cell r="Y72">
            <v>4759</v>
          </cell>
          <cell r="Z72">
            <v>143</v>
          </cell>
          <cell r="AA72">
            <v>4616</v>
          </cell>
          <cell r="AB72">
            <v>3</v>
          </cell>
          <cell r="AC72" t="str">
            <v>וייס  עפרי</v>
          </cell>
          <cell r="AD72" t="str">
            <v>הנהלה</v>
          </cell>
          <cell r="AE72">
            <v>3</v>
          </cell>
          <cell r="AF72">
            <v>7</v>
          </cell>
          <cell r="AG72">
            <v>266.2</v>
          </cell>
          <cell r="AH72">
            <v>252.59</v>
          </cell>
          <cell r="AI72">
            <v>228</v>
          </cell>
        </row>
        <row r="73">
          <cell r="A73" t="str">
            <v>פיר 39 (ישראל) בע"מ</v>
          </cell>
          <cell r="B73">
            <v>2006</v>
          </cell>
          <cell r="C73">
            <v>8</v>
          </cell>
          <cell r="D73">
            <v>11</v>
          </cell>
          <cell r="E73" t="str">
            <v>וייס  עפרי</v>
          </cell>
          <cell r="F73" t="str">
            <v>הנהלה</v>
          </cell>
          <cell r="G73">
            <v>0</v>
          </cell>
          <cell r="H73">
            <v>5200.59</v>
          </cell>
          <cell r="I73">
            <v>5011.59</v>
          </cell>
          <cell r="N73">
            <v>264.31</v>
          </cell>
          <cell r="R73">
            <v>5275.9</v>
          </cell>
          <cell r="W73">
            <v>0</v>
          </cell>
          <cell r="X73">
            <v>247.59</v>
          </cell>
          <cell r="Y73">
            <v>4764</v>
          </cell>
          <cell r="Z73">
            <v>104</v>
          </cell>
          <cell r="AA73">
            <v>4660</v>
          </cell>
          <cell r="AB73">
            <v>3</v>
          </cell>
          <cell r="AC73" t="str">
            <v>וייס  עפרי</v>
          </cell>
          <cell r="AD73" t="str">
            <v>הנהלה</v>
          </cell>
          <cell r="AE73">
            <v>3</v>
          </cell>
          <cell r="AF73">
            <v>8</v>
          </cell>
          <cell r="AG73">
            <v>264.31</v>
          </cell>
          <cell r="AH73">
            <v>247.59</v>
          </cell>
          <cell r="AI73">
            <v>189</v>
          </cell>
        </row>
        <row r="74">
          <cell r="A74" t="str">
            <v>פיר 39 (ישראל) בע"מ</v>
          </cell>
          <cell r="B74">
            <v>2006</v>
          </cell>
          <cell r="C74">
            <v>9</v>
          </cell>
          <cell r="D74">
            <v>11</v>
          </cell>
          <cell r="E74" t="str">
            <v>וייס  עפרי</v>
          </cell>
          <cell r="F74" t="str">
            <v>הנהלה</v>
          </cell>
          <cell r="G74">
            <v>0</v>
          </cell>
          <cell r="H74">
            <v>5463.49</v>
          </cell>
          <cell r="I74">
            <v>5052.49</v>
          </cell>
          <cell r="N74">
            <v>278.88</v>
          </cell>
          <cell r="R74">
            <v>5331.37</v>
          </cell>
          <cell r="W74">
            <v>0</v>
          </cell>
          <cell r="X74">
            <v>279.49</v>
          </cell>
          <cell r="Y74">
            <v>4773</v>
          </cell>
          <cell r="Z74">
            <v>26</v>
          </cell>
          <cell r="AA74">
            <v>4747</v>
          </cell>
          <cell r="AB74">
            <v>3</v>
          </cell>
          <cell r="AC74" t="str">
            <v>וייס  עפרי</v>
          </cell>
          <cell r="AD74" t="str">
            <v>הנהלה</v>
          </cell>
          <cell r="AE74">
            <v>3</v>
          </cell>
          <cell r="AF74">
            <v>9</v>
          </cell>
          <cell r="AG74">
            <v>278.88</v>
          </cell>
          <cell r="AH74">
            <v>279.49</v>
          </cell>
          <cell r="AI74">
            <v>411</v>
          </cell>
        </row>
        <row r="75">
          <cell r="A75" t="str">
            <v>פיר 39 (ישראל) בע"מ</v>
          </cell>
          <cell r="B75">
            <v>2006</v>
          </cell>
          <cell r="C75">
            <v>10</v>
          </cell>
          <cell r="D75">
            <v>11</v>
          </cell>
          <cell r="E75" t="str">
            <v>וייס  עפרי</v>
          </cell>
          <cell r="F75" t="str">
            <v>הנהלה</v>
          </cell>
          <cell r="G75">
            <v>0</v>
          </cell>
          <cell r="H75">
            <v>5186.59</v>
          </cell>
          <cell r="I75">
            <v>5011.59</v>
          </cell>
          <cell r="N75">
            <v>263.83</v>
          </cell>
          <cell r="R75">
            <v>5275.42</v>
          </cell>
          <cell r="W75">
            <v>0</v>
          </cell>
          <cell r="X75">
            <v>245.59</v>
          </cell>
          <cell r="Y75">
            <v>4766</v>
          </cell>
          <cell r="Z75">
            <v>66</v>
          </cell>
          <cell r="AA75">
            <v>4700</v>
          </cell>
          <cell r="AB75">
            <v>4</v>
          </cell>
          <cell r="AC75" t="str">
            <v>וייס  עפרי</v>
          </cell>
          <cell r="AD75" t="str">
            <v>הנהלה</v>
          </cell>
          <cell r="AE75">
            <v>4</v>
          </cell>
          <cell r="AF75">
            <v>10</v>
          </cell>
          <cell r="AG75">
            <v>263.83</v>
          </cell>
          <cell r="AH75">
            <v>245.59</v>
          </cell>
          <cell r="AI75">
            <v>175</v>
          </cell>
        </row>
        <row r="76">
          <cell r="A76" t="str">
            <v>פיר 39 (ישראל) בע"מ</v>
          </cell>
          <cell r="B76">
            <v>2006</v>
          </cell>
          <cell r="C76">
            <v>11</v>
          </cell>
          <cell r="D76">
            <v>11</v>
          </cell>
          <cell r="E76" t="str">
            <v>וייס  עפרי</v>
          </cell>
          <cell r="F76" t="str">
            <v>הנהלה</v>
          </cell>
          <cell r="G76">
            <v>0</v>
          </cell>
          <cell r="H76">
            <v>6321.59</v>
          </cell>
          <cell r="I76">
            <v>6011.59</v>
          </cell>
          <cell r="N76">
            <v>328.5</v>
          </cell>
          <cell r="R76">
            <v>6340.09</v>
          </cell>
          <cell r="W76">
            <v>0</v>
          </cell>
          <cell r="X76">
            <v>381.59</v>
          </cell>
          <cell r="Y76">
            <v>5630</v>
          </cell>
          <cell r="Z76">
            <v>167</v>
          </cell>
          <cell r="AA76">
            <v>5463</v>
          </cell>
          <cell r="AB76">
            <v>4</v>
          </cell>
          <cell r="AC76" t="str">
            <v>וייס  עפרי</v>
          </cell>
          <cell r="AD76" t="str">
            <v>הנהלה</v>
          </cell>
          <cell r="AE76">
            <v>4</v>
          </cell>
          <cell r="AF76">
            <v>11</v>
          </cell>
          <cell r="AG76">
            <v>328.5</v>
          </cell>
          <cell r="AH76">
            <v>381.59</v>
          </cell>
          <cell r="AI76">
            <v>310</v>
          </cell>
        </row>
        <row r="77">
          <cell r="A77" t="str">
            <v>פיר 39 (ישראל) בע"מ</v>
          </cell>
          <cell r="B77">
            <v>2006</v>
          </cell>
          <cell r="C77">
            <v>12</v>
          </cell>
          <cell r="D77">
            <v>11</v>
          </cell>
          <cell r="E77" t="str">
            <v>וייס  עפרי</v>
          </cell>
          <cell r="F77" t="str">
            <v>הנהלה</v>
          </cell>
          <cell r="G77">
            <v>0</v>
          </cell>
          <cell r="H77">
            <v>6396.59</v>
          </cell>
          <cell r="I77">
            <v>6011.59</v>
          </cell>
          <cell r="J77">
            <v>1850</v>
          </cell>
          <cell r="K77">
            <v>2775</v>
          </cell>
          <cell r="L77">
            <v>3078</v>
          </cell>
          <cell r="M77">
            <v>0</v>
          </cell>
          <cell r="N77">
            <v>332.76</v>
          </cell>
          <cell r="R77">
            <v>14047.35</v>
          </cell>
          <cell r="T77">
            <v>1850</v>
          </cell>
          <cell r="U77">
            <v>925</v>
          </cell>
          <cell r="W77">
            <v>0</v>
          </cell>
          <cell r="X77">
            <v>390.59</v>
          </cell>
          <cell r="Y77">
            <v>2846</v>
          </cell>
          <cell r="Z77">
            <v>307</v>
          </cell>
          <cell r="AA77">
            <v>2539</v>
          </cell>
          <cell r="AB77">
            <v>4</v>
          </cell>
          <cell r="AC77" t="str">
            <v>וייס  עפרי</v>
          </cell>
          <cell r="AD77" t="str">
            <v>הנהלה</v>
          </cell>
          <cell r="AE77">
            <v>4</v>
          </cell>
          <cell r="AF77">
            <v>12</v>
          </cell>
          <cell r="AG77">
            <v>8035.76</v>
          </cell>
          <cell r="AH77">
            <v>390.59</v>
          </cell>
          <cell r="AI77">
            <v>385</v>
          </cell>
        </row>
        <row r="78">
          <cell r="A78" t="str">
            <v>פיר 39 (ישראל) בע"מ</v>
          </cell>
          <cell r="B78">
            <v>2006</v>
          </cell>
          <cell r="C78">
            <v>6</v>
          </cell>
          <cell r="D78">
            <v>12</v>
          </cell>
          <cell r="E78" t="str">
            <v>עזריה  אליאב</v>
          </cell>
          <cell r="F78" t="str">
            <v>הנהלה</v>
          </cell>
          <cell r="G78">
            <v>0</v>
          </cell>
          <cell r="H78">
            <v>691.58</v>
          </cell>
          <cell r="I78">
            <v>691.58</v>
          </cell>
          <cell r="N78">
            <v>34.44</v>
          </cell>
          <cell r="R78">
            <v>726.02</v>
          </cell>
          <cell r="W78">
            <v>0</v>
          </cell>
          <cell r="X78">
            <v>24.21</v>
          </cell>
          <cell r="Y78">
            <v>667.37</v>
          </cell>
          <cell r="AA78">
            <v>667.37</v>
          </cell>
          <cell r="AB78">
            <v>2</v>
          </cell>
          <cell r="AC78" t="str">
            <v>עזריה  אליאב</v>
          </cell>
          <cell r="AD78" t="str">
            <v>הנהלה</v>
          </cell>
          <cell r="AE78">
            <v>2</v>
          </cell>
          <cell r="AF78">
            <v>6</v>
          </cell>
          <cell r="AG78">
            <v>34.44</v>
          </cell>
          <cell r="AH78">
            <v>24.21</v>
          </cell>
        </row>
        <row r="79">
          <cell r="A79" t="str">
            <v>פיר 39 (ישראל) בע"מ</v>
          </cell>
          <cell r="B79">
            <v>2006</v>
          </cell>
          <cell r="C79">
            <v>7</v>
          </cell>
          <cell r="D79">
            <v>12</v>
          </cell>
          <cell r="E79" t="str">
            <v>עזריה  אליאב</v>
          </cell>
          <cell r="F79" t="str">
            <v>הנהלה</v>
          </cell>
          <cell r="G79">
            <v>0</v>
          </cell>
          <cell r="H79">
            <v>2683.02</v>
          </cell>
          <cell r="I79">
            <v>2683.02</v>
          </cell>
          <cell r="N79">
            <v>133.49</v>
          </cell>
          <cell r="R79">
            <v>2816.51</v>
          </cell>
          <cell r="W79">
            <v>0</v>
          </cell>
          <cell r="X79">
            <v>94.02</v>
          </cell>
          <cell r="Y79">
            <v>2589</v>
          </cell>
          <cell r="AA79">
            <v>2589</v>
          </cell>
          <cell r="AB79">
            <v>3</v>
          </cell>
          <cell r="AC79" t="str">
            <v>עזריה  אליאב</v>
          </cell>
          <cell r="AD79" t="str">
            <v>הנהלה</v>
          </cell>
          <cell r="AE79">
            <v>3</v>
          </cell>
          <cell r="AF79">
            <v>7</v>
          </cell>
          <cell r="AG79">
            <v>133.49</v>
          </cell>
          <cell r="AH79">
            <v>94.02</v>
          </cell>
        </row>
        <row r="80">
          <cell r="A80" t="str">
            <v>פיר 39 (ישראל) בע"מ</v>
          </cell>
          <cell r="B80">
            <v>2006</v>
          </cell>
          <cell r="C80">
            <v>8</v>
          </cell>
          <cell r="D80">
            <v>12</v>
          </cell>
          <cell r="E80" t="str">
            <v>עזריה  אליאב</v>
          </cell>
          <cell r="F80" t="str">
            <v>הנהלה</v>
          </cell>
          <cell r="G80">
            <v>0</v>
          </cell>
          <cell r="H80">
            <v>497.02</v>
          </cell>
          <cell r="I80">
            <v>497.02</v>
          </cell>
          <cell r="N80">
            <v>17.62</v>
          </cell>
          <cell r="R80">
            <v>514.64</v>
          </cell>
          <cell r="W80">
            <v>0</v>
          </cell>
          <cell r="X80">
            <v>13.02</v>
          </cell>
          <cell r="Y80">
            <v>484</v>
          </cell>
          <cell r="AA80">
            <v>484</v>
          </cell>
          <cell r="AB80">
            <v>3</v>
          </cell>
          <cell r="AC80" t="str">
            <v>עזריה  אליאב</v>
          </cell>
          <cell r="AD80" t="str">
            <v>הנהלה</v>
          </cell>
          <cell r="AE80">
            <v>3</v>
          </cell>
          <cell r="AF80">
            <v>8</v>
          </cell>
          <cell r="AG80">
            <v>17.62</v>
          </cell>
          <cell r="AH80">
            <v>13.02</v>
          </cell>
        </row>
        <row r="81">
          <cell r="A81" t="str">
            <v>פיר 39 (ישראל) בע"מ</v>
          </cell>
          <cell r="B81">
            <v>2006</v>
          </cell>
          <cell r="C81">
            <v>8</v>
          </cell>
          <cell r="D81">
            <v>13</v>
          </cell>
          <cell r="E81" t="str">
            <v>מרון  ניר</v>
          </cell>
          <cell r="F81" t="str">
            <v>הנהלה</v>
          </cell>
          <cell r="G81">
            <v>0</v>
          </cell>
          <cell r="H81">
            <v>845.84</v>
          </cell>
          <cell r="I81">
            <v>845.84</v>
          </cell>
          <cell r="N81">
            <v>41.88</v>
          </cell>
          <cell r="R81">
            <v>887.72</v>
          </cell>
          <cell r="W81">
            <v>0</v>
          </cell>
          <cell r="X81">
            <v>29.84</v>
          </cell>
          <cell r="Y81">
            <v>816</v>
          </cell>
          <cell r="AA81">
            <v>816</v>
          </cell>
          <cell r="AB81">
            <v>3</v>
          </cell>
          <cell r="AC81" t="str">
            <v>מרון  ניר</v>
          </cell>
          <cell r="AD81" t="str">
            <v>הנהלה</v>
          </cell>
          <cell r="AE81">
            <v>3</v>
          </cell>
          <cell r="AF81">
            <v>8</v>
          </cell>
          <cell r="AG81">
            <v>41.88</v>
          </cell>
          <cell r="AH81">
            <v>29.84</v>
          </cell>
        </row>
        <row r="82">
          <cell r="A82" t="str">
            <v>פיר 39 (ישראל) בע"מ</v>
          </cell>
          <cell r="B82">
            <v>2006</v>
          </cell>
          <cell r="C82">
            <v>9</v>
          </cell>
          <cell r="D82">
            <v>13</v>
          </cell>
          <cell r="E82" t="str">
            <v>מרון  ניר</v>
          </cell>
          <cell r="F82" t="str">
            <v>הנהלה</v>
          </cell>
          <cell r="G82">
            <v>0</v>
          </cell>
          <cell r="H82">
            <v>3102.95</v>
          </cell>
          <cell r="I82">
            <v>2902.95</v>
          </cell>
          <cell r="N82">
            <v>154.18</v>
          </cell>
          <cell r="R82">
            <v>3057.13</v>
          </cell>
          <cell r="W82">
            <v>0</v>
          </cell>
          <cell r="X82">
            <v>108.95</v>
          </cell>
          <cell r="Y82">
            <v>2794</v>
          </cell>
          <cell r="Z82">
            <v>56</v>
          </cell>
          <cell r="AA82">
            <v>2738</v>
          </cell>
          <cell r="AB82">
            <v>3</v>
          </cell>
          <cell r="AC82" t="str">
            <v>מרון  ניר</v>
          </cell>
          <cell r="AD82" t="str">
            <v>הנהלה</v>
          </cell>
          <cell r="AE82">
            <v>3</v>
          </cell>
          <cell r="AF82">
            <v>9</v>
          </cell>
          <cell r="AG82">
            <v>154.18</v>
          </cell>
          <cell r="AH82">
            <v>108.95</v>
          </cell>
          <cell r="AI82">
            <v>200</v>
          </cell>
        </row>
        <row r="83">
          <cell r="A83" t="str">
            <v>פיר 39 (ישראל) בע"מ</v>
          </cell>
          <cell r="B83">
            <v>2006</v>
          </cell>
          <cell r="C83">
            <v>10</v>
          </cell>
          <cell r="D83">
            <v>13</v>
          </cell>
          <cell r="E83" t="str">
            <v>מרון  ניר</v>
          </cell>
          <cell r="F83" t="str">
            <v>הנהלה</v>
          </cell>
          <cell r="G83">
            <v>0</v>
          </cell>
          <cell r="H83">
            <v>2584.3200000000002</v>
          </cell>
          <cell r="I83">
            <v>2569.3200000000002</v>
          </cell>
          <cell r="N83">
            <v>128.83000000000001</v>
          </cell>
          <cell r="R83">
            <v>2698.15</v>
          </cell>
          <cell r="W83">
            <v>0</v>
          </cell>
          <cell r="X83">
            <v>90.32</v>
          </cell>
          <cell r="Y83">
            <v>2479</v>
          </cell>
          <cell r="Z83">
            <v>11</v>
          </cell>
          <cell r="AA83">
            <v>2468</v>
          </cell>
          <cell r="AB83">
            <v>4</v>
          </cell>
          <cell r="AC83" t="str">
            <v>מרון  ניר</v>
          </cell>
          <cell r="AD83" t="str">
            <v>הנהלה</v>
          </cell>
          <cell r="AE83">
            <v>4</v>
          </cell>
          <cell r="AF83">
            <v>10</v>
          </cell>
          <cell r="AG83">
            <v>128.83000000000001</v>
          </cell>
          <cell r="AH83">
            <v>90.32</v>
          </cell>
          <cell r="AI83">
            <v>15</v>
          </cell>
        </row>
        <row r="84">
          <cell r="A84" t="str">
            <v>פיר 39 (ישראל) בע"מ</v>
          </cell>
          <cell r="B84">
            <v>2006</v>
          </cell>
          <cell r="C84">
            <v>11</v>
          </cell>
          <cell r="D84">
            <v>13</v>
          </cell>
          <cell r="E84" t="str">
            <v>מרון  ניר</v>
          </cell>
          <cell r="F84" t="str">
            <v>פיתוח</v>
          </cell>
          <cell r="G84">
            <v>0</v>
          </cell>
          <cell r="H84">
            <v>2351.8000000000002</v>
          </cell>
          <cell r="I84">
            <v>2336.8000000000002</v>
          </cell>
          <cell r="N84">
            <v>116.64</v>
          </cell>
          <cell r="R84">
            <v>2453.44</v>
          </cell>
          <cell r="W84">
            <v>0</v>
          </cell>
          <cell r="X84">
            <v>82.8</v>
          </cell>
          <cell r="Y84">
            <v>2254</v>
          </cell>
          <cell r="Z84">
            <v>241</v>
          </cell>
          <cell r="AA84">
            <v>2013</v>
          </cell>
          <cell r="AB84">
            <v>4</v>
          </cell>
          <cell r="AC84" t="str">
            <v>מרון  ניר</v>
          </cell>
          <cell r="AD84" t="str">
            <v>פיתוח</v>
          </cell>
          <cell r="AE84">
            <v>4</v>
          </cell>
          <cell r="AF84">
            <v>11</v>
          </cell>
          <cell r="AG84">
            <v>116.64</v>
          </cell>
          <cell r="AH84">
            <v>82.8</v>
          </cell>
          <cell r="AI84">
            <v>15</v>
          </cell>
        </row>
        <row r="85">
          <cell r="A85" t="str">
            <v>פיר 39 (ישראל) בע"מ</v>
          </cell>
          <cell r="B85">
            <v>2006</v>
          </cell>
          <cell r="C85">
            <v>12</v>
          </cell>
          <cell r="D85">
            <v>13</v>
          </cell>
          <cell r="E85" t="str">
            <v>מרון  ניר</v>
          </cell>
          <cell r="F85" t="str">
            <v>פיתוח</v>
          </cell>
          <cell r="G85">
            <v>0</v>
          </cell>
          <cell r="H85">
            <v>2812.5</v>
          </cell>
          <cell r="I85">
            <v>2812.5</v>
          </cell>
          <cell r="N85">
            <v>140</v>
          </cell>
          <cell r="R85">
            <v>2952.5</v>
          </cell>
          <cell r="W85">
            <v>0</v>
          </cell>
          <cell r="X85">
            <v>98.5</v>
          </cell>
          <cell r="Y85">
            <v>2714</v>
          </cell>
          <cell r="Z85">
            <v>263</v>
          </cell>
          <cell r="AA85">
            <v>2451</v>
          </cell>
          <cell r="AB85">
            <v>4</v>
          </cell>
          <cell r="AC85" t="str">
            <v>מרון  ניר</v>
          </cell>
          <cell r="AD85" t="str">
            <v>פיתוח</v>
          </cell>
          <cell r="AE85">
            <v>4</v>
          </cell>
          <cell r="AF85">
            <v>12</v>
          </cell>
          <cell r="AG85">
            <v>140</v>
          </cell>
          <cell r="AH85">
            <v>98.5</v>
          </cell>
        </row>
        <row r="86">
          <cell r="A86" t="str">
            <v>פיר 39 (ישראל) בע"מ</v>
          </cell>
          <cell r="B86">
            <v>2006</v>
          </cell>
          <cell r="C86">
            <v>10</v>
          </cell>
          <cell r="D86">
            <v>14</v>
          </cell>
          <cell r="E86" t="str">
            <v>רובינזון  יערה</v>
          </cell>
          <cell r="F86" t="str">
            <v>הנהלה</v>
          </cell>
          <cell r="G86">
            <v>0</v>
          </cell>
          <cell r="H86">
            <v>847.66</v>
          </cell>
          <cell r="I86">
            <v>847.66</v>
          </cell>
          <cell r="N86">
            <v>42.22</v>
          </cell>
          <cell r="R86">
            <v>889.88</v>
          </cell>
          <cell r="W86">
            <v>0</v>
          </cell>
          <cell r="X86">
            <v>29.66</v>
          </cell>
          <cell r="Y86">
            <v>818</v>
          </cell>
          <cell r="AA86">
            <v>818</v>
          </cell>
          <cell r="AB86">
            <v>4</v>
          </cell>
          <cell r="AC86" t="str">
            <v>רובינזון  יערה</v>
          </cell>
          <cell r="AD86" t="str">
            <v>הנהלה</v>
          </cell>
          <cell r="AE86">
            <v>4</v>
          </cell>
          <cell r="AF86">
            <v>10</v>
          </cell>
          <cell r="AG86">
            <v>42.22</v>
          </cell>
          <cell r="AH86">
            <v>29.66</v>
          </cell>
        </row>
        <row r="87">
          <cell r="A87" t="str">
            <v>פיר 39 (ישראל) בע"מ</v>
          </cell>
          <cell r="B87">
            <v>2006</v>
          </cell>
          <cell r="C87">
            <v>11</v>
          </cell>
          <cell r="D87">
            <v>14</v>
          </cell>
          <cell r="E87" t="str">
            <v>רובינזון  יערה</v>
          </cell>
          <cell r="F87" t="str">
            <v>פיתוח</v>
          </cell>
          <cell r="G87">
            <v>0</v>
          </cell>
          <cell r="H87">
            <v>2774.98</v>
          </cell>
          <cell r="I87">
            <v>2774.98</v>
          </cell>
          <cell r="N87">
            <v>138.33000000000001</v>
          </cell>
          <cell r="R87">
            <v>2913.31</v>
          </cell>
          <cell r="W87">
            <v>0</v>
          </cell>
          <cell r="X87">
            <v>96.98</v>
          </cell>
          <cell r="Y87">
            <v>2678</v>
          </cell>
          <cell r="Z87">
            <v>115</v>
          </cell>
          <cell r="AA87">
            <v>2563</v>
          </cell>
          <cell r="AB87">
            <v>4</v>
          </cell>
          <cell r="AC87" t="str">
            <v>רובינזון  יערה</v>
          </cell>
          <cell r="AD87" t="str">
            <v>פיתוח</v>
          </cell>
          <cell r="AE87">
            <v>4</v>
          </cell>
          <cell r="AF87">
            <v>11</v>
          </cell>
          <cell r="AG87">
            <v>138.33000000000001</v>
          </cell>
          <cell r="AH87">
            <v>96.98</v>
          </cell>
        </row>
        <row r="88">
          <cell r="A88" t="str">
            <v>פיר 39 (ישראל) בע"מ</v>
          </cell>
          <cell r="B88">
            <v>2006</v>
          </cell>
          <cell r="C88">
            <v>12</v>
          </cell>
          <cell r="D88">
            <v>14</v>
          </cell>
          <cell r="E88" t="str">
            <v>רובינזון  יערה</v>
          </cell>
          <cell r="F88" t="str">
            <v>פיתוח</v>
          </cell>
          <cell r="G88">
            <v>0</v>
          </cell>
          <cell r="H88">
            <v>2789.46</v>
          </cell>
          <cell r="I88">
            <v>2789.46</v>
          </cell>
          <cell r="N88">
            <v>128.1</v>
          </cell>
          <cell r="R88">
            <v>2917.56</v>
          </cell>
          <cell r="W88">
            <v>0</v>
          </cell>
          <cell r="X88">
            <v>90.46</v>
          </cell>
          <cell r="Y88">
            <v>2699</v>
          </cell>
          <cell r="Z88">
            <v>35</v>
          </cell>
          <cell r="AA88">
            <v>2664</v>
          </cell>
          <cell r="AB88">
            <v>4</v>
          </cell>
          <cell r="AC88" t="str">
            <v>רובינזון  יערה</v>
          </cell>
          <cell r="AD88" t="str">
            <v>פיתוח</v>
          </cell>
          <cell r="AE88">
            <v>4</v>
          </cell>
          <cell r="AF88">
            <v>12</v>
          </cell>
          <cell r="AG88">
            <v>128.1</v>
          </cell>
          <cell r="AH88">
            <v>90.46</v>
          </cell>
        </row>
        <row r="89">
          <cell r="A89" t="str">
            <v>פיר 39 (ישראל) בע"מ</v>
          </cell>
          <cell r="B89">
            <v>2006</v>
          </cell>
          <cell r="C89">
            <v>10</v>
          </cell>
          <cell r="D89">
            <v>15</v>
          </cell>
          <cell r="E89" t="str">
            <v>ירום  מיכל</v>
          </cell>
          <cell r="F89" t="str">
            <v>הנהלה</v>
          </cell>
          <cell r="G89">
            <v>0</v>
          </cell>
          <cell r="H89">
            <v>1110.5999999999999</v>
          </cell>
          <cell r="I89">
            <v>1110.5999999999999</v>
          </cell>
          <cell r="N89">
            <v>55.58</v>
          </cell>
          <cell r="R89">
            <v>1166.18</v>
          </cell>
          <cell r="W89">
            <v>0</v>
          </cell>
          <cell r="X89">
            <v>38.6</v>
          </cell>
          <cell r="Y89">
            <v>1072</v>
          </cell>
          <cell r="AA89">
            <v>1072</v>
          </cell>
          <cell r="AB89">
            <v>4</v>
          </cell>
          <cell r="AC89" t="str">
            <v>ירום  מיכל</v>
          </cell>
          <cell r="AD89" t="str">
            <v>הנהלה</v>
          </cell>
          <cell r="AE89">
            <v>4</v>
          </cell>
          <cell r="AF89">
            <v>10</v>
          </cell>
          <cell r="AG89">
            <v>55.58</v>
          </cell>
          <cell r="AH89">
            <v>38.6</v>
          </cell>
        </row>
        <row r="90">
          <cell r="A90" t="str">
            <v>פיר 39 (ישראל) בע"מ</v>
          </cell>
          <cell r="B90">
            <v>2006</v>
          </cell>
          <cell r="C90">
            <v>11</v>
          </cell>
          <cell r="D90">
            <v>15</v>
          </cell>
          <cell r="E90" t="str">
            <v>ירום  מיכל</v>
          </cell>
          <cell r="F90" t="str">
            <v>פיתוח</v>
          </cell>
          <cell r="G90">
            <v>0</v>
          </cell>
          <cell r="H90">
            <v>4210.66</v>
          </cell>
          <cell r="I90">
            <v>4210.66</v>
          </cell>
          <cell r="N90">
            <v>209.4</v>
          </cell>
          <cell r="R90">
            <v>4420.0600000000004</v>
          </cell>
          <cell r="W90">
            <v>0</v>
          </cell>
          <cell r="X90">
            <v>147.66</v>
          </cell>
          <cell r="Y90">
            <v>4063</v>
          </cell>
          <cell r="AA90">
            <v>4063</v>
          </cell>
          <cell r="AB90">
            <v>4</v>
          </cell>
          <cell r="AC90" t="str">
            <v>ירום  מיכל</v>
          </cell>
          <cell r="AD90" t="str">
            <v>פיתוח</v>
          </cell>
          <cell r="AE90">
            <v>4</v>
          </cell>
          <cell r="AF90">
            <v>11</v>
          </cell>
          <cell r="AG90">
            <v>209.4</v>
          </cell>
          <cell r="AH90">
            <v>147.66</v>
          </cell>
        </row>
        <row r="91">
          <cell r="A91" t="str">
            <v>פיר 39 (ישראל) בע"מ</v>
          </cell>
          <cell r="B91">
            <v>2006</v>
          </cell>
          <cell r="C91">
            <v>12</v>
          </cell>
          <cell r="D91">
            <v>15</v>
          </cell>
          <cell r="E91" t="str">
            <v>ירום  מיכל</v>
          </cell>
          <cell r="F91" t="str">
            <v>פיתוח</v>
          </cell>
          <cell r="G91">
            <v>0</v>
          </cell>
          <cell r="H91">
            <v>4513.8999999999996</v>
          </cell>
          <cell r="I91">
            <v>4513.8999999999996</v>
          </cell>
          <cell r="N91">
            <v>225.6</v>
          </cell>
          <cell r="R91">
            <v>4739.5</v>
          </cell>
          <cell r="W91">
            <v>0</v>
          </cell>
          <cell r="X91">
            <v>164.9</v>
          </cell>
          <cell r="Y91">
            <v>4349</v>
          </cell>
          <cell r="AA91">
            <v>4349</v>
          </cell>
          <cell r="AB91">
            <v>4</v>
          </cell>
          <cell r="AC91" t="str">
            <v>ירום  מיכל</v>
          </cell>
          <cell r="AD91" t="str">
            <v>פיתוח</v>
          </cell>
          <cell r="AE91">
            <v>4</v>
          </cell>
          <cell r="AF91">
            <v>12</v>
          </cell>
          <cell r="AG91">
            <v>225.6</v>
          </cell>
          <cell r="AH91">
            <v>164.9</v>
          </cell>
        </row>
        <row r="92">
          <cell r="A92" t="str">
            <v>פיר 39 (ישראל) בע"מ</v>
          </cell>
          <cell r="B92">
            <v>2006</v>
          </cell>
          <cell r="C92">
            <v>10</v>
          </cell>
          <cell r="D92">
            <v>16</v>
          </cell>
          <cell r="E92" t="str">
            <v>ליפקין  אורנה</v>
          </cell>
          <cell r="F92" t="str">
            <v>הנהלה</v>
          </cell>
          <cell r="G92">
            <v>0</v>
          </cell>
          <cell r="H92">
            <v>893.68</v>
          </cell>
          <cell r="I92">
            <v>893.68</v>
          </cell>
          <cell r="N92">
            <v>44.1</v>
          </cell>
          <cell r="R92">
            <v>937.78</v>
          </cell>
          <cell r="W92">
            <v>0</v>
          </cell>
          <cell r="X92">
            <v>31.68</v>
          </cell>
          <cell r="Y92">
            <v>862</v>
          </cell>
          <cell r="AA92">
            <v>862</v>
          </cell>
          <cell r="AB92">
            <v>4</v>
          </cell>
          <cell r="AC92" t="str">
            <v>ליפקין  אורנה</v>
          </cell>
          <cell r="AD92" t="str">
            <v>הנהלה</v>
          </cell>
          <cell r="AE92">
            <v>4</v>
          </cell>
          <cell r="AF92">
            <v>10</v>
          </cell>
          <cell r="AG92">
            <v>44.1</v>
          </cell>
          <cell r="AH92">
            <v>31.68</v>
          </cell>
        </row>
        <row r="93">
          <cell r="A93" t="str">
            <v>פיר 39 (ישראל) בע"מ</v>
          </cell>
          <cell r="B93">
            <v>2006</v>
          </cell>
          <cell r="C93">
            <v>11</v>
          </cell>
          <cell r="D93">
            <v>16</v>
          </cell>
          <cell r="E93" t="str">
            <v>ליפקין  אורנה</v>
          </cell>
          <cell r="F93" t="str">
            <v>פיתוח</v>
          </cell>
          <cell r="G93">
            <v>0</v>
          </cell>
          <cell r="H93">
            <v>4548.74</v>
          </cell>
          <cell r="I93">
            <v>4548.74</v>
          </cell>
          <cell r="N93">
            <v>226.91</v>
          </cell>
          <cell r="R93">
            <v>4775.6499999999996</v>
          </cell>
          <cell r="W93">
            <v>0</v>
          </cell>
          <cell r="X93">
            <v>169.74</v>
          </cell>
          <cell r="Y93">
            <v>4379</v>
          </cell>
          <cell r="Z93">
            <v>25</v>
          </cell>
          <cell r="AA93">
            <v>4354</v>
          </cell>
          <cell r="AB93">
            <v>4</v>
          </cell>
          <cell r="AC93" t="str">
            <v>ליפקין  אורנה</v>
          </cell>
          <cell r="AD93" t="str">
            <v>פיתוח</v>
          </cell>
          <cell r="AE93">
            <v>4</v>
          </cell>
          <cell r="AF93">
            <v>11</v>
          </cell>
          <cell r="AG93">
            <v>226.91</v>
          </cell>
          <cell r="AH93">
            <v>169.74</v>
          </cell>
        </row>
        <row r="94">
          <cell r="A94" t="str">
            <v>פיר 39 (ישראל) בע"מ</v>
          </cell>
          <cell r="B94">
            <v>2006</v>
          </cell>
          <cell r="C94">
            <v>12</v>
          </cell>
          <cell r="D94">
            <v>16</v>
          </cell>
          <cell r="E94" t="str">
            <v>ליפקין  אורנה</v>
          </cell>
          <cell r="F94" t="str">
            <v>פיתוח</v>
          </cell>
          <cell r="G94">
            <v>0</v>
          </cell>
          <cell r="H94">
            <v>5193.78</v>
          </cell>
          <cell r="I94">
            <v>5193.78</v>
          </cell>
          <cell r="N94">
            <v>263.91000000000003</v>
          </cell>
          <cell r="R94">
            <v>5457.69</v>
          </cell>
          <cell r="W94">
            <v>0</v>
          </cell>
          <cell r="X94">
            <v>246.78</v>
          </cell>
          <cell r="Y94">
            <v>4947</v>
          </cell>
          <cell r="Z94">
            <v>25</v>
          </cell>
          <cell r="AA94">
            <v>4922</v>
          </cell>
          <cell r="AB94">
            <v>4</v>
          </cell>
          <cell r="AC94" t="str">
            <v>ליפקין  אורנה</v>
          </cell>
          <cell r="AD94" t="str">
            <v>פיתוח</v>
          </cell>
          <cell r="AE94">
            <v>4</v>
          </cell>
          <cell r="AF94">
            <v>12</v>
          </cell>
          <cell r="AG94">
            <v>263.91000000000003</v>
          </cell>
          <cell r="AH94">
            <v>246.78</v>
          </cell>
        </row>
        <row r="95">
          <cell r="A95" t="str">
            <v>פיר 39 (ישראל) בע"מ</v>
          </cell>
          <cell r="B95">
            <v>2006</v>
          </cell>
          <cell r="C95">
            <v>10</v>
          </cell>
          <cell r="D95">
            <v>17</v>
          </cell>
          <cell r="E95" t="str">
            <v>ועקנין  עמי</v>
          </cell>
          <cell r="F95" t="str">
            <v>הנהלה</v>
          </cell>
          <cell r="G95">
            <v>0</v>
          </cell>
          <cell r="H95">
            <v>977.7</v>
          </cell>
          <cell r="I95">
            <v>977.7</v>
          </cell>
          <cell r="N95">
            <v>48.21</v>
          </cell>
          <cell r="R95">
            <v>1025.9100000000001</v>
          </cell>
          <cell r="W95">
            <v>0</v>
          </cell>
          <cell r="X95">
            <v>34.700000000000003</v>
          </cell>
          <cell r="Y95">
            <v>943</v>
          </cell>
          <cell r="AA95">
            <v>943</v>
          </cell>
          <cell r="AB95">
            <v>4</v>
          </cell>
          <cell r="AC95" t="str">
            <v>ועקנין  עמי</v>
          </cell>
          <cell r="AD95" t="str">
            <v>הנהלה</v>
          </cell>
          <cell r="AE95">
            <v>4</v>
          </cell>
          <cell r="AF95">
            <v>10</v>
          </cell>
          <cell r="AG95">
            <v>48.21</v>
          </cell>
          <cell r="AH95">
            <v>34.700000000000003</v>
          </cell>
        </row>
        <row r="96">
          <cell r="A96" t="str">
            <v>פיר 39 (ישראל) בע"מ</v>
          </cell>
          <cell r="B96">
            <v>2006</v>
          </cell>
          <cell r="C96">
            <v>11</v>
          </cell>
          <cell r="D96">
            <v>17</v>
          </cell>
          <cell r="E96" t="str">
            <v>ועקנין  עמי</v>
          </cell>
          <cell r="F96" t="str">
            <v>פיתוח</v>
          </cell>
          <cell r="G96">
            <v>0</v>
          </cell>
          <cell r="H96">
            <v>3375.3</v>
          </cell>
          <cell r="I96">
            <v>3375.3</v>
          </cell>
          <cell r="N96">
            <v>167.92</v>
          </cell>
          <cell r="R96">
            <v>3543.22</v>
          </cell>
          <cell r="W96">
            <v>0</v>
          </cell>
          <cell r="X96">
            <v>118.3</v>
          </cell>
          <cell r="Y96">
            <v>3257</v>
          </cell>
          <cell r="Z96">
            <v>37</v>
          </cell>
          <cell r="AA96">
            <v>3220</v>
          </cell>
          <cell r="AB96">
            <v>4</v>
          </cell>
          <cell r="AC96" t="str">
            <v>ועקנין  עמי</v>
          </cell>
          <cell r="AD96" t="str">
            <v>פיתוח</v>
          </cell>
          <cell r="AE96">
            <v>4</v>
          </cell>
          <cell r="AF96">
            <v>11</v>
          </cell>
          <cell r="AG96">
            <v>167.92</v>
          </cell>
          <cell r="AH96">
            <v>118.3</v>
          </cell>
        </row>
        <row r="97">
          <cell r="A97" t="str">
            <v>פיר 39 (ישראל) בע"מ</v>
          </cell>
          <cell r="B97">
            <v>2006</v>
          </cell>
          <cell r="C97">
            <v>12</v>
          </cell>
          <cell r="D97">
            <v>17</v>
          </cell>
          <cell r="E97" t="str">
            <v>ועקנין  עמי</v>
          </cell>
          <cell r="F97" t="str">
            <v>פיתוח</v>
          </cell>
          <cell r="G97">
            <v>0</v>
          </cell>
          <cell r="H97">
            <v>3551.1</v>
          </cell>
          <cell r="I97">
            <v>3551.1</v>
          </cell>
          <cell r="N97">
            <v>177.02</v>
          </cell>
          <cell r="R97">
            <v>3728.12</v>
          </cell>
          <cell r="W97">
            <v>0</v>
          </cell>
          <cell r="X97">
            <v>124.1</v>
          </cell>
          <cell r="Y97">
            <v>3427</v>
          </cell>
          <cell r="Z97">
            <v>44</v>
          </cell>
          <cell r="AA97">
            <v>3383</v>
          </cell>
          <cell r="AB97">
            <v>4</v>
          </cell>
          <cell r="AC97" t="str">
            <v>ועקנין  עמי</v>
          </cell>
          <cell r="AD97" t="str">
            <v>פיתוח</v>
          </cell>
          <cell r="AE97">
            <v>4</v>
          </cell>
          <cell r="AF97">
            <v>12</v>
          </cell>
          <cell r="AG97">
            <v>177.02</v>
          </cell>
          <cell r="AH97">
            <v>124.1</v>
          </cell>
        </row>
        <row r="98">
          <cell r="A98" t="str">
            <v>פיר 39 (ישראל) בע"מ</v>
          </cell>
          <cell r="B98">
            <v>2006</v>
          </cell>
          <cell r="C98">
            <v>11</v>
          </cell>
          <cell r="D98">
            <v>19</v>
          </cell>
          <cell r="E98" t="str">
            <v>טפר  נעמה</v>
          </cell>
          <cell r="F98" t="str">
            <v>פיתוח</v>
          </cell>
          <cell r="G98">
            <v>0</v>
          </cell>
          <cell r="H98">
            <v>1057.3</v>
          </cell>
          <cell r="I98">
            <v>1057.3</v>
          </cell>
          <cell r="N98">
            <v>52.36</v>
          </cell>
          <cell r="R98">
            <v>1109.6600000000001</v>
          </cell>
          <cell r="W98">
            <v>0</v>
          </cell>
          <cell r="X98">
            <v>37.299999999999997</v>
          </cell>
          <cell r="Y98">
            <v>1020</v>
          </cell>
          <cell r="Z98">
            <v>16</v>
          </cell>
          <cell r="AA98">
            <v>1004</v>
          </cell>
          <cell r="AB98">
            <v>4</v>
          </cell>
          <cell r="AC98" t="str">
            <v>טפר  נעמה</v>
          </cell>
          <cell r="AD98" t="str">
            <v>פיתוח</v>
          </cell>
          <cell r="AE98">
            <v>4</v>
          </cell>
          <cell r="AF98">
            <v>11</v>
          </cell>
          <cell r="AG98">
            <v>52.36</v>
          </cell>
          <cell r="AH98">
            <v>37.299999999999997</v>
          </cell>
        </row>
        <row r="99">
          <cell r="A99" t="str">
            <v>פיר 39 (ישראל) בע"מ</v>
          </cell>
          <cell r="B99">
            <v>2006</v>
          </cell>
          <cell r="C99">
            <v>12</v>
          </cell>
          <cell r="D99">
            <v>19</v>
          </cell>
          <cell r="E99" t="str">
            <v>טפר  נעמה</v>
          </cell>
          <cell r="F99" t="str">
            <v>פיתוח</v>
          </cell>
          <cell r="G99">
            <v>0</v>
          </cell>
          <cell r="H99">
            <v>2892.58</v>
          </cell>
          <cell r="I99">
            <v>2892.58</v>
          </cell>
          <cell r="N99">
            <v>143.71</v>
          </cell>
          <cell r="R99">
            <v>3036.29</v>
          </cell>
          <cell r="W99">
            <v>0</v>
          </cell>
          <cell r="X99">
            <v>101.58</v>
          </cell>
          <cell r="Y99">
            <v>2791</v>
          </cell>
          <cell r="Z99">
            <v>36</v>
          </cell>
          <cell r="AA99">
            <v>2755</v>
          </cell>
          <cell r="AB99">
            <v>4</v>
          </cell>
          <cell r="AC99" t="str">
            <v>טפר  נעמה</v>
          </cell>
          <cell r="AD99" t="str">
            <v>פיתוח</v>
          </cell>
          <cell r="AE99">
            <v>4</v>
          </cell>
          <cell r="AF99">
            <v>12</v>
          </cell>
          <cell r="AG99">
            <v>143.71</v>
          </cell>
          <cell r="AH99">
            <v>101.58</v>
          </cell>
        </row>
        <row r="100">
          <cell r="A100" t="str">
            <v>פיר 39 (ישראל) בע"מ</v>
          </cell>
          <cell r="B100">
            <v>2006</v>
          </cell>
          <cell r="C100">
            <v>11</v>
          </cell>
          <cell r="D100">
            <v>20</v>
          </cell>
          <cell r="E100" t="str">
            <v>לוי  ששון</v>
          </cell>
          <cell r="F100" t="str">
            <v>פיתוח</v>
          </cell>
          <cell r="G100">
            <v>0</v>
          </cell>
          <cell r="H100">
            <v>5938.08</v>
          </cell>
          <cell r="I100">
            <v>5436</v>
          </cell>
          <cell r="N100">
            <v>306.27</v>
          </cell>
          <cell r="R100">
            <v>5742.27</v>
          </cell>
          <cell r="S100">
            <v>391.98</v>
          </cell>
          <cell r="W100">
            <v>0</v>
          </cell>
          <cell r="X100">
            <v>336.02</v>
          </cell>
          <cell r="Y100">
            <v>4708</v>
          </cell>
          <cell r="Z100">
            <v>25</v>
          </cell>
          <cell r="AA100">
            <v>4683</v>
          </cell>
          <cell r="AB100">
            <v>4</v>
          </cell>
          <cell r="AC100" t="str">
            <v>לוי  ששון</v>
          </cell>
          <cell r="AD100" t="str">
            <v>פיתוח</v>
          </cell>
          <cell r="AE100">
            <v>4</v>
          </cell>
          <cell r="AF100">
            <v>11</v>
          </cell>
          <cell r="AG100">
            <v>306.27</v>
          </cell>
          <cell r="AH100">
            <v>728</v>
          </cell>
          <cell r="AI100">
            <v>502.08</v>
          </cell>
        </row>
        <row r="101">
          <cell r="A101" t="str">
            <v>פיר 39 (ישראל) בע"מ</v>
          </cell>
          <cell r="B101">
            <v>2006</v>
          </cell>
          <cell r="C101">
            <v>12</v>
          </cell>
          <cell r="D101">
            <v>20</v>
          </cell>
          <cell r="E101" t="str">
            <v>לוי  ששון</v>
          </cell>
          <cell r="F101" t="str">
            <v>פיתוח</v>
          </cell>
          <cell r="G101">
            <v>0</v>
          </cell>
          <cell r="H101">
            <v>15260</v>
          </cell>
          <cell r="I101">
            <v>13600</v>
          </cell>
          <cell r="J101">
            <v>952</v>
          </cell>
          <cell r="K101">
            <v>1427</v>
          </cell>
          <cell r="L101">
            <v>1586</v>
          </cell>
          <cell r="M101">
            <v>0</v>
          </cell>
          <cell r="N101">
            <v>835.75</v>
          </cell>
          <cell r="R101">
            <v>18400.75</v>
          </cell>
          <cell r="S101">
            <v>2622.35</v>
          </cell>
          <cell r="T101">
            <v>952</v>
          </cell>
          <cell r="U101">
            <v>476</v>
          </cell>
          <cell r="X101">
            <v>1454.65</v>
          </cell>
          <cell r="Y101">
            <v>8095</v>
          </cell>
          <cell r="Z101">
            <v>226</v>
          </cell>
          <cell r="AA101">
            <v>7869</v>
          </cell>
          <cell r="AB101">
            <v>4</v>
          </cell>
          <cell r="AC101" t="str">
            <v>לוי  ששון</v>
          </cell>
          <cell r="AD101" t="str">
            <v>פיתוח</v>
          </cell>
          <cell r="AE101">
            <v>4</v>
          </cell>
          <cell r="AF101">
            <v>12</v>
          </cell>
          <cell r="AG101">
            <v>4800.75</v>
          </cell>
          <cell r="AH101">
            <v>4077</v>
          </cell>
          <cell r="AI101">
            <v>1660</v>
          </cell>
        </row>
        <row r="102">
          <cell r="A102" t="str">
            <v>פיר 39 (ישראל) בע"מ</v>
          </cell>
          <cell r="B102">
            <v>2007</v>
          </cell>
          <cell r="C102">
            <v>1</v>
          </cell>
          <cell r="D102">
            <v>1</v>
          </cell>
          <cell r="E102" t="str">
            <v>סולומון  עמיעד</v>
          </cell>
          <cell r="F102" t="str">
            <v>הנהלה</v>
          </cell>
          <cell r="G102">
            <v>0</v>
          </cell>
          <cell r="H102">
            <v>19140.05</v>
          </cell>
          <cell r="I102">
            <v>17078.45</v>
          </cell>
          <cell r="J102">
            <v>850</v>
          </cell>
          <cell r="K102">
            <v>1275</v>
          </cell>
          <cell r="L102">
            <v>1416</v>
          </cell>
          <cell r="M102">
            <v>102</v>
          </cell>
          <cell r="N102">
            <v>1017.52</v>
          </cell>
          <cell r="R102">
            <v>21738.97</v>
          </cell>
          <cell r="S102">
            <v>4438.0200000000004</v>
          </cell>
          <cell r="T102">
            <v>851</v>
          </cell>
          <cell r="U102">
            <v>425</v>
          </cell>
          <cell r="W102">
            <v>0</v>
          </cell>
          <cell r="X102">
            <v>1912.43</v>
          </cell>
          <cell r="Y102">
            <v>9452</v>
          </cell>
          <cell r="Z102">
            <v>43</v>
          </cell>
          <cell r="AA102">
            <v>9409</v>
          </cell>
          <cell r="AB102">
            <v>1</v>
          </cell>
          <cell r="AC102" t="str">
            <v>סולומון  עמיעד</v>
          </cell>
          <cell r="AD102" t="str">
            <v>הנהלה</v>
          </cell>
          <cell r="AE102">
            <v>1</v>
          </cell>
          <cell r="AF102">
            <v>1</v>
          </cell>
          <cell r="AG102">
            <v>4660.5200000000004</v>
          </cell>
          <cell r="AH102">
            <v>6350.45</v>
          </cell>
          <cell r="AI102">
            <v>2061.6</v>
          </cell>
        </row>
        <row r="103">
          <cell r="A103" t="str">
            <v>פיר 39 (ישראל) בע"מ</v>
          </cell>
          <cell r="B103">
            <v>2007</v>
          </cell>
          <cell r="C103">
            <v>1</v>
          </cell>
          <cell r="D103">
            <v>2</v>
          </cell>
          <cell r="E103" t="str">
            <v>ברקת  ניר</v>
          </cell>
          <cell r="F103" t="str">
            <v>הנהלה</v>
          </cell>
          <cell r="G103">
            <v>0</v>
          </cell>
          <cell r="H103">
            <v>19053.46</v>
          </cell>
          <cell r="I103">
            <v>17678.46</v>
          </cell>
          <cell r="N103">
            <v>1012.6</v>
          </cell>
          <cell r="R103">
            <v>18691.060000000001</v>
          </cell>
          <cell r="S103">
            <v>4532.42</v>
          </cell>
          <cell r="W103">
            <v>0</v>
          </cell>
          <cell r="X103">
            <v>1902.04</v>
          </cell>
          <cell r="Y103">
            <v>11244</v>
          </cell>
          <cell r="Z103">
            <v>89</v>
          </cell>
          <cell r="AA103">
            <v>11155</v>
          </cell>
          <cell r="AB103">
            <v>1</v>
          </cell>
          <cell r="AC103" t="str">
            <v>ברקת  ניר</v>
          </cell>
          <cell r="AD103" t="str">
            <v>הנהלה</v>
          </cell>
          <cell r="AE103">
            <v>1</v>
          </cell>
          <cell r="AF103">
            <v>1</v>
          </cell>
          <cell r="AG103">
            <v>1012.6</v>
          </cell>
          <cell r="AH103">
            <v>6434.46</v>
          </cell>
          <cell r="AI103">
            <v>1375</v>
          </cell>
        </row>
        <row r="104">
          <cell r="A104" t="str">
            <v>פיר 39 (ישראל) בע"מ</v>
          </cell>
          <cell r="B104">
            <v>2007</v>
          </cell>
          <cell r="C104">
            <v>1</v>
          </cell>
          <cell r="D104">
            <v>5</v>
          </cell>
          <cell r="E104" t="str">
            <v>רופא  גיא</v>
          </cell>
          <cell r="F104" t="str">
            <v>פיתוח</v>
          </cell>
          <cell r="G104">
            <v>0</v>
          </cell>
          <cell r="H104">
            <v>7285</v>
          </cell>
          <cell r="I104">
            <v>7000</v>
          </cell>
          <cell r="N104">
            <v>344.15</v>
          </cell>
          <cell r="R104">
            <v>7344.15</v>
          </cell>
          <cell r="S104">
            <v>659.17</v>
          </cell>
          <cell r="W104">
            <v>0</v>
          </cell>
          <cell r="X104">
            <v>489.83</v>
          </cell>
          <cell r="Y104">
            <v>5851</v>
          </cell>
          <cell r="Z104">
            <v>253</v>
          </cell>
          <cell r="AA104">
            <v>5598</v>
          </cell>
          <cell r="AB104">
            <v>1</v>
          </cell>
          <cell r="AC104" t="str">
            <v>רופא  גיא</v>
          </cell>
          <cell r="AD104" t="str">
            <v>פיתוח</v>
          </cell>
          <cell r="AE104">
            <v>1</v>
          </cell>
          <cell r="AF104">
            <v>1</v>
          </cell>
          <cell r="AG104">
            <v>344.15</v>
          </cell>
          <cell r="AH104">
            <v>1149</v>
          </cell>
          <cell r="AI104">
            <v>285</v>
          </cell>
        </row>
        <row r="105">
          <cell r="A105" t="str">
            <v>פיר 39 (ישראל) בע"מ</v>
          </cell>
          <cell r="B105">
            <v>2007</v>
          </cell>
          <cell r="C105">
            <v>1</v>
          </cell>
          <cell r="D105">
            <v>6</v>
          </cell>
          <cell r="E105" t="str">
            <v>ברקת  נעם</v>
          </cell>
          <cell r="F105" t="str">
            <v>פיתוח</v>
          </cell>
          <cell r="G105">
            <v>0</v>
          </cell>
          <cell r="H105">
            <v>2136.4499999999998</v>
          </cell>
          <cell r="I105">
            <v>2136.4499999999998</v>
          </cell>
          <cell r="N105">
            <v>47.77</v>
          </cell>
          <cell r="R105">
            <v>2184.2199999999998</v>
          </cell>
          <cell r="W105">
            <v>0</v>
          </cell>
          <cell r="X105">
            <v>40.450000000000003</v>
          </cell>
          <cell r="Y105">
            <v>2096</v>
          </cell>
          <cell r="Z105">
            <v>20</v>
          </cell>
          <cell r="AA105">
            <v>2076</v>
          </cell>
          <cell r="AB105">
            <v>1</v>
          </cell>
          <cell r="AC105" t="str">
            <v>ברקת  נעם</v>
          </cell>
          <cell r="AD105" t="str">
            <v>פיתוח</v>
          </cell>
          <cell r="AE105">
            <v>1</v>
          </cell>
          <cell r="AF105">
            <v>1</v>
          </cell>
          <cell r="AG105">
            <v>47.77</v>
          </cell>
          <cell r="AH105">
            <v>40.450000000000003</v>
          </cell>
        </row>
        <row r="106">
          <cell r="A106" t="str">
            <v>פיר 39 (ישראל) בע"מ</v>
          </cell>
          <cell r="B106">
            <v>2007</v>
          </cell>
          <cell r="C106">
            <v>1</v>
          </cell>
          <cell r="D106">
            <v>10</v>
          </cell>
          <cell r="E106" t="str">
            <v>היל  גו'ן</v>
          </cell>
          <cell r="F106" t="str">
            <v>פיתוח</v>
          </cell>
          <cell r="G106">
            <v>0</v>
          </cell>
          <cell r="H106">
            <v>1564.54</v>
          </cell>
          <cell r="I106">
            <v>1564.54</v>
          </cell>
          <cell r="N106">
            <v>64.989999999999995</v>
          </cell>
          <cell r="R106">
            <v>1629.53</v>
          </cell>
          <cell r="W106">
            <v>0</v>
          </cell>
          <cell r="X106">
            <v>54.54</v>
          </cell>
          <cell r="Y106">
            <v>1510</v>
          </cell>
          <cell r="AA106">
            <v>1510</v>
          </cell>
          <cell r="AB106">
            <v>1</v>
          </cell>
          <cell r="AC106" t="str">
            <v>היל  גו'ן</v>
          </cell>
          <cell r="AD106" t="str">
            <v>פיתוח</v>
          </cell>
          <cell r="AE106">
            <v>1</v>
          </cell>
          <cell r="AF106">
            <v>1</v>
          </cell>
          <cell r="AG106">
            <v>64.989999999999995</v>
          </cell>
          <cell r="AH106">
            <v>54.54</v>
          </cell>
        </row>
        <row r="107">
          <cell r="A107" t="str">
            <v>פיר 39 (ישראל) בע"מ</v>
          </cell>
          <cell r="B107">
            <v>2007</v>
          </cell>
          <cell r="C107">
            <v>1</v>
          </cell>
          <cell r="D107">
            <v>11</v>
          </cell>
          <cell r="E107" t="str">
            <v>וייס  עפרי</v>
          </cell>
          <cell r="F107" t="str">
            <v>הנהלה</v>
          </cell>
          <cell r="G107">
            <v>0</v>
          </cell>
          <cell r="H107">
            <v>6684.08</v>
          </cell>
          <cell r="I107">
            <v>6011.58</v>
          </cell>
          <cell r="J107">
            <v>300</v>
          </cell>
          <cell r="K107">
            <v>450</v>
          </cell>
          <cell r="L107">
            <v>499</v>
          </cell>
          <cell r="M107">
            <v>36</v>
          </cell>
          <cell r="N107">
            <v>310.16000000000003</v>
          </cell>
          <cell r="R107">
            <v>7606.74</v>
          </cell>
          <cell r="T107">
            <v>300</v>
          </cell>
          <cell r="U107">
            <v>150</v>
          </cell>
          <cell r="W107">
            <v>0</v>
          </cell>
          <cell r="X107">
            <v>417.58</v>
          </cell>
          <cell r="Y107">
            <v>5144</v>
          </cell>
          <cell r="Z107">
            <v>301</v>
          </cell>
          <cell r="AA107">
            <v>4843</v>
          </cell>
          <cell r="AB107">
            <v>1</v>
          </cell>
          <cell r="AC107" t="str">
            <v>וייס  עפרי</v>
          </cell>
          <cell r="AD107" t="str">
            <v>הנהלה</v>
          </cell>
          <cell r="AE107">
            <v>1</v>
          </cell>
          <cell r="AF107">
            <v>1</v>
          </cell>
          <cell r="AG107">
            <v>1595.16</v>
          </cell>
          <cell r="AH107">
            <v>417.58</v>
          </cell>
          <cell r="AI107">
            <v>672.5</v>
          </cell>
        </row>
        <row r="108">
          <cell r="A108" t="str">
            <v>פיר 39 (ישראל) בע"מ</v>
          </cell>
          <cell r="B108">
            <v>2007</v>
          </cell>
          <cell r="C108">
            <v>1</v>
          </cell>
          <cell r="D108">
            <v>13</v>
          </cell>
          <cell r="E108" t="str">
            <v>מרון  ניר</v>
          </cell>
          <cell r="F108" t="str">
            <v>פיתוח</v>
          </cell>
          <cell r="G108">
            <v>0</v>
          </cell>
          <cell r="H108">
            <v>3481.8</v>
          </cell>
          <cell r="I108">
            <v>3481.8</v>
          </cell>
          <cell r="N108">
            <v>144.22</v>
          </cell>
          <cell r="R108">
            <v>3626.02</v>
          </cell>
          <cell r="W108">
            <v>0</v>
          </cell>
          <cell r="X108">
            <v>121.8</v>
          </cell>
          <cell r="Y108">
            <v>3360</v>
          </cell>
          <cell r="Z108">
            <v>322</v>
          </cell>
          <cell r="AA108">
            <v>3038</v>
          </cell>
          <cell r="AB108">
            <v>1</v>
          </cell>
          <cell r="AC108" t="str">
            <v>מרון  ניר</v>
          </cell>
          <cell r="AD108" t="str">
            <v>פיתוח</v>
          </cell>
          <cell r="AE108">
            <v>1</v>
          </cell>
          <cell r="AF108">
            <v>1</v>
          </cell>
          <cell r="AG108">
            <v>144.22</v>
          </cell>
          <cell r="AH108">
            <v>121.8</v>
          </cell>
        </row>
        <row r="109">
          <cell r="A109" t="str">
            <v>פיר 39 (ישראל) בע"מ</v>
          </cell>
          <cell r="B109">
            <v>2007</v>
          </cell>
          <cell r="C109">
            <v>1</v>
          </cell>
          <cell r="D109">
            <v>15</v>
          </cell>
          <cell r="E109" t="str">
            <v>ירום  מיכל</v>
          </cell>
          <cell r="F109" t="str">
            <v>פיתוח</v>
          </cell>
          <cell r="G109">
            <v>0</v>
          </cell>
          <cell r="H109">
            <v>5393.7</v>
          </cell>
          <cell r="I109">
            <v>5393.7</v>
          </cell>
          <cell r="N109">
            <v>236.72</v>
          </cell>
          <cell r="R109">
            <v>5630.42</v>
          </cell>
          <cell r="S109">
            <v>173.82</v>
          </cell>
          <cell r="W109">
            <v>0</v>
          </cell>
          <cell r="X109">
            <v>262.88</v>
          </cell>
          <cell r="Y109">
            <v>4957</v>
          </cell>
          <cell r="AA109">
            <v>4957</v>
          </cell>
          <cell r="AB109">
            <v>1</v>
          </cell>
          <cell r="AC109" t="str">
            <v>ירום  מיכל</v>
          </cell>
          <cell r="AD109" t="str">
            <v>פיתוח</v>
          </cell>
          <cell r="AE109">
            <v>1</v>
          </cell>
          <cell r="AF109">
            <v>1</v>
          </cell>
          <cell r="AG109">
            <v>236.72</v>
          </cell>
          <cell r="AH109">
            <v>436.7</v>
          </cell>
        </row>
        <row r="110">
          <cell r="A110" t="str">
            <v>פיר 39 (ישראל) בע"מ</v>
          </cell>
          <cell r="B110">
            <v>2007</v>
          </cell>
          <cell r="C110">
            <v>1</v>
          </cell>
          <cell r="D110">
            <v>16</v>
          </cell>
          <cell r="E110" t="str">
            <v>ליפקין  אורנה</v>
          </cell>
          <cell r="F110" t="str">
            <v>פיתוח</v>
          </cell>
          <cell r="G110">
            <v>0</v>
          </cell>
          <cell r="H110">
            <v>5345.1</v>
          </cell>
          <cell r="I110">
            <v>5345.1</v>
          </cell>
          <cell r="N110">
            <v>233.96</v>
          </cell>
          <cell r="R110">
            <v>5579.06</v>
          </cell>
          <cell r="S110">
            <v>163.05000000000001</v>
          </cell>
          <cell r="W110">
            <v>0</v>
          </cell>
          <cell r="X110">
            <v>257.05</v>
          </cell>
          <cell r="Y110">
            <v>4925</v>
          </cell>
          <cell r="AA110">
            <v>4925</v>
          </cell>
          <cell r="AB110">
            <v>1</v>
          </cell>
          <cell r="AC110" t="str">
            <v>ליפקין  אורנה</v>
          </cell>
          <cell r="AD110" t="str">
            <v>פיתוח</v>
          </cell>
          <cell r="AE110">
            <v>1</v>
          </cell>
          <cell r="AF110">
            <v>1</v>
          </cell>
          <cell r="AG110">
            <v>233.96</v>
          </cell>
          <cell r="AH110">
            <v>420.1</v>
          </cell>
        </row>
        <row r="111">
          <cell r="A111" t="str">
            <v>פיר 39 (ישראל) בע"מ</v>
          </cell>
          <cell r="B111">
            <v>2007</v>
          </cell>
          <cell r="C111">
            <v>1</v>
          </cell>
          <cell r="D111">
            <v>17</v>
          </cell>
          <cell r="E111" t="str">
            <v>ועקנין  עמי</v>
          </cell>
          <cell r="F111" t="str">
            <v>פיתוח</v>
          </cell>
          <cell r="G111">
            <v>0</v>
          </cell>
          <cell r="H111">
            <v>3910.5</v>
          </cell>
          <cell r="I111">
            <v>3910.5</v>
          </cell>
          <cell r="N111">
            <v>162.26</v>
          </cell>
          <cell r="R111">
            <v>4072.76</v>
          </cell>
          <cell r="W111">
            <v>0</v>
          </cell>
          <cell r="X111">
            <v>136.5</v>
          </cell>
          <cell r="Y111">
            <v>3774</v>
          </cell>
          <cell r="Z111">
            <v>54</v>
          </cell>
          <cell r="AA111">
            <v>3720</v>
          </cell>
          <cell r="AB111">
            <v>1</v>
          </cell>
          <cell r="AC111" t="str">
            <v>ועקנין  עמי</v>
          </cell>
          <cell r="AD111" t="str">
            <v>פיתוח</v>
          </cell>
          <cell r="AE111">
            <v>1</v>
          </cell>
          <cell r="AF111">
            <v>1</v>
          </cell>
          <cell r="AG111">
            <v>162.26</v>
          </cell>
          <cell r="AH111">
            <v>136.5</v>
          </cell>
        </row>
        <row r="112">
          <cell r="A112" t="str">
            <v>פיר 39 (ישראל) בע"מ</v>
          </cell>
          <cell r="B112">
            <v>2007</v>
          </cell>
          <cell r="C112">
            <v>1</v>
          </cell>
          <cell r="D112">
            <v>19</v>
          </cell>
          <cell r="E112" t="str">
            <v>טפר  נעמה</v>
          </cell>
          <cell r="F112" t="str">
            <v>פיתוח</v>
          </cell>
          <cell r="G112">
            <v>0</v>
          </cell>
          <cell r="H112">
            <v>2080.54</v>
          </cell>
          <cell r="I112">
            <v>2080.54</v>
          </cell>
          <cell r="N112">
            <v>86.41</v>
          </cell>
          <cell r="R112">
            <v>2166.9499999999998</v>
          </cell>
          <cell r="W112">
            <v>0</v>
          </cell>
          <cell r="X112">
            <v>72.540000000000006</v>
          </cell>
          <cell r="Y112">
            <v>2008</v>
          </cell>
          <cell r="Z112">
            <v>103</v>
          </cell>
          <cell r="AA112">
            <v>1905</v>
          </cell>
          <cell r="AB112">
            <v>1</v>
          </cell>
          <cell r="AC112" t="str">
            <v>טפר  נעמה</v>
          </cell>
          <cell r="AD112" t="str">
            <v>פיתוח</v>
          </cell>
          <cell r="AE112">
            <v>1</v>
          </cell>
          <cell r="AF112">
            <v>1</v>
          </cell>
          <cell r="AG112">
            <v>86.41</v>
          </cell>
          <cell r="AH112">
            <v>72.540000000000006</v>
          </cell>
        </row>
        <row r="113">
          <cell r="A113" t="str">
            <v>פיר 39 (ישראל) בע"מ</v>
          </cell>
          <cell r="B113">
            <v>2007</v>
          </cell>
          <cell r="C113">
            <v>1</v>
          </cell>
          <cell r="D113">
            <v>20</v>
          </cell>
          <cell r="E113" t="str">
            <v>לוי  ששון</v>
          </cell>
          <cell r="F113" t="str">
            <v>פיתוח</v>
          </cell>
          <cell r="G113">
            <v>0</v>
          </cell>
          <cell r="H113">
            <v>15155</v>
          </cell>
          <cell r="I113">
            <v>13600</v>
          </cell>
          <cell r="J113">
            <v>680</v>
          </cell>
          <cell r="K113">
            <v>1020</v>
          </cell>
          <cell r="L113">
            <v>1133</v>
          </cell>
          <cell r="M113">
            <v>82</v>
          </cell>
          <cell r="N113">
            <v>791.16</v>
          </cell>
          <cell r="R113">
            <v>17306.16</v>
          </cell>
          <cell r="S113">
            <v>3015.77</v>
          </cell>
          <cell r="T113">
            <v>680</v>
          </cell>
          <cell r="U113">
            <v>340</v>
          </cell>
          <cell r="W113">
            <v>0</v>
          </cell>
          <cell r="X113">
            <v>1434.23</v>
          </cell>
          <cell r="Y113">
            <v>8130</v>
          </cell>
          <cell r="Z113">
            <v>161</v>
          </cell>
          <cell r="AA113">
            <v>7969</v>
          </cell>
          <cell r="AB113">
            <v>1</v>
          </cell>
          <cell r="AC113" t="str">
            <v>לוי  ששון</v>
          </cell>
          <cell r="AD113" t="str">
            <v>פיתוח</v>
          </cell>
          <cell r="AE113">
            <v>1</v>
          </cell>
          <cell r="AF113">
            <v>1</v>
          </cell>
          <cell r="AG113">
            <v>3706.16</v>
          </cell>
          <cell r="AH113">
            <v>4450</v>
          </cell>
          <cell r="AI113">
            <v>1555</v>
          </cell>
        </row>
        <row r="114">
          <cell r="A114" t="str">
            <v>פיר 39 (ישראל) בע"מ</v>
          </cell>
          <cell r="B114">
            <v>2007</v>
          </cell>
          <cell r="C114">
            <v>1</v>
          </cell>
          <cell r="D114">
            <v>21</v>
          </cell>
          <cell r="E114" t="str">
            <v>אופנהים  גימס</v>
          </cell>
          <cell r="F114" t="str">
            <v>פיתוח</v>
          </cell>
          <cell r="G114">
            <v>0</v>
          </cell>
          <cell r="H114">
            <v>24275</v>
          </cell>
          <cell r="I114">
            <v>23525</v>
          </cell>
          <cell r="N114">
            <v>1309.18</v>
          </cell>
          <cell r="R114">
            <v>24834.18</v>
          </cell>
          <cell r="S114">
            <v>6412.37</v>
          </cell>
          <cell r="W114">
            <v>0</v>
          </cell>
          <cell r="X114">
            <v>2528.63</v>
          </cell>
          <cell r="Y114">
            <v>14584</v>
          </cell>
          <cell r="AA114">
            <v>14584</v>
          </cell>
          <cell r="AB114">
            <v>1</v>
          </cell>
          <cell r="AC114" t="str">
            <v>אופנהים  גימס</v>
          </cell>
          <cell r="AD114" t="str">
            <v>פיתוח</v>
          </cell>
          <cell r="AE114">
            <v>1</v>
          </cell>
          <cell r="AF114">
            <v>1</v>
          </cell>
          <cell r="AG114">
            <v>1309.18</v>
          </cell>
          <cell r="AH114">
            <v>8941</v>
          </cell>
          <cell r="AI114">
            <v>750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ato 870.1001"/>
      <sheetName val="Legato 870.1001 (2)"/>
      <sheetName val="Documentum 858.1001"/>
      <sheetName val="VMWare 840.1001"/>
      <sheetName val="Barbados 1031"/>
      <sheetName val="Prisa 1045"/>
      <sheetName val="Softworks 1194"/>
      <sheetName val="Mexico 1221"/>
      <sheetName val="Chile 1481"/>
      <sheetName val="Austria 3101"/>
      <sheetName val="Belgium 3121"/>
      <sheetName val="FILEPOOL3123"/>
      <sheetName val="Finland 3141"/>
      <sheetName val="France 3161"/>
      <sheetName val="Germany 3181 "/>
      <sheetName val="Holland 3201"/>
      <sheetName val="Italy 3221"/>
      <sheetName val="Lux 3241"/>
      <sheetName val="Spain 3261"/>
      <sheetName val="Portugal 3275"/>
      <sheetName val="U.K. 3281"/>
      <sheetName val="CODE"/>
      <sheetName val="Europe Ltd.  3282"/>
      <sheetName val="Denmark 3301"/>
      <sheetName val="CRITERIA10"/>
      <sheetName val="CRITERIA11"/>
      <sheetName val="Norway 3321"/>
      <sheetName val="Sweden 3341"/>
      <sheetName val="Switzerland 3361"/>
      <sheetName val="Poland 3381"/>
      <sheetName val="Hungary 3421"/>
      <sheetName val="Greece 3441"/>
      <sheetName val="Czech 3461"/>
      <sheetName val="Israel 3601 "/>
      <sheetName val="Turkey  3621"/>
      <sheetName val="S. Africa 3801"/>
      <sheetName val="CRITERIA6"/>
      <sheetName val="CRITERIA7"/>
      <sheetName val="CRITERIA8"/>
      <sheetName val="CRITERIA9"/>
      <sheetName val="Japan 5001"/>
      <sheetName val="S Korea 5021"/>
      <sheetName val="CRITERIA3"/>
      <sheetName val="CRITERIA4"/>
      <sheetName val="Singapore 5041"/>
      <sheetName val="Malaysia 5061"/>
      <sheetName val="CRITERIA5"/>
      <sheetName val="China 5081- 5085"/>
      <sheetName val="Hong Kong 5101"/>
      <sheetName val="Australia 5121"/>
      <sheetName val="CRITERIA1"/>
      <sheetName val="N. Zealand 5141"/>
      <sheetName val="CRITERIA2"/>
      <sheetName val="India 5162"/>
      <sheetName val="Thailand 5181"/>
      <sheetName val="Taiwan 5201"/>
      <sheetName val="Philippines 5221"/>
      <sheetName val="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B1">
            <v>14</v>
          </cell>
          <cell r="D1" t="str">
            <v>Company</v>
          </cell>
          <cell r="F1" t="str">
            <v>SEGMENT1</v>
          </cell>
        </row>
        <row r="2">
          <cell r="B2" t="str">
            <v>EMC_HONG_KONG_USD</v>
          </cell>
          <cell r="D2" t="str">
            <v>Business Unit</v>
          </cell>
          <cell r="F2" t="str">
            <v>SEGMENT2</v>
          </cell>
        </row>
        <row r="3">
          <cell r="B3">
            <v>101</v>
          </cell>
          <cell r="D3" t="str">
            <v>Account</v>
          </cell>
          <cell r="F3" t="str">
            <v>SEGMENT3</v>
          </cell>
        </row>
        <row r="4">
          <cell r="B4" t="str">
            <v>EMC CALENDAR</v>
          </cell>
          <cell r="D4" t="str">
            <v>Cost Center</v>
          </cell>
          <cell r="F4" t="str">
            <v>SEGMENT4</v>
          </cell>
        </row>
        <row r="5">
          <cell r="B5">
            <v>1</v>
          </cell>
          <cell r="D5" t="str">
            <v>Intercompany</v>
          </cell>
          <cell r="F5" t="str">
            <v>SEGMENT5</v>
          </cell>
        </row>
        <row r="6">
          <cell r="B6" t="str">
            <v>GL Global Maintainer-Hong Kong</v>
          </cell>
          <cell r="D6" t="str">
            <v>Reserved1</v>
          </cell>
          <cell r="F6" t="str">
            <v>SEGMENT6</v>
          </cell>
        </row>
        <row r="7">
          <cell r="B7">
            <v>101</v>
          </cell>
          <cell r="D7" t="str">
            <v>Reserved2</v>
          </cell>
          <cell r="F7" t="str">
            <v>SEGMENT7</v>
          </cell>
        </row>
        <row r="8">
          <cell r="B8">
            <v>51209</v>
          </cell>
        </row>
        <row r="9">
          <cell r="B9" t="str">
            <v>APPS</v>
          </cell>
        </row>
        <row r="10">
          <cell r="B10" t="str">
            <v>ep01</v>
          </cell>
        </row>
        <row r="11">
          <cell r="B11" t="str">
            <v>Production</v>
          </cell>
        </row>
        <row r="12">
          <cell r="B12" t="str">
            <v>apps</v>
          </cell>
        </row>
        <row r="13">
          <cell r="B13" t="str">
            <v>applsyspub/pub</v>
          </cell>
        </row>
        <row r="14">
          <cell r="B14" t="str">
            <v>DULONS</v>
          </cell>
        </row>
        <row r="15">
          <cell r="B15">
            <v>7588</v>
          </cell>
        </row>
        <row r="17">
          <cell r="B17" t="str">
            <v>.</v>
          </cell>
        </row>
        <row r="18">
          <cell r="B18">
            <v>7</v>
          </cell>
        </row>
        <row r="19">
          <cell r="B19" t="str">
            <v>P</v>
          </cell>
        </row>
        <row r="20">
          <cell r="B20" t="str">
            <v>Y</v>
          </cell>
        </row>
        <row r="21">
          <cell r="B21" t="str">
            <v>NE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1</v>
          </cell>
        </row>
        <row r="31">
          <cell r="B31">
            <v>1</v>
          </cell>
        </row>
        <row r="32">
          <cell r="B32">
            <v>10</v>
          </cell>
        </row>
        <row r="33">
          <cell r="B33" t="str">
            <v>USD</v>
          </cell>
        </row>
        <row r="34">
          <cell r="B34" t="str">
            <v>N</v>
          </cell>
        </row>
        <row r="35">
          <cell r="B35" t="str">
            <v>N</v>
          </cell>
        </row>
        <row r="36">
          <cell r="B36" t="str">
            <v>N</v>
          </cell>
        </row>
      </sheetData>
      <sheetData sheetId="25">
        <row r="1">
          <cell r="B1">
            <v>14</v>
          </cell>
          <cell r="D1" t="str">
            <v>Company</v>
          </cell>
          <cell r="F1" t="str">
            <v>SEGMENT1</v>
          </cell>
        </row>
        <row r="2">
          <cell r="B2" t="str">
            <v>EMC_HONG_KONG_USD</v>
          </cell>
          <cell r="D2" t="str">
            <v>Business Unit</v>
          </cell>
          <cell r="F2" t="str">
            <v>SEGMENT2</v>
          </cell>
        </row>
        <row r="3">
          <cell r="B3">
            <v>101</v>
          </cell>
          <cell r="D3" t="str">
            <v>Account</v>
          </cell>
          <cell r="F3" t="str">
            <v>SEGMENT3</v>
          </cell>
        </row>
        <row r="4">
          <cell r="B4" t="str">
            <v>EMC CALENDAR</v>
          </cell>
          <cell r="D4" t="str">
            <v>Cost Center</v>
          </cell>
          <cell r="F4" t="str">
            <v>SEGMENT4</v>
          </cell>
        </row>
        <row r="5">
          <cell r="B5">
            <v>1</v>
          </cell>
          <cell r="D5" t="str">
            <v>Intercompany</v>
          </cell>
          <cell r="F5" t="str">
            <v>SEGMENT5</v>
          </cell>
        </row>
        <row r="6">
          <cell r="B6" t="str">
            <v>GL Global Maintainer-Hong Kong</v>
          </cell>
          <cell r="D6" t="str">
            <v>Reserved1</v>
          </cell>
          <cell r="F6" t="str">
            <v>SEGMENT6</v>
          </cell>
        </row>
        <row r="7">
          <cell r="B7">
            <v>101</v>
          </cell>
          <cell r="D7" t="str">
            <v>Reserved2</v>
          </cell>
          <cell r="F7" t="str">
            <v>SEGMENT7</v>
          </cell>
        </row>
        <row r="8">
          <cell r="B8">
            <v>51209</v>
          </cell>
        </row>
        <row r="9">
          <cell r="B9" t="str">
            <v>APPS</v>
          </cell>
        </row>
        <row r="10">
          <cell r="B10" t="str">
            <v>ep01</v>
          </cell>
        </row>
        <row r="11">
          <cell r="B11" t="str">
            <v>Production</v>
          </cell>
        </row>
        <row r="12">
          <cell r="B12" t="str">
            <v>apps</v>
          </cell>
        </row>
        <row r="13">
          <cell r="B13" t="str">
            <v>applsyspub/pub</v>
          </cell>
        </row>
        <row r="14">
          <cell r="B14" t="str">
            <v>DULONS</v>
          </cell>
        </row>
        <row r="15">
          <cell r="B15">
            <v>7588</v>
          </cell>
        </row>
        <row r="17">
          <cell r="B17" t="str">
            <v>.</v>
          </cell>
        </row>
        <row r="18">
          <cell r="B18">
            <v>7</v>
          </cell>
        </row>
        <row r="19">
          <cell r="B19" t="str">
            <v>P</v>
          </cell>
        </row>
        <row r="20">
          <cell r="B20" t="str">
            <v>Y</v>
          </cell>
        </row>
        <row r="21">
          <cell r="B21" t="str">
            <v>NE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1</v>
          </cell>
        </row>
        <row r="31">
          <cell r="B31">
            <v>1</v>
          </cell>
        </row>
        <row r="32">
          <cell r="B32">
            <v>11</v>
          </cell>
        </row>
        <row r="33">
          <cell r="B33" t="str">
            <v>USD</v>
          </cell>
        </row>
        <row r="34">
          <cell r="B34" t="str">
            <v>N</v>
          </cell>
        </row>
        <row r="35">
          <cell r="B35" t="str">
            <v>N</v>
          </cell>
        </row>
        <row r="36">
          <cell r="B36" t="str">
            <v>N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">
          <cell r="B1">
            <v>31</v>
          </cell>
          <cell r="D1" t="str">
            <v>Company</v>
          </cell>
          <cell r="F1" t="str">
            <v>SEGMENT1</v>
          </cell>
        </row>
        <row r="2">
          <cell r="B2" t="str">
            <v>EMC_USA_USD</v>
          </cell>
          <cell r="D2" t="str">
            <v>Business Unit</v>
          </cell>
          <cell r="F2" t="str">
            <v>SEGMENT2</v>
          </cell>
        </row>
        <row r="3">
          <cell r="B3">
            <v>101</v>
          </cell>
          <cell r="D3" t="str">
            <v>Account</v>
          </cell>
          <cell r="F3" t="str">
            <v>SEGMENT3</v>
          </cell>
        </row>
        <row r="4">
          <cell r="B4" t="str">
            <v>EMC CALENDAR</v>
          </cell>
          <cell r="D4" t="str">
            <v>Cost Center</v>
          </cell>
          <cell r="F4" t="str">
            <v>SEGMENT4</v>
          </cell>
        </row>
        <row r="5">
          <cell r="B5">
            <v>1</v>
          </cell>
          <cell r="D5" t="str">
            <v>Intercompany</v>
          </cell>
          <cell r="F5" t="str">
            <v>SEGMENT5</v>
          </cell>
        </row>
        <row r="6">
          <cell r="B6" t="str">
            <v>GL Journal Entry Processor-USA</v>
          </cell>
          <cell r="D6" t="str">
            <v>Reserved1</v>
          </cell>
          <cell r="F6" t="str">
            <v>SEGMENT6</v>
          </cell>
        </row>
        <row r="7">
          <cell r="B7">
            <v>101</v>
          </cell>
          <cell r="D7" t="str">
            <v>Reserved2</v>
          </cell>
          <cell r="F7" t="str">
            <v>SEGMENT7</v>
          </cell>
        </row>
        <row r="8">
          <cell r="B8">
            <v>51791</v>
          </cell>
        </row>
        <row r="9">
          <cell r="B9" t="str">
            <v>APPS</v>
          </cell>
        </row>
        <row r="10">
          <cell r="B10" t="str">
            <v>ep01</v>
          </cell>
        </row>
        <row r="11">
          <cell r="B11" t="str">
            <v>Production</v>
          </cell>
        </row>
        <row r="12">
          <cell r="B12" t="str">
            <v>apps</v>
          </cell>
        </row>
        <row r="13">
          <cell r="B13" t="str">
            <v>applsyspub/pub</v>
          </cell>
        </row>
        <row r="14">
          <cell r="B14" t="str">
            <v>asadekpatt</v>
          </cell>
        </row>
        <row r="15">
          <cell r="B15">
            <v>3998</v>
          </cell>
        </row>
        <row r="17">
          <cell r="B17" t="str">
            <v>.</v>
          </cell>
        </row>
        <row r="18">
          <cell r="B18">
            <v>7</v>
          </cell>
        </row>
        <row r="19">
          <cell r="B19" t="str">
            <v>P</v>
          </cell>
        </row>
        <row r="20">
          <cell r="B20" t="str">
            <v>Y</v>
          </cell>
        </row>
        <row r="21">
          <cell r="B21" t="str">
            <v>NE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1</v>
          </cell>
        </row>
        <row r="31">
          <cell r="B31">
            <v>1</v>
          </cell>
        </row>
        <row r="32">
          <cell r="B32">
            <v>6</v>
          </cell>
        </row>
        <row r="33">
          <cell r="B33" t="str">
            <v>USD</v>
          </cell>
        </row>
        <row r="34">
          <cell r="B34" t="str">
            <v>N</v>
          </cell>
        </row>
        <row r="35">
          <cell r="B35" t="str">
            <v>N</v>
          </cell>
        </row>
        <row r="36">
          <cell r="B36" t="str">
            <v>N</v>
          </cell>
        </row>
      </sheetData>
      <sheetData sheetId="37">
        <row r="1">
          <cell r="B1">
            <v>31</v>
          </cell>
          <cell r="D1" t="str">
            <v>Company</v>
          </cell>
          <cell r="F1" t="str">
            <v>SEGMENT1</v>
          </cell>
        </row>
        <row r="2">
          <cell r="B2" t="str">
            <v>EMC_USA_USD</v>
          </cell>
          <cell r="D2" t="str">
            <v>Business Unit</v>
          </cell>
          <cell r="F2" t="str">
            <v>SEGMENT2</v>
          </cell>
        </row>
        <row r="3">
          <cell r="B3">
            <v>101</v>
          </cell>
          <cell r="D3" t="str">
            <v>Account</v>
          </cell>
          <cell r="F3" t="str">
            <v>SEGMENT3</v>
          </cell>
        </row>
        <row r="4">
          <cell r="B4" t="str">
            <v>EMC CALENDAR</v>
          </cell>
          <cell r="D4" t="str">
            <v>Cost Center</v>
          </cell>
          <cell r="F4" t="str">
            <v>SEGMENT4</v>
          </cell>
        </row>
        <row r="5">
          <cell r="B5">
            <v>1</v>
          </cell>
          <cell r="D5" t="str">
            <v>Intercompany</v>
          </cell>
          <cell r="F5" t="str">
            <v>SEGMENT5</v>
          </cell>
        </row>
        <row r="6">
          <cell r="B6" t="str">
            <v>GL Journal Entry Processor-USA</v>
          </cell>
          <cell r="D6" t="str">
            <v>Reserved1</v>
          </cell>
          <cell r="F6" t="str">
            <v>SEGMENT6</v>
          </cell>
        </row>
        <row r="7">
          <cell r="B7">
            <v>101</v>
          </cell>
          <cell r="D7" t="str">
            <v>Reserved2</v>
          </cell>
          <cell r="F7" t="str">
            <v>SEGMENT7</v>
          </cell>
        </row>
        <row r="8">
          <cell r="B8">
            <v>51791</v>
          </cell>
        </row>
        <row r="9">
          <cell r="B9" t="str">
            <v>APPS</v>
          </cell>
        </row>
        <row r="10">
          <cell r="B10" t="str">
            <v>ep01</v>
          </cell>
        </row>
        <row r="11">
          <cell r="B11" t="str">
            <v>Production</v>
          </cell>
        </row>
        <row r="12">
          <cell r="B12" t="str">
            <v>apps</v>
          </cell>
        </row>
        <row r="13">
          <cell r="B13" t="str">
            <v>applsyspub/pub</v>
          </cell>
        </row>
        <row r="14">
          <cell r="B14" t="str">
            <v>asadekpatt</v>
          </cell>
        </row>
        <row r="15">
          <cell r="B15">
            <v>3998</v>
          </cell>
        </row>
        <row r="17">
          <cell r="B17" t="str">
            <v>.</v>
          </cell>
        </row>
        <row r="18">
          <cell r="B18">
            <v>7</v>
          </cell>
        </row>
        <row r="19">
          <cell r="B19" t="str">
            <v>P</v>
          </cell>
        </row>
        <row r="20">
          <cell r="B20" t="str">
            <v>Y</v>
          </cell>
        </row>
        <row r="21">
          <cell r="B21" t="str">
            <v>NE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1</v>
          </cell>
        </row>
        <row r="31">
          <cell r="B31">
            <v>1</v>
          </cell>
        </row>
        <row r="32">
          <cell r="B32">
            <v>7</v>
          </cell>
        </row>
        <row r="33">
          <cell r="B33" t="str">
            <v>USD</v>
          </cell>
        </row>
        <row r="34">
          <cell r="B34" t="str">
            <v>N</v>
          </cell>
        </row>
        <row r="35">
          <cell r="B35" t="str">
            <v>N</v>
          </cell>
        </row>
        <row r="36">
          <cell r="B36" t="str">
            <v>N</v>
          </cell>
        </row>
      </sheetData>
      <sheetData sheetId="38">
        <row r="1">
          <cell r="B1">
            <v>31</v>
          </cell>
          <cell r="D1" t="str">
            <v>Company</v>
          </cell>
          <cell r="F1" t="str">
            <v>SEGMENT1</v>
          </cell>
        </row>
        <row r="2">
          <cell r="B2" t="str">
            <v>EMC_USA_USD</v>
          </cell>
          <cell r="D2" t="str">
            <v>Business Unit</v>
          </cell>
          <cell r="F2" t="str">
            <v>SEGMENT2</v>
          </cell>
        </row>
        <row r="3">
          <cell r="B3">
            <v>101</v>
          </cell>
          <cell r="D3" t="str">
            <v>Account</v>
          </cell>
          <cell r="F3" t="str">
            <v>SEGMENT3</v>
          </cell>
        </row>
        <row r="4">
          <cell r="B4" t="str">
            <v>EMC CALENDAR</v>
          </cell>
          <cell r="D4" t="str">
            <v>Cost Center</v>
          </cell>
          <cell r="F4" t="str">
            <v>SEGMENT4</v>
          </cell>
        </row>
        <row r="5">
          <cell r="B5">
            <v>1</v>
          </cell>
          <cell r="D5" t="str">
            <v>Intercompany</v>
          </cell>
          <cell r="F5" t="str">
            <v>SEGMENT5</v>
          </cell>
        </row>
        <row r="6">
          <cell r="B6" t="str">
            <v>GL Journal Entry Processor-USA</v>
          </cell>
          <cell r="D6" t="str">
            <v>Reserved1</v>
          </cell>
          <cell r="F6" t="str">
            <v>SEGMENT6</v>
          </cell>
        </row>
        <row r="7">
          <cell r="B7">
            <v>101</v>
          </cell>
          <cell r="D7" t="str">
            <v>Reserved2</v>
          </cell>
          <cell r="F7" t="str">
            <v>SEGMENT7</v>
          </cell>
        </row>
        <row r="8">
          <cell r="B8">
            <v>51791</v>
          </cell>
        </row>
        <row r="9">
          <cell r="B9" t="str">
            <v>APPS</v>
          </cell>
        </row>
        <row r="10">
          <cell r="B10" t="str">
            <v>ep01</v>
          </cell>
        </row>
        <row r="11">
          <cell r="B11" t="str">
            <v>Production</v>
          </cell>
        </row>
        <row r="12">
          <cell r="B12" t="str">
            <v>apps</v>
          </cell>
        </row>
        <row r="13">
          <cell r="B13" t="str">
            <v>applsyspub/pub</v>
          </cell>
        </row>
        <row r="14">
          <cell r="B14" t="str">
            <v>asadekpatt</v>
          </cell>
        </row>
        <row r="15">
          <cell r="B15">
            <v>3998</v>
          </cell>
        </row>
        <row r="17">
          <cell r="B17" t="str">
            <v>.</v>
          </cell>
        </row>
        <row r="18">
          <cell r="B18">
            <v>7</v>
          </cell>
        </row>
        <row r="19">
          <cell r="B19" t="str">
            <v>P</v>
          </cell>
        </row>
        <row r="20">
          <cell r="B20" t="str">
            <v>Y</v>
          </cell>
        </row>
        <row r="21">
          <cell r="B21" t="str">
            <v>NE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1</v>
          </cell>
        </row>
        <row r="31">
          <cell r="B31">
            <v>1</v>
          </cell>
        </row>
        <row r="32">
          <cell r="B32">
            <v>8</v>
          </cell>
        </row>
        <row r="33">
          <cell r="B33" t="str">
            <v>USD</v>
          </cell>
        </row>
        <row r="34">
          <cell r="B34" t="str">
            <v>N</v>
          </cell>
        </row>
        <row r="35">
          <cell r="B35" t="str">
            <v>N</v>
          </cell>
        </row>
        <row r="36">
          <cell r="B36" t="str">
            <v>N</v>
          </cell>
        </row>
      </sheetData>
      <sheetData sheetId="39">
        <row r="1">
          <cell r="B1">
            <v>31</v>
          </cell>
          <cell r="D1" t="str">
            <v>Company</v>
          </cell>
          <cell r="F1" t="str">
            <v>SEGMENT1</v>
          </cell>
        </row>
        <row r="2">
          <cell r="B2" t="str">
            <v>EMC_USA_USD</v>
          </cell>
          <cell r="D2" t="str">
            <v>Business Unit</v>
          </cell>
          <cell r="F2" t="str">
            <v>SEGMENT2</v>
          </cell>
        </row>
        <row r="3">
          <cell r="B3">
            <v>101</v>
          </cell>
          <cell r="D3" t="str">
            <v>Account</v>
          </cell>
          <cell r="F3" t="str">
            <v>SEGMENT3</v>
          </cell>
        </row>
        <row r="4">
          <cell r="B4" t="str">
            <v>EMC CALENDAR</v>
          </cell>
          <cell r="D4" t="str">
            <v>Cost Center</v>
          </cell>
          <cell r="F4" t="str">
            <v>SEGMENT4</v>
          </cell>
        </row>
        <row r="5">
          <cell r="B5">
            <v>1</v>
          </cell>
          <cell r="D5" t="str">
            <v>Intercompany</v>
          </cell>
          <cell r="F5" t="str">
            <v>SEGMENT5</v>
          </cell>
        </row>
        <row r="6">
          <cell r="B6" t="str">
            <v>GL Journal Entry Processor-USA</v>
          </cell>
          <cell r="D6" t="str">
            <v>Reserved1</v>
          </cell>
          <cell r="F6" t="str">
            <v>SEGMENT6</v>
          </cell>
        </row>
        <row r="7">
          <cell r="B7">
            <v>101</v>
          </cell>
          <cell r="D7" t="str">
            <v>Reserved2</v>
          </cell>
          <cell r="F7" t="str">
            <v>SEGMENT7</v>
          </cell>
        </row>
        <row r="8">
          <cell r="B8">
            <v>51791</v>
          </cell>
        </row>
        <row r="9">
          <cell r="B9" t="str">
            <v>APPS</v>
          </cell>
        </row>
        <row r="10">
          <cell r="B10" t="str">
            <v>ep01</v>
          </cell>
        </row>
        <row r="11">
          <cell r="B11" t="str">
            <v>Production</v>
          </cell>
        </row>
        <row r="12">
          <cell r="B12" t="str">
            <v>apps</v>
          </cell>
        </row>
        <row r="13">
          <cell r="B13" t="str">
            <v>applsyspub/pub</v>
          </cell>
        </row>
        <row r="14">
          <cell r="B14" t="str">
            <v>asadekpatt</v>
          </cell>
        </row>
        <row r="15">
          <cell r="B15">
            <v>3998</v>
          </cell>
        </row>
        <row r="17">
          <cell r="B17" t="str">
            <v>.</v>
          </cell>
        </row>
        <row r="18">
          <cell r="B18">
            <v>7</v>
          </cell>
        </row>
        <row r="19">
          <cell r="B19" t="str">
            <v>P</v>
          </cell>
        </row>
        <row r="20">
          <cell r="B20" t="str">
            <v>Y</v>
          </cell>
        </row>
        <row r="21">
          <cell r="B21" t="str">
            <v>NE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1</v>
          </cell>
        </row>
        <row r="31">
          <cell r="B31">
            <v>1</v>
          </cell>
        </row>
        <row r="32">
          <cell r="B32">
            <v>9</v>
          </cell>
        </row>
        <row r="33">
          <cell r="B33" t="str">
            <v>USD</v>
          </cell>
        </row>
        <row r="34">
          <cell r="B34" t="str">
            <v>N</v>
          </cell>
        </row>
        <row r="35">
          <cell r="B35" t="str">
            <v>N</v>
          </cell>
        </row>
        <row r="36">
          <cell r="B36" t="str">
            <v>N</v>
          </cell>
        </row>
      </sheetData>
      <sheetData sheetId="40" refreshError="1"/>
      <sheetData sheetId="41" refreshError="1"/>
      <sheetData sheetId="42">
        <row r="1">
          <cell r="B1">
            <v>31</v>
          </cell>
          <cell r="D1" t="str">
            <v>Company</v>
          </cell>
          <cell r="F1" t="str">
            <v>SEGMENT1</v>
          </cell>
        </row>
        <row r="2">
          <cell r="B2" t="str">
            <v>EMC_USA_USD</v>
          </cell>
          <cell r="D2" t="str">
            <v>Business Unit</v>
          </cell>
          <cell r="F2" t="str">
            <v>SEGMENT2</v>
          </cell>
        </row>
        <row r="3">
          <cell r="B3">
            <v>101</v>
          </cell>
          <cell r="D3" t="str">
            <v>Account</v>
          </cell>
          <cell r="F3" t="str">
            <v>SEGMENT3</v>
          </cell>
        </row>
        <row r="4">
          <cell r="B4" t="str">
            <v>EMC CALENDAR</v>
          </cell>
          <cell r="D4" t="str">
            <v>Cost Center</v>
          </cell>
          <cell r="F4" t="str">
            <v>SEGMENT4</v>
          </cell>
        </row>
        <row r="5">
          <cell r="B5">
            <v>1</v>
          </cell>
          <cell r="D5" t="str">
            <v>Intercompany</v>
          </cell>
          <cell r="F5" t="str">
            <v>SEGMENT5</v>
          </cell>
        </row>
        <row r="6">
          <cell r="B6" t="str">
            <v>GL Closer-USA</v>
          </cell>
          <cell r="D6" t="str">
            <v>Reserved1</v>
          </cell>
          <cell r="F6" t="str">
            <v>SEGMENT6</v>
          </cell>
        </row>
        <row r="7">
          <cell r="B7">
            <v>101</v>
          </cell>
          <cell r="D7" t="str">
            <v>Reserved2</v>
          </cell>
          <cell r="F7" t="str">
            <v>SEGMENT7</v>
          </cell>
        </row>
        <row r="8">
          <cell r="B8">
            <v>52036</v>
          </cell>
        </row>
        <row r="9">
          <cell r="B9" t="str">
            <v>APPS</v>
          </cell>
        </row>
        <row r="10">
          <cell r="B10" t="str">
            <v>EP01</v>
          </cell>
        </row>
        <row r="11">
          <cell r="B11" t="str">
            <v>Production</v>
          </cell>
        </row>
        <row r="12">
          <cell r="B12" t="str">
            <v>apps</v>
          </cell>
        </row>
        <row r="13">
          <cell r="B13" t="str">
            <v>applsyspub/pub</v>
          </cell>
        </row>
        <row r="14">
          <cell r="B14" t="str">
            <v>LEVERC1</v>
          </cell>
        </row>
        <row r="15">
          <cell r="B15">
            <v>8772</v>
          </cell>
        </row>
        <row r="17">
          <cell r="B17" t="str">
            <v>.</v>
          </cell>
        </row>
        <row r="18">
          <cell r="B18">
            <v>7</v>
          </cell>
        </row>
        <row r="19">
          <cell r="B19" t="str">
            <v>P</v>
          </cell>
        </row>
        <row r="20">
          <cell r="B20" t="str">
            <v>Y</v>
          </cell>
        </row>
        <row r="21">
          <cell r="B21" t="str">
            <v>NE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1</v>
          </cell>
        </row>
        <row r="31">
          <cell r="B31">
            <v>1</v>
          </cell>
        </row>
        <row r="32">
          <cell r="B32">
            <v>3</v>
          </cell>
        </row>
        <row r="33">
          <cell r="B33" t="str">
            <v>USD</v>
          </cell>
        </row>
        <row r="34">
          <cell r="B34" t="str">
            <v>N</v>
          </cell>
        </row>
        <row r="35">
          <cell r="B35" t="str">
            <v>N</v>
          </cell>
        </row>
        <row r="36">
          <cell r="B36" t="str">
            <v>N</v>
          </cell>
        </row>
      </sheetData>
      <sheetData sheetId="43">
        <row r="1">
          <cell r="B1">
            <v>31</v>
          </cell>
          <cell r="D1" t="str">
            <v>Company</v>
          </cell>
          <cell r="F1" t="str">
            <v>SEGMENT1</v>
          </cell>
        </row>
        <row r="2">
          <cell r="B2" t="str">
            <v>EMC_USA_USD</v>
          </cell>
          <cell r="D2" t="str">
            <v>Business Unit</v>
          </cell>
          <cell r="F2" t="str">
            <v>SEGMENT2</v>
          </cell>
        </row>
        <row r="3">
          <cell r="B3">
            <v>101</v>
          </cell>
          <cell r="D3" t="str">
            <v>Account</v>
          </cell>
          <cell r="F3" t="str">
            <v>SEGMENT3</v>
          </cell>
        </row>
        <row r="4">
          <cell r="B4" t="str">
            <v>EMC CALENDAR</v>
          </cell>
          <cell r="D4" t="str">
            <v>Cost Center</v>
          </cell>
          <cell r="F4" t="str">
            <v>SEGMENT4</v>
          </cell>
        </row>
        <row r="5">
          <cell r="B5">
            <v>1</v>
          </cell>
          <cell r="D5" t="str">
            <v>Intercompany</v>
          </cell>
          <cell r="F5" t="str">
            <v>SEGMENT5</v>
          </cell>
        </row>
        <row r="6">
          <cell r="B6" t="str">
            <v>GL Closer-USA</v>
          </cell>
          <cell r="D6" t="str">
            <v>Reserved1</v>
          </cell>
          <cell r="F6" t="str">
            <v>SEGMENT6</v>
          </cell>
        </row>
        <row r="7">
          <cell r="B7">
            <v>101</v>
          </cell>
          <cell r="D7" t="str">
            <v>Reserved2</v>
          </cell>
          <cell r="F7" t="str">
            <v>SEGMENT7</v>
          </cell>
        </row>
        <row r="8">
          <cell r="B8">
            <v>52036</v>
          </cell>
        </row>
        <row r="9">
          <cell r="B9" t="str">
            <v>APPS</v>
          </cell>
        </row>
        <row r="10">
          <cell r="B10" t="str">
            <v>EP01</v>
          </cell>
        </row>
        <row r="11">
          <cell r="B11" t="str">
            <v>Production</v>
          </cell>
        </row>
        <row r="12">
          <cell r="B12" t="str">
            <v>apps</v>
          </cell>
        </row>
        <row r="13">
          <cell r="B13" t="str">
            <v>applsyspub/pub</v>
          </cell>
        </row>
        <row r="14">
          <cell r="B14" t="str">
            <v>LEVERC1</v>
          </cell>
        </row>
        <row r="15">
          <cell r="B15">
            <v>8772</v>
          </cell>
        </row>
        <row r="17">
          <cell r="B17" t="str">
            <v>.</v>
          </cell>
        </row>
        <row r="18">
          <cell r="B18">
            <v>7</v>
          </cell>
        </row>
        <row r="19">
          <cell r="B19" t="str">
            <v>P</v>
          </cell>
        </row>
        <row r="20">
          <cell r="B20" t="str">
            <v>Y</v>
          </cell>
        </row>
        <row r="21">
          <cell r="B21" t="str">
            <v>NE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1</v>
          </cell>
        </row>
        <row r="31">
          <cell r="B31">
            <v>1</v>
          </cell>
        </row>
        <row r="32">
          <cell r="B32">
            <v>4</v>
          </cell>
        </row>
        <row r="33">
          <cell r="B33" t="str">
            <v>USD</v>
          </cell>
        </row>
        <row r="34">
          <cell r="B34" t="str">
            <v>N</v>
          </cell>
        </row>
        <row r="35">
          <cell r="B35" t="str">
            <v>N</v>
          </cell>
        </row>
        <row r="36">
          <cell r="B36" t="str">
            <v>N</v>
          </cell>
        </row>
      </sheetData>
      <sheetData sheetId="44" refreshError="1"/>
      <sheetData sheetId="45" refreshError="1"/>
      <sheetData sheetId="46">
        <row r="1">
          <cell r="B1">
            <v>31</v>
          </cell>
          <cell r="D1" t="str">
            <v>Company</v>
          </cell>
          <cell r="F1" t="str">
            <v>SEGMENT1</v>
          </cell>
        </row>
        <row r="2">
          <cell r="B2" t="str">
            <v>EMC_USA_USD</v>
          </cell>
          <cell r="D2" t="str">
            <v>Business Unit</v>
          </cell>
          <cell r="F2" t="str">
            <v>SEGMENT2</v>
          </cell>
        </row>
        <row r="3">
          <cell r="B3">
            <v>101</v>
          </cell>
          <cell r="D3" t="str">
            <v>Account</v>
          </cell>
          <cell r="F3" t="str">
            <v>SEGMENT3</v>
          </cell>
        </row>
        <row r="4">
          <cell r="B4" t="str">
            <v>EMC CALENDAR</v>
          </cell>
          <cell r="D4" t="str">
            <v>Cost Center</v>
          </cell>
          <cell r="F4" t="str">
            <v>SEGMENT4</v>
          </cell>
        </row>
        <row r="5">
          <cell r="B5">
            <v>1</v>
          </cell>
          <cell r="D5" t="str">
            <v>Intercompany</v>
          </cell>
          <cell r="F5" t="str">
            <v>SEGMENT5</v>
          </cell>
        </row>
        <row r="6">
          <cell r="B6" t="str">
            <v>GL Closer-USA</v>
          </cell>
          <cell r="D6" t="str">
            <v>Reserved1</v>
          </cell>
          <cell r="F6" t="str">
            <v>SEGMENT6</v>
          </cell>
        </row>
        <row r="7">
          <cell r="B7">
            <v>101</v>
          </cell>
          <cell r="D7" t="str">
            <v>Reserved2</v>
          </cell>
          <cell r="F7" t="str">
            <v>SEGMENT7</v>
          </cell>
        </row>
        <row r="8">
          <cell r="B8">
            <v>52036</v>
          </cell>
        </row>
        <row r="9">
          <cell r="B9" t="str">
            <v>APPS</v>
          </cell>
        </row>
        <row r="10">
          <cell r="B10" t="str">
            <v>EP01</v>
          </cell>
        </row>
        <row r="11">
          <cell r="B11" t="str">
            <v>Production</v>
          </cell>
        </row>
        <row r="12">
          <cell r="B12" t="str">
            <v>apps</v>
          </cell>
        </row>
        <row r="13">
          <cell r="B13" t="str">
            <v>applsyspub/pub</v>
          </cell>
        </row>
        <row r="14">
          <cell r="B14" t="str">
            <v>LEVERC1</v>
          </cell>
        </row>
        <row r="15">
          <cell r="B15">
            <v>8772</v>
          </cell>
        </row>
        <row r="17">
          <cell r="B17" t="str">
            <v>.</v>
          </cell>
        </row>
        <row r="18">
          <cell r="B18">
            <v>7</v>
          </cell>
        </row>
        <row r="19">
          <cell r="B19" t="str">
            <v>P</v>
          </cell>
        </row>
        <row r="20">
          <cell r="B20" t="str">
            <v>Y</v>
          </cell>
        </row>
        <row r="21">
          <cell r="B21" t="str">
            <v>NE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1</v>
          </cell>
        </row>
        <row r="31">
          <cell r="B31">
            <v>1</v>
          </cell>
        </row>
        <row r="32">
          <cell r="B32">
            <v>5</v>
          </cell>
        </row>
        <row r="33">
          <cell r="B33" t="str">
            <v>USD</v>
          </cell>
        </row>
        <row r="34">
          <cell r="B34" t="str">
            <v>N</v>
          </cell>
        </row>
        <row r="35">
          <cell r="B35" t="str">
            <v>N</v>
          </cell>
        </row>
        <row r="36">
          <cell r="B36" t="str">
            <v>N</v>
          </cell>
        </row>
      </sheetData>
      <sheetData sheetId="47" refreshError="1"/>
      <sheetData sheetId="48" refreshError="1"/>
      <sheetData sheetId="49"/>
      <sheetData sheetId="50">
        <row r="1">
          <cell r="B1">
            <v>31</v>
          </cell>
          <cell r="D1" t="str">
            <v>Company</v>
          </cell>
          <cell r="F1" t="str">
            <v>SEGMENT1</v>
          </cell>
        </row>
        <row r="2">
          <cell r="B2" t="str">
            <v>EMC_USA_USD</v>
          </cell>
          <cell r="D2" t="str">
            <v>Business Unit</v>
          </cell>
          <cell r="F2" t="str">
            <v>SEGMENT2</v>
          </cell>
        </row>
        <row r="3">
          <cell r="B3">
            <v>101</v>
          </cell>
          <cell r="D3" t="str">
            <v>Account</v>
          </cell>
          <cell r="F3" t="str">
            <v>SEGMENT3</v>
          </cell>
        </row>
        <row r="4">
          <cell r="B4" t="str">
            <v>EMC CALENDAR</v>
          </cell>
          <cell r="D4" t="str">
            <v>Cost Center</v>
          </cell>
          <cell r="F4" t="str">
            <v>SEGMENT4</v>
          </cell>
        </row>
        <row r="5">
          <cell r="B5">
            <v>1</v>
          </cell>
          <cell r="D5" t="str">
            <v>Intercompany</v>
          </cell>
          <cell r="F5" t="str">
            <v>SEGMENT5</v>
          </cell>
        </row>
        <row r="6">
          <cell r="B6" t="str">
            <v>AP Inquiry-USA</v>
          </cell>
          <cell r="D6" t="str">
            <v>Reserved1</v>
          </cell>
          <cell r="F6" t="str">
            <v>SEGMENT6</v>
          </cell>
        </row>
        <row r="7">
          <cell r="B7">
            <v>200</v>
          </cell>
          <cell r="D7" t="str">
            <v>Reserved2</v>
          </cell>
          <cell r="F7" t="str">
            <v>SEGMENT7</v>
          </cell>
        </row>
        <row r="8">
          <cell r="B8">
            <v>50929</v>
          </cell>
        </row>
        <row r="9">
          <cell r="B9" t="str">
            <v>APPS</v>
          </cell>
        </row>
        <row r="10">
          <cell r="B10" t="str">
            <v>EP01</v>
          </cell>
        </row>
        <row r="11">
          <cell r="B11" t="str">
            <v>Production</v>
          </cell>
        </row>
        <row r="12">
          <cell r="B12" t="str">
            <v>apps</v>
          </cell>
        </row>
        <row r="13">
          <cell r="B13" t="str">
            <v>applsyspub/pub</v>
          </cell>
        </row>
        <row r="14">
          <cell r="B14" t="str">
            <v>LEVERC1</v>
          </cell>
        </row>
        <row r="15">
          <cell r="B15">
            <v>8772</v>
          </cell>
        </row>
        <row r="17">
          <cell r="B17" t="str">
            <v>.</v>
          </cell>
        </row>
        <row r="18">
          <cell r="B18">
            <v>7</v>
          </cell>
        </row>
        <row r="19">
          <cell r="B19" t="str">
            <v>P</v>
          </cell>
        </row>
        <row r="20">
          <cell r="B20" t="str">
            <v>Y</v>
          </cell>
        </row>
        <row r="21">
          <cell r="B21" t="str">
            <v>NE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1</v>
          </cell>
        </row>
        <row r="31">
          <cell r="B31">
            <v>1</v>
          </cell>
        </row>
        <row r="32">
          <cell r="B32">
            <v>1</v>
          </cell>
        </row>
        <row r="33">
          <cell r="B33" t="str">
            <v>USD</v>
          </cell>
        </row>
        <row r="34">
          <cell r="B34" t="str">
            <v>N</v>
          </cell>
        </row>
        <row r="35">
          <cell r="B35" t="str">
            <v>N</v>
          </cell>
        </row>
        <row r="36">
          <cell r="B36" t="str">
            <v>N</v>
          </cell>
        </row>
      </sheetData>
      <sheetData sheetId="51" refreshError="1"/>
      <sheetData sheetId="52">
        <row r="1">
          <cell r="B1">
            <v>31</v>
          </cell>
          <cell r="D1" t="str">
            <v>Company</v>
          </cell>
          <cell r="F1" t="str">
            <v>SEGMENT1</v>
          </cell>
        </row>
        <row r="2">
          <cell r="B2" t="str">
            <v>EMC_USA_USD</v>
          </cell>
          <cell r="D2" t="str">
            <v>Business Unit</v>
          </cell>
          <cell r="F2" t="str">
            <v>SEGMENT2</v>
          </cell>
        </row>
        <row r="3">
          <cell r="B3">
            <v>101</v>
          </cell>
          <cell r="D3" t="str">
            <v>Account</v>
          </cell>
          <cell r="F3" t="str">
            <v>SEGMENT3</v>
          </cell>
        </row>
        <row r="4">
          <cell r="B4" t="str">
            <v>EMC CALENDAR</v>
          </cell>
          <cell r="D4" t="str">
            <v>Cost Center</v>
          </cell>
          <cell r="F4" t="str">
            <v>SEGMENT4</v>
          </cell>
        </row>
        <row r="5">
          <cell r="B5">
            <v>1</v>
          </cell>
          <cell r="D5" t="str">
            <v>Intercompany</v>
          </cell>
          <cell r="F5" t="str">
            <v>SEGMENT5</v>
          </cell>
        </row>
        <row r="6">
          <cell r="B6" t="str">
            <v>AP Inquiry-USA</v>
          </cell>
          <cell r="D6" t="str">
            <v>Reserved1</v>
          </cell>
          <cell r="F6" t="str">
            <v>SEGMENT6</v>
          </cell>
        </row>
        <row r="7">
          <cell r="B7">
            <v>200</v>
          </cell>
          <cell r="D7" t="str">
            <v>Reserved2</v>
          </cell>
          <cell r="F7" t="str">
            <v>SEGMENT7</v>
          </cell>
        </row>
        <row r="8">
          <cell r="B8">
            <v>50929</v>
          </cell>
        </row>
        <row r="9">
          <cell r="B9" t="str">
            <v>APPS</v>
          </cell>
        </row>
        <row r="10">
          <cell r="B10" t="str">
            <v>EP01</v>
          </cell>
        </row>
        <row r="11">
          <cell r="B11" t="str">
            <v>Production</v>
          </cell>
        </row>
        <row r="12">
          <cell r="B12" t="str">
            <v>apps</v>
          </cell>
        </row>
        <row r="13">
          <cell r="B13" t="str">
            <v>applsyspub/pub</v>
          </cell>
        </row>
        <row r="14">
          <cell r="B14" t="str">
            <v>LEVERC1</v>
          </cell>
        </row>
        <row r="15">
          <cell r="B15">
            <v>8772</v>
          </cell>
        </row>
        <row r="17">
          <cell r="B17" t="str">
            <v>.</v>
          </cell>
        </row>
        <row r="18">
          <cell r="B18">
            <v>7</v>
          </cell>
        </row>
        <row r="19">
          <cell r="B19" t="str">
            <v>P</v>
          </cell>
        </row>
        <row r="20">
          <cell r="B20" t="str">
            <v>Y</v>
          </cell>
        </row>
        <row r="21">
          <cell r="B21" t="str">
            <v>NE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1</v>
          </cell>
        </row>
        <row r="31">
          <cell r="B31">
            <v>1</v>
          </cell>
        </row>
        <row r="32">
          <cell r="B32">
            <v>2</v>
          </cell>
        </row>
        <row r="33">
          <cell r="B33" t="str">
            <v>USD</v>
          </cell>
        </row>
        <row r="34">
          <cell r="B34" t="str">
            <v>N</v>
          </cell>
        </row>
        <row r="35">
          <cell r="B35" t="str">
            <v>N</v>
          </cell>
        </row>
        <row r="36">
          <cell r="B36" t="str">
            <v>N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שולב"/>
      <sheetName val="c.b.t"/>
      <sheetName val="שע&quot;ח"/>
      <sheetName val="#REF"/>
      <sheetName val="תזרים מזומנים"/>
      <sheetName val="General assumptions"/>
      <sheetName val="מדדים ושע&quot;ח"/>
      <sheetName val="c_b_t"/>
      <sheetName val="תזרים_מזומנים"/>
      <sheetName val="General_assumptions"/>
      <sheetName val="c_b_t4"/>
      <sheetName val="General_assumptions4"/>
      <sheetName val="תזרים_מזומנים4"/>
      <sheetName val="c_b_t1"/>
      <sheetName val="תזרים_מזומנים1"/>
      <sheetName val="General_assumptions1"/>
      <sheetName val="c_b_t2"/>
      <sheetName val="General_assumptions2"/>
      <sheetName val="תזרים_מזומנים2"/>
      <sheetName val="c_b_t3"/>
      <sheetName val="General_assumptions3"/>
      <sheetName val="תזרים_מזומנים3"/>
      <sheetName val="c_b_t6"/>
      <sheetName val="General_assumptions6"/>
      <sheetName val="תזרים_מזומנים6"/>
      <sheetName val="c_b_t5"/>
      <sheetName val="תזרים_מזומנים5"/>
      <sheetName val="General_assumptions5"/>
      <sheetName val="c_b_t7"/>
      <sheetName val="תזרים_מזומנים7"/>
      <sheetName val="General_assumptions7"/>
      <sheetName val="c_b_t8"/>
      <sheetName val="תזרים_מזומנים8"/>
      <sheetName val="General_assumptions8"/>
      <sheetName val="Conversion Rates"/>
      <sheetName val="c_b_t9"/>
      <sheetName val="תזרים_מזומנים9"/>
      <sheetName val="General_assumptions9"/>
      <sheetName val="SpendbyCat"/>
    </sheetNames>
    <sheetDataSet>
      <sheetData sheetId="0" refreshError="1">
        <row r="5">
          <cell r="C5">
            <v>57</v>
          </cell>
          <cell r="D5">
            <v>0</v>
          </cell>
          <cell r="E5" t="str">
            <v xml:space="preserve"> </v>
          </cell>
          <cell r="F5">
            <v>57</v>
          </cell>
          <cell r="G5">
            <v>57</v>
          </cell>
        </row>
        <row r="6">
          <cell r="G6" t="str">
            <v xml:space="preserve"> </v>
          </cell>
        </row>
        <row r="7">
          <cell r="C7">
            <v>0</v>
          </cell>
          <cell r="D7">
            <v>0</v>
          </cell>
          <cell r="F7">
            <v>0</v>
          </cell>
          <cell r="G7">
            <v>0</v>
          </cell>
        </row>
        <row r="9">
          <cell r="C9">
            <v>0</v>
          </cell>
          <cell r="D9">
            <v>0</v>
          </cell>
          <cell r="F9">
            <v>0</v>
          </cell>
          <cell r="G9">
            <v>0</v>
          </cell>
        </row>
        <row r="11">
          <cell r="C11">
            <v>935</v>
          </cell>
          <cell r="D11">
            <v>172</v>
          </cell>
          <cell r="F11">
            <v>1107</v>
          </cell>
          <cell r="G11">
            <v>2874</v>
          </cell>
        </row>
        <row r="13">
          <cell r="C13">
            <v>1873</v>
          </cell>
          <cell r="D13">
            <v>-27</v>
          </cell>
          <cell r="F13">
            <v>1846</v>
          </cell>
        </row>
        <row r="15">
          <cell r="C15">
            <v>-79</v>
          </cell>
          <cell r="D15">
            <v>0</v>
          </cell>
          <cell r="F15">
            <v>-79</v>
          </cell>
        </row>
        <row r="17">
          <cell r="C17">
            <v>0</v>
          </cell>
          <cell r="D17">
            <v>0</v>
          </cell>
          <cell r="F17">
            <v>0</v>
          </cell>
          <cell r="G17">
            <v>-3503.3665158371041</v>
          </cell>
        </row>
        <row r="19">
          <cell r="C19">
            <v>-29</v>
          </cell>
          <cell r="D19">
            <v>-4</v>
          </cell>
          <cell r="E19">
            <v>758</v>
          </cell>
          <cell r="F19">
            <v>-33</v>
          </cell>
          <cell r="G19">
            <v>14</v>
          </cell>
        </row>
        <row r="21">
          <cell r="C21">
            <v>95</v>
          </cell>
          <cell r="D21">
            <v>0</v>
          </cell>
          <cell r="F21">
            <v>95</v>
          </cell>
        </row>
        <row r="23">
          <cell r="C23">
            <v>517</v>
          </cell>
          <cell r="D23">
            <v>40</v>
          </cell>
          <cell r="F23">
            <v>557</v>
          </cell>
          <cell r="G23">
            <v>25</v>
          </cell>
        </row>
        <row r="25">
          <cell r="C25">
            <v>-3843</v>
          </cell>
          <cell r="D25">
            <v>-280.36651583710409</v>
          </cell>
          <cell r="F25">
            <v>-4123.3665158371041</v>
          </cell>
          <cell r="G25">
            <v>758</v>
          </cell>
        </row>
        <row r="26">
          <cell r="G26">
            <v>222</v>
          </cell>
        </row>
        <row r="27">
          <cell r="C27">
            <v>31</v>
          </cell>
          <cell r="D27">
            <v>-30</v>
          </cell>
          <cell r="F27">
            <v>1</v>
          </cell>
        </row>
        <row r="29">
          <cell r="C29">
            <v>0</v>
          </cell>
          <cell r="D29">
            <v>0</v>
          </cell>
          <cell r="F29">
            <v>0</v>
          </cell>
        </row>
        <row r="31">
          <cell r="C31">
            <v>0</v>
          </cell>
          <cell r="D31">
            <v>0</v>
          </cell>
          <cell r="F31">
            <v>0</v>
          </cell>
        </row>
        <row r="33">
          <cell r="C33">
            <v>0</v>
          </cell>
          <cell r="D33">
            <v>0</v>
          </cell>
          <cell r="F33">
            <v>0</v>
          </cell>
        </row>
        <row r="35">
          <cell r="C35">
            <v>52</v>
          </cell>
          <cell r="D35">
            <v>0</v>
          </cell>
          <cell r="F35">
            <v>52</v>
          </cell>
        </row>
        <row r="37">
          <cell r="C37">
            <v>51</v>
          </cell>
          <cell r="D37">
            <v>12</v>
          </cell>
          <cell r="F37">
            <v>63</v>
          </cell>
          <cell r="G37">
            <v>216</v>
          </cell>
        </row>
        <row r="39">
          <cell r="C39">
            <v>24</v>
          </cell>
          <cell r="D39">
            <v>7</v>
          </cell>
          <cell r="F39">
            <v>31</v>
          </cell>
        </row>
        <row r="41">
          <cell r="C41">
            <v>56</v>
          </cell>
          <cell r="D41">
            <v>1</v>
          </cell>
          <cell r="F41">
            <v>57</v>
          </cell>
        </row>
        <row r="43">
          <cell r="C43">
            <v>30</v>
          </cell>
          <cell r="D43">
            <v>0</v>
          </cell>
          <cell r="F43">
            <v>30</v>
          </cell>
        </row>
        <row r="45">
          <cell r="C45">
            <v>0</v>
          </cell>
          <cell r="D45">
            <v>0</v>
          </cell>
          <cell r="F45">
            <v>0</v>
          </cell>
        </row>
        <row r="47">
          <cell r="C47">
            <v>35</v>
          </cell>
          <cell r="D47">
            <v>0</v>
          </cell>
          <cell r="F47">
            <v>35</v>
          </cell>
        </row>
        <row r="49">
          <cell r="C49">
            <v>27</v>
          </cell>
          <cell r="D49">
            <v>7</v>
          </cell>
          <cell r="F49">
            <v>34</v>
          </cell>
          <cell r="G49">
            <v>34</v>
          </cell>
        </row>
        <row r="51">
          <cell r="C51">
            <v>0</v>
          </cell>
          <cell r="D51">
            <v>0</v>
          </cell>
          <cell r="F51">
            <v>0</v>
          </cell>
        </row>
        <row r="53">
          <cell r="C53">
            <v>483</v>
          </cell>
          <cell r="D53">
            <v>0</v>
          </cell>
          <cell r="F53">
            <v>483</v>
          </cell>
          <cell r="G53">
            <v>483</v>
          </cell>
        </row>
        <row r="55">
          <cell r="C55">
            <v>0</v>
          </cell>
          <cell r="D55">
            <v>0</v>
          </cell>
          <cell r="F55">
            <v>0</v>
          </cell>
          <cell r="G55">
            <v>0</v>
          </cell>
        </row>
        <row r="57">
          <cell r="C57">
            <v>0</v>
          </cell>
          <cell r="D57">
            <v>0</v>
          </cell>
          <cell r="F57">
            <v>0</v>
          </cell>
        </row>
        <row r="59">
          <cell r="C59">
            <v>0</v>
          </cell>
          <cell r="D59">
            <v>0</v>
          </cell>
          <cell r="F59">
            <v>0</v>
          </cell>
        </row>
        <row r="61">
          <cell r="C61">
            <v>0</v>
          </cell>
          <cell r="D61">
            <v>0</v>
          </cell>
          <cell r="F61">
            <v>0</v>
          </cell>
        </row>
        <row r="63">
          <cell r="C63">
            <v>0</v>
          </cell>
          <cell r="D63">
            <v>0</v>
          </cell>
          <cell r="F63">
            <v>0</v>
          </cell>
        </row>
        <row r="65">
          <cell r="C65">
            <v>0</v>
          </cell>
          <cell r="D65">
            <v>0</v>
          </cell>
          <cell r="F65">
            <v>0</v>
          </cell>
        </row>
        <row r="67">
          <cell r="C67">
            <v>0</v>
          </cell>
          <cell r="D67">
            <v>0</v>
          </cell>
          <cell r="F67">
            <v>0</v>
          </cell>
        </row>
        <row r="69">
          <cell r="C69">
            <v>0</v>
          </cell>
          <cell r="D69">
            <v>0</v>
          </cell>
          <cell r="F69">
            <v>0</v>
          </cell>
        </row>
        <row r="71">
          <cell r="C71">
            <v>2980</v>
          </cell>
          <cell r="D71">
            <v>230</v>
          </cell>
          <cell r="F71">
            <v>3210</v>
          </cell>
          <cell r="G71">
            <v>2018</v>
          </cell>
        </row>
        <row r="73">
          <cell r="C73">
            <v>-1134</v>
          </cell>
          <cell r="D73">
            <v>-58</v>
          </cell>
          <cell r="E73">
            <v>10</v>
          </cell>
          <cell r="F73">
            <v>-1192</v>
          </cell>
        </row>
        <row r="74">
          <cell r="D74">
            <v>3</v>
          </cell>
          <cell r="E74">
            <v>1</v>
          </cell>
        </row>
        <row r="75">
          <cell r="C75">
            <v>1707</v>
          </cell>
          <cell r="D75">
            <v>0</v>
          </cell>
          <cell r="F75">
            <v>1707</v>
          </cell>
          <cell r="G75">
            <v>1707</v>
          </cell>
        </row>
        <row r="77">
          <cell r="C77">
            <v>0</v>
          </cell>
          <cell r="D77">
            <v>0</v>
          </cell>
          <cell r="F77">
            <v>0</v>
          </cell>
          <cell r="G77">
            <v>0</v>
          </cell>
        </row>
        <row r="79">
          <cell r="C79">
            <v>-600</v>
          </cell>
          <cell r="D79">
            <v>-1</v>
          </cell>
          <cell r="E79">
            <v>52</v>
          </cell>
          <cell r="F79">
            <v>-601</v>
          </cell>
          <cell r="G79">
            <v>-601</v>
          </cell>
        </row>
        <row r="81">
          <cell r="C81">
            <v>-362</v>
          </cell>
          <cell r="D81">
            <v>-35</v>
          </cell>
          <cell r="F81">
            <v>-397</v>
          </cell>
          <cell r="G81">
            <v>-755</v>
          </cell>
        </row>
        <row r="83">
          <cell r="C83">
            <v>-339</v>
          </cell>
          <cell r="D83">
            <v>-19</v>
          </cell>
          <cell r="F83">
            <v>-358</v>
          </cell>
          <cell r="G83">
            <v>52</v>
          </cell>
        </row>
        <row r="85">
          <cell r="C85">
            <v>-1</v>
          </cell>
          <cell r="D85">
            <v>1</v>
          </cell>
          <cell r="F85">
            <v>0</v>
          </cell>
        </row>
        <row r="87">
          <cell r="C87">
            <v>6</v>
          </cell>
          <cell r="D87">
            <v>0</v>
          </cell>
          <cell r="F87">
            <v>6</v>
          </cell>
        </row>
        <row r="89">
          <cell r="C89">
            <v>-467</v>
          </cell>
          <cell r="D89">
            <v>-43</v>
          </cell>
          <cell r="F89">
            <v>-510</v>
          </cell>
          <cell r="G89">
            <v>-2762</v>
          </cell>
        </row>
        <row r="91">
          <cell r="C91">
            <v>-75</v>
          </cell>
          <cell r="D91">
            <v>-21</v>
          </cell>
          <cell r="F91">
            <v>-96</v>
          </cell>
        </row>
        <row r="93">
          <cell r="C93">
            <v>-40</v>
          </cell>
          <cell r="D93">
            <v>-15</v>
          </cell>
          <cell r="F93">
            <v>-55</v>
          </cell>
        </row>
        <row r="95">
          <cell r="C95">
            <v>-112</v>
          </cell>
          <cell r="D95">
            <v>-1</v>
          </cell>
          <cell r="F95">
            <v>-113</v>
          </cell>
        </row>
        <row r="97">
          <cell r="C97">
            <v>-1959</v>
          </cell>
          <cell r="D97">
            <v>-21</v>
          </cell>
          <cell r="F97">
            <v>-1980</v>
          </cell>
        </row>
        <row r="99">
          <cell r="C99">
            <v>-8</v>
          </cell>
          <cell r="D99">
            <v>0</v>
          </cell>
          <cell r="F99">
            <v>-8</v>
          </cell>
        </row>
        <row r="101">
          <cell r="C101">
            <v>-556</v>
          </cell>
          <cell r="D101">
            <v>-25</v>
          </cell>
          <cell r="F101">
            <v>-581</v>
          </cell>
          <cell r="G101">
            <v>-556</v>
          </cell>
        </row>
        <row r="103">
          <cell r="C103">
            <v>0</v>
          </cell>
          <cell r="D103">
            <v>25</v>
          </cell>
          <cell r="F103">
            <v>25</v>
          </cell>
        </row>
        <row r="105">
          <cell r="C105">
            <v>0</v>
          </cell>
          <cell r="D105">
            <v>0</v>
          </cell>
          <cell r="F105">
            <v>0</v>
          </cell>
          <cell r="G105">
            <v>0</v>
          </cell>
        </row>
        <row r="107">
          <cell r="C107">
            <v>0</v>
          </cell>
          <cell r="D107">
            <v>0</v>
          </cell>
          <cell r="F107">
            <v>0</v>
          </cell>
          <cell r="G107">
            <v>0</v>
          </cell>
        </row>
        <row r="109">
          <cell r="C109">
            <v>0</v>
          </cell>
          <cell r="D109">
            <v>0</v>
          </cell>
          <cell r="F109">
            <v>0</v>
          </cell>
          <cell r="G109">
            <v>730.44927536231887</v>
          </cell>
        </row>
        <row r="111">
          <cell r="C111">
            <v>0</v>
          </cell>
          <cell r="D111">
            <v>-148</v>
          </cell>
          <cell r="E111">
            <v>222</v>
          </cell>
          <cell r="F111">
            <v>-148</v>
          </cell>
        </row>
        <row r="113">
          <cell r="C113">
            <v>180</v>
          </cell>
          <cell r="D113">
            <v>4</v>
          </cell>
          <cell r="F113">
            <v>184</v>
          </cell>
        </row>
        <row r="115">
          <cell r="C115">
            <v>0</v>
          </cell>
          <cell r="D115">
            <v>0</v>
          </cell>
          <cell r="F115">
            <v>0</v>
          </cell>
        </row>
        <row r="116">
          <cell r="D116" t="str">
            <v xml:space="preserve"> </v>
          </cell>
        </row>
        <row r="117">
          <cell r="C117">
            <v>575</v>
          </cell>
          <cell r="D117">
            <v>345</v>
          </cell>
          <cell r="F117">
            <v>920</v>
          </cell>
        </row>
        <row r="119">
          <cell r="C119">
            <v>-109.55072463768116</v>
          </cell>
          <cell r="D119">
            <v>-116</v>
          </cell>
          <cell r="F119">
            <v>-225.55072463768116</v>
          </cell>
        </row>
        <row r="121">
          <cell r="C121">
            <v>0.44927536231884346</v>
          </cell>
          <cell r="D121">
            <v>-0.36651583710408886</v>
          </cell>
          <cell r="F121">
            <v>8.2759525214754603E-2</v>
          </cell>
          <cell r="G121">
            <v>-57.917240474785217</v>
          </cell>
        </row>
        <row r="126">
          <cell r="C126">
            <v>-11231</v>
          </cell>
          <cell r="D126">
            <v>-1089</v>
          </cell>
          <cell r="E126">
            <v>730</v>
          </cell>
          <cell r="F126">
            <v>-11590</v>
          </cell>
          <cell r="G126">
            <v>-11590</v>
          </cell>
        </row>
        <row r="128">
          <cell r="C128">
            <v>6654</v>
          </cell>
          <cell r="D128">
            <v>512</v>
          </cell>
          <cell r="E128">
            <v>-730</v>
          </cell>
          <cell r="F128">
            <v>6436</v>
          </cell>
          <cell r="G128">
            <v>6967</v>
          </cell>
        </row>
        <row r="130">
          <cell r="C130">
            <v>485</v>
          </cell>
          <cell r="D130">
            <v>46</v>
          </cell>
          <cell r="F130">
            <v>531</v>
          </cell>
          <cell r="G130">
            <v>10</v>
          </cell>
        </row>
        <row r="132">
          <cell r="C132">
            <v>0</v>
          </cell>
          <cell r="D132">
            <v>0</v>
          </cell>
          <cell r="F132">
            <v>0</v>
          </cell>
        </row>
        <row r="134">
          <cell r="C134">
            <v>0</v>
          </cell>
          <cell r="D134">
            <v>0</v>
          </cell>
          <cell r="F134">
            <v>0</v>
          </cell>
          <cell r="G134">
            <v>0</v>
          </cell>
        </row>
        <row r="136">
          <cell r="C136">
            <v>0</v>
          </cell>
          <cell r="D136">
            <v>0</v>
          </cell>
          <cell r="F136">
            <v>0</v>
          </cell>
        </row>
        <row r="138">
          <cell r="C138">
            <v>1674</v>
          </cell>
          <cell r="D138">
            <v>156</v>
          </cell>
          <cell r="F138">
            <v>1830</v>
          </cell>
          <cell r="G138">
            <v>1830</v>
          </cell>
        </row>
        <row r="140">
          <cell r="C140">
            <v>0</v>
          </cell>
          <cell r="D140">
            <v>0</v>
          </cell>
          <cell r="F140">
            <v>0</v>
          </cell>
        </row>
        <row r="142">
          <cell r="C142">
            <v>2051</v>
          </cell>
          <cell r="D142">
            <v>232</v>
          </cell>
          <cell r="E142">
            <v>25</v>
          </cell>
          <cell r="F142">
            <v>2283</v>
          </cell>
          <cell r="G142">
            <v>2461</v>
          </cell>
        </row>
        <row r="144">
          <cell r="C144">
            <v>178</v>
          </cell>
          <cell r="D144">
            <v>0</v>
          </cell>
          <cell r="F144">
            <v>178</v>
          </cell>
          <cell r="G144">
            <v>-332</v>
          </cell>
        </row>
        <row r="146">
          <cell r="C146">
            <v>-13</v>
          </cell>
          <cell r="D146">
            <v>0</v>
          </cell>
          <cell r="F146">
            <v>-13</v>
          </cell>
        </row>
        <row r="148">
          <cell r="C148">
            <v>86.449275362318843</v>
          </cell>
          <cell r="D148">
            <v>26</v>
          </cell>
          <cell r="E148">
            <v>14</v>
          </cell>
          <cell r="F148">
            <v>112.44927536231884</v>
          </cell>
        </row>
        <row r="150">
          <cell r="C150">
            <v>6</v>
          </cell>
          <cell r="D150">
            <v>1</v>
          </cell>
          <cell r="E150">
            <v>2</v>
          </cell>
          <cell r="F150">
            <v>7</v>
          </cell>
          <cell r="G150">
            <v>7</v>
          </cell>
        </row>
        <row r="152">
          <cell r="C152">
            <v>54</v>
          </cell>
          <cell r="D152">
            <v>0</v>
          </cell>
          <cell r="F152">
            <v>54</v>
          </cell>
          <cell r="G152">
            <v>0</v>
          </cell>
        </row>
        <row r="154">
          <cell r="C154">
            <v>0</v>
          </cell>
          <cell r="D154">
            <v>0</v>
          </cell>
          <cell r="F154">
            <v>0</v>
          </cell>
        </row>
        <row r="156">
          <cell r="C156">
            <v>-54</v>
          </cell>
          <cell r="D156">
            <v>0</v>
          </cell>
          <cell r="F156">
            <v>-54</v>
          </cell>
        </row>
        <row r="158">
          <cell r="C158">
            <v>0</v>
          </cell>
          <cell r="D158">
            <v>0</v>
          </cell>
          <cell r="F158">
            <v>0</v>
          </cell>
          <cell r="G158">
            <v>0</v>
          </cell>
        </row>
        <row r="160">
          <cell r="C160">
            <v>0</v>
          </cell>
          <cell r="D160">
            <v>0</v>
          </cell>
          <cell r="F160">
            <v>0</v>
          </cell>
          <cell r="G160">
            <v>0</v>
          </cell>
        </row>
        <row r="162">
          <cell r="C162">
            <v>-109.55072463768116</v>
          </cell>
          <cell r="D162">
            <v>-116</v>
          </cell>
          <cell r="E162">
            <v>0</v>
          </cell>
          <cell r="F162">
            <v>-225.55072463768116</v>
          </cell>
        </row>
      </sheetData>
      <sheetData sheetId="1" refreshError="1">
        <row r="5">
          <cell r="C5">
            <v>0</v>
          </cell>
          <cell r="D5">
            <v>0</v>
          </cell>
          <cell r="E5" t="str">
            <v xml:space="preserve"> </v>
          </cell>
          <cell r="F5">
            <v>57</v>
          </cell>
          <cell r="G5" t="str">
            <v xml:space="preserve"> </v>
          </cell>
          <cell r="H5">
            <v>0</v>
          </cell>
          <cell r="I5">
            <v>0</v>
          </cell>
        </row>
        <row r="6">
          <cell r="G6" t="str">
            <v xml:space="preserve"> </v>
          </cell>
        </row>
        <row r="7">
          <cell r="C7">
            <v>0</v>
          </cell>
          <cell r="D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9">
          <cell r="C9">
            <v>0</v>
          </cell>
          <cell r="D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1">
          <cell r="C11">
            <v>608</v>
          </cell>
          <cell r="D11">
            <v>172</v>
          </cell>
          <cell r="F11">
            <v>1107</v>
          </cell>
          <cell r="G11">
            <v>2874</v>
          </cell>
          <cell r="H11">
            <v>608</v>
          </cell>
          <cell r="I11">
            <v>172</v>
          </cell>
        </row>
        <row r="13">
          <cell r="C13">
            <v>-95</v>
          </cell>
          <cell r="D13">
            <v>-27</v>
          </cell>
          <cell r="F13">
            <v>1846</v>
          </cell>
          <cell r="H13">
            <v>-95</v>
          </cell>
          <cell r="I13">
            <v>-27</v>
          </cell>
        </row>
        <row r="15">
          <cell r="C15">
            <v>-79</v>
          </cell>
          <cell r="D15">
            <v>0</v>
          </cell>
          <cell r="F15">
            <v>-79</v>
          </cell>
          <cell r="H15">
            <v>0</v>
          </cell>
          <cell r="I15">
            <v>0</v>
          </cell>
        </row>
        <row r="17">
          <cell r="C17">
            <v>0</v>
          </cell>
          <cell r="D17">
            <v>0</v>
          </cell>
          <cell r="F17">
            <v>0</v>
          </cell>
          <cell r="G17">
            <v>-3503.3665158371041</v>
          </cell>
          <cell r="H17">
            <v>0</v>
          </cell>
          <cell r="I17">
            <v>0</v>
          </cell>
        </row>
        <row r="19">
          <cell r="C19">
            <v>-758</v>
          </cell>
          <cell r="D19">
            <v>-4</v>
          </cell>
          <cell r="E19">
            <v>758</v>
          </cell>
          <cell r="F19">
            <v>2</v>
          </cell>
          <cell r="G19">
            <v>14</v>
          </cell>
          <cell r="H19">
            <v>-14</v>
          </cell>
          <cell r="I19">
            <v>-4</v>
          </cell>
        </row>
        <row r="21">
          <cell r="C21">
            <v>95</v>
          </cell>
          <cell r="D21">
            <v>0</v>
          </cell>
          <cell r="F21">
            <v>95</v>
          </cell>
          <cell r="H21">
            <v>0</v>
          </cell>
          <cell r="I21">
            <v>0</v>
          </cell>
        </row>
        <row r="23">
          <cell r="C23">
            <v>167</v>
          </cell>
          <cell r="D23">
            <v>40</v>
          </cell>
          <cell r="F23">
            <v>5</v>
          </cell>
          <cell r="G23">
            <v>25</v>
          </cell>
          <cell r="H23">
            <v>142</v>
          </cell>
          <cell r="I23">
            <v>40</v>
          </cell>
        </row>
        <row r="25">
          <cell r="C25">
            <v>-3843</v>
          </cell>
          <cell r="D25">
            <v>-280.36651583710409</v>
          </cell>
          <cell r="F25">
            <v>-4123.3665158371041</v>
          </cell>
          <cell r="G25">
            <v>758</v>
          </cell>
          <cell r="H25">
            <v>-980</v>
          </cell>
          <cell r="I25">
            <v>-280.36651583710409</v>
          </cell>
        </row>
        <row r="26">
          <cell r="G26">
            <v>222</v>
          </cell>
        </row>
        <row r="27">
          <cell r="C27">
            <v>-107</v>
          </cell>
          <cell r="D27">
            <v>-30</v>
          </cell>
          <cell r="F27">
            <v>1</v>
          </cell>
          <cell r="H27">
            <v>-107</v>
          </cell>
          <cell r="I27">
            <v>-30</v>
          </cell>
        </row>
        <row r="29">
          <cell r="C29">
            <v>0</v>
          </cell>
          <cell r="D29">
            <v>0</v>
          </cell>
          <cell r="F29">
            <v>0</v>
          </cell>
          <cell r="H29">
            <v>0</v>
          </cell>
          <cell r="I29">
            <v>0</v>
          </cell>
        </row>
        <row r="31">
          <cell r="C31">
            <v>0</v>
          </cell>
          <cell r="D31">
            <v>0</v>
          </cell>
          <cell r="F31">
            <v>0</v>
          </cell>
          <cell r="H31">
            <v>0</v>
          </cell>
          <cell r="I31">
            <v>0</v>
          </cell>
        </row>
        <row r="33">
          <cell r="C33">
            <v>0</v>
          </cell>
          <cell r="D33">
            <v>0</v>
          </cell>
          <cell r="F33">
            <v>0</v>
          </cell>
          <cell r="H33">
            <v>0</v>
          </cell>
          <cell r="I33">
            <v>0</v>
          </cell>
        </row>
        <row r="35">
          <cell r="C35">
            <v>52</v>
          </cell>
          <cell r="D35">
            <v>0</v>
          </cell>
          <cell r="F35">
            <v>52</v>
          </cell>
          <cell r="H35">
            <v>0</v>
          </cell>
          <cell r="I35">
            <v>0</v>
          </cell>
        </row>
        <row r="37">
          <cell r="C37">
            <v>43</v>
          </cell>
          <cell r="D37">
            <v>12</v>
          </cell>
          <cell r="F37">
            <v>63</v>
          </cell>
          <cell r="G37">
            <v>216</v>
          </cell>
          <cell r="H37">
            <v>43</v>
          </cell>
          <cell r="I37">
            <v>12</v>
          </cell>
        </row>
        <row r="39">
          <cell r="C39">
            <v>24</v>
          </cell>
          <cell r="D39">
            <v>7</v>
          </cell>
          <cell r="F39">
            <v>31</v>
          </cell>
          <cell r="H39">
            <v>24</v>
          </cell>
          <cell r="I39">
            <v>7</v>
          </cell>
        </row>
        <row r="41">
          <cell r="C41">
            <v>4</v>
          </cell>
          <cell r="D41">
            <v>1</v>
          </cell>
          <cell r="F41">
            <v>57</v>
          </cell>
          <cell r="H41">
            <v>4</v>
          </cell>
          <cell r="I41">
            <v>1</v>
          </cell>
        </row>
        <row r="43">
          <cell r="C43">
            <v>30</v>
          </cell>
          <cell r="D43">
            <v>0</v>
          </cell>
          <cell r="F43">
            <v>30</v>
          </cell>
          <cell r="H43">
            <v>0</v>
          </cell>
          <cell r="I43">
            <v>0</v>
          </cell>
        </row>
        <row r="45">
          <cell r="C45">
            <v>0</v>
          </cell>
          <cell r="D45">
            <v>0</v>
          </cell>
          <cell r="F45">
            <v>0</v>
          </cell>
          <cell r="H45">
            <v>0</v>
          </cell>
          <cell r="I45">
            <v>0</v>
          </cell>
        </row>
        <row r="47">
          <cell r="C47">
            <v>35</v>
          </cell>
          <cell r="D47">
            <v>0</v>
          </cell>
          <cell r="F47">
            <v>35</v>
          </cell>
          <cell r="H47">
            <v>0</v>
          </cell>
          <cell r="I47">
            <v>0</v>
          </cell>
        </row>
        <row r="49">
          <cell r="C49">
            <v>24</v>
          </cell>
          <cell r="D49">
            <v>7</v>
          </cell>
          <cell r="F49">
            <v>34</v>
          </cell>
          <cell r="G49">
            <v>34</v>
          </cell>
          <cell r="H49">
            <v>24</v>
          </cell>
          <cell r="I49">
            <v>7</v>
          </cell>
        </row>
        <row r="51">
          <cell r="C51">
            <v>0</v>
          </cell>
          <cell r="D51">
            <v>0</v>
          </cell>
          <cell r="F51">
            <v>0</v>
          </cell>
          <cell r="H51">
            <v>0</v>
          </cell>
          <cell r="I51">
            <v>0</v>
          </cell>
        </row>
        <row r="53">
          <cell r="C53">
            <v>483</v>
          </cell>
          <cell r="D53">
            <v>0</v>
          </cell>
          <cell r="F53">
            <v>483</v>
          </cell>
          <cell r="G53">
            <v>483</v>
          </cell>
          <cell r="H53">
            <v>0</v>
          </cell>
          <cell r="I53">
            <v>0</v>
          </cell>
        </row>
        <row r="55">
          <cell r="C55">
            <v>0</v>
          </cell>
          <cell r="D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7">
          <cell r="C57">
            <v>0</v>
          </cell>
          <cell r="D57">
            <v>0</v>
          </cell>
          <cell r="F57">
            <v>0</v>
          </cell>
          <cell r="H57">
            <v>0</v>
          </cell>
          <cell r="I57">
            <v>0</v>
          </cell>
        </row>
        <row r="59">
          <cell r="C59">
            <v>0</v>
          </cell>
          <cell r="D59">
            <v>0</v>
          </cell>
          <cell r="F59">
            <v>0</v>
          </cell>
          <cell r="H59">
            <v>0</v>
          </cell>
          <cell r="I59">
            <v>0</v>
          </cell>
        </row>
        <row r="61">
          <cell r="C61">
            <v>0</v>
          </cell>
          <cell r="D61">
            <v>0</v>
          </cell>
          <cell r="F61">
            <v>0</v>
          </cell>
          <cell r="H61">
            <v>0</v>
          </cell>
          <cell r="I61">
            <v>0</v>
          </cell>
        </row>
        <row r="63">
          <cell r="C63">
            <v>0</v>
          </cell>
          <cell r="D63">
            <v>0</v>
          </cell>
          <cell r="F63">
            <v>0</v>
          </cell>
          <cell r="H63">
            <v>0</v>
          </cell>
          <cell r="I63">
            <v>0</v>
          </cell>
        </row>
        <row r="65">
          <cell r="C65">
            <v>0</v>
          </cell>
          <cell r="D65">
            <v>0</v>
          </cell>
          <cell r="F65">
            <v>0</v>
          </cell>
          <cell r="H65">
            <v>0</v>
          </cell>
          <cell r="I65">
            <v>0</v>
          </cell>
        </row>
        <row r="67">
          <cell r="C67">
            <v>0</v>
          </cell>
          <cell r="D67">
            <v>0</v>
          </cell>
          <cell r="F67">
            <v>0</v>
          </cell>
          <cell r="H67">
            <v>0</v>
          </cell>
          <cell r="I67">
            <v>0</v>
          </cell>
        </row>
        <row r="69">
          <cell r="C69">
            <v>0</v>
          </cell>
          <cell r="D69">
            <v>0</v>
          </cell>
          <cell r="F69">
            <v>0</v>
          </cell>
          <cell r="H69">
            <v>0</v>
          </cell>
          <cell r="I69">
            <v>0</v>
          </cell>
        </row>
        <row r="71">
          <cell r="C71">
            <v>818</v>
          </cell>
          <cell r="D71">
            <v>230</v>
          </cell>
          <cell r="F71">
            <v>3</v>
          </cell>
          <cell r="G71">
            <v>3</v>
          </cell>
          <cell r="H71">
            <v>815</v>
          </cell>
          <cell r="I71">
            <v>230</v>
          </cell>
        </row>
        <row r="73">
          <cell r="C73">
            <v>-215</v>
          </cell>
          <cell r="D73">
            <v>4</v>
          </cell>
          <cell r="E73">
            <v>10</v>
          </cell>
          <cell r="F73">
            <v>-1192</v>
          </cell>
          <cell r="H73">
            <v>-204</v>
          </cell>
          <cell r="I73">
            <v>-58</v>
          </cell>
        </row>
        <row r="74">
          <cell r="D74">
            <v>3</v>
          </cell>
          <cell r="E74">
            <v>1</v>
          </cell>
        </row>
        <row r="75">
          <cell r="C75">
            <v>1707</v>
          </cell>
          <cell r="D75">
            <v>0</v>
          </cell>
          <cell r="F75">
            <v>1707</v>
          </cell>
          <cell r="G75">
            <v>1707</v>
          </cell>
          <cell r="H75">
            <v>0</v>
          </cell>
          <cell r="I75">
            <v>0</v>
          </cell>
        </row>
        <row r="77">
          <cell r="C77">
            <v>0</v>
          </cell>
          <cell r="D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9">
          <cell r="C79">
            <v>-57</v>
          </cell>
          <cell r="D79">
            <v>1</v>
          </cell>
          <cell r="E79">
            <v>52</v>
          </cell>
          <cell r="F79">
            <v>-601</v>
          </cell>
          <cell r="G79">
            <v>-601</v>
          </cell>
          <cell r="H79">
            <v>-5</v>
          </cell>
          <cell r="I79">
            <v>-1</v>
          </cell>
        </row>
        <row r="81">
          <cell r="C81">
            <v>-122</v>
          </cell>
          <cell r="D81">
            <v>-35</v>
          </cell>
          <cell r="F81">
            <v>-397</v>
          </cell>
          <cell r="G81">
            <v>-755</v>
          </cell>
          <cell r="H81">
            <v>-122</v>
          </cell>
          <cell r="I81">
            <v>-35</v>
          </cell>
        </row>
        <row r="83">
          <cell r="C83">
            <v>-15</v>
          </cell>
          <cell r="D83">
            <v>-19</v>
          </cell>
          <cell r="F83">
            <v>1</v>
          </cell>
          <cell r="G83">
            <v>52</v>
          </cell>
          <cell r="H83">
            <v>-67</v>
          </cell>
          <cell r="I83">
            <v>-19</v>
          </cell>
        </row>
        <row r="85">
          <cell r="C85">
            <v>3</v>
          </cell>
          <cell r="D85">
            <v>1</v>
          </cell>
          <cell r="F85">
            <v>0</v>
          </cell>
          <cell r="H85">
            <v>3</v>
          </cell>
          <cell r="I85">
            <v>1</v>
          </cell>
        </row>
        <row r="87">
          <cell r="C87">
            <v>6</v>
          </cell>
          <cell r="D87">
            <v>0</v>
          </cell>
          <cell r="F87">
            <v>6</v>
          </cell>
          <cell r="H87">
            <v>0</v>
          </cell>
          <cell r="I87">
            <v>0</v>
          </cell>
        </row>
        <row r="89">
          <cell r="C89">
            <v>-152</v>
          </cell>
          <cell r="D89">
            <v>-43</v>
          </cell>
          <cell r="F89">
            <v>-510</v>
          </cell>
          <cell r="G89">
            <v>-2762</v>
          </cell>
          <cell r="H89">
            <v>-152</v>
          </cell>
          <cell r="I89">
            <v>-43</v>
          </cell>
        </row>
        <row r="91">
          <cell r="C91">
            <v>-74</v>
          </cell>
          <cell r="D91">
            <v>-21</v>
          </cell>
          <cell r="F91">
            <v>-96</v>
          </cell>
          <cell r="H91">
            <v>-74</v>
          </cell>
          <cell r="I91">
            <v>-21</v>
          </cell>
        </row>
        <row r="93">
          <cell r="C93">
            <v>-52</v>
          </cell>
          <cell r="D93">
            <v>-15</v>
          </cell>
          <cell r="F93">
            <v>-55</v>
          </cell>
          <cell r="H93">
            <v>-52</v>
          </cell>
          <cell r="I93">
            <v>-15</v>
          </cell>
        </row>
        <row r="95">
          <cell r="C95">
            <v>-2</v>
          </cell>
          <cell r="D95">
            <v>-1</v>
          </cell>
          <cell r="F95">
            <v>-113</v>
          </cell>
          <cell r="H95">
            <v>-2</v>
          </cell>
          <cell r="I95">
            <v>-1</v>
          </cell>
        </row>
        <row r="97">
          <cell r="C97">
            <v>-76</v>
          </cell>
          <cell r="D97">
            <v>-21</v>
          </cell>
          <cell r="F97">
            <v>-1980</v>
          </cell>
          <cell r="H97">
            <v>-76</v>
          </cell>
          <cell r="I97">
            <v>-21</v>
          </cell>
        </row>
        <row r="99">
          <cell r="C99">
            <v>-8</v>
          </cell>
          <cell r="D99">
            <v>0</v>
          </cell>
          <cell r="F99">
            <v>-8</v>
          </cell>
          <cell r="H99">
            <v>0</v>
          </cell>
          <cell r="I99">
            <v>0</v>
          </cell>
        </row>
        <row r="101">
          <cell r="C101">
            <v>-89</v>
          </cell>
          <cell r="D101">
            <v>-25</v>
          </cell>
          <cell r="F101">
            <v>-581</v>
          </cell>
          <cell r="G101">
            <v>-556</v>
          </cell>
          <cell r="H101">
            <v>-89</v>
          </cell>
          <cell r="I101">
            <v>-25</v>
          </cell>
        </row>
        <row r="103">
          <cell r="C103">
            <v>88</v>
          </cell>
          <cell r="D103">
            <v>25</v>
          </cell>
          <cell r="F103">
            <v>25</v>
          </cell>
          <cell r="H103">
            <v>88</v>
          </cell>
          <cell r="I103">
            <v>25</v>
          </cell>
        </row>
        <row r="105">
          <cell r="C105">
            <v>0</v>
          </cell>
          <cell r="D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</row>
        <row r="107">
          <cell r="C107">
            <v>0</v>
          </cell>
          <cell r="D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</row>
        <row r="109">
          <cell r="C109">
            <v>-1</v>
          </cell>
          <cell r="D109">
            <v>0</v>
          </cell>
          <cell r="F109">
            <v>0</v>
          </cell>
          <cell r="G109">
            <v>730.44927536231887</v>
          </cell>
          <cell r="H109">
            <v>-1</v>
          </cell>
          <cell r="I109">
            <v>0</v>
          </cell>
        </row>
        <row r="111">
          <cell r="C111">
            <v>-705</v>
          </cell>
          <cell r="D111">
            <v>-148</v>
          </cell>
          <cell r="E111">
            <v>222</v>
          </cell>
          <cell r="F111">
            <v>-148</v>
          </cell>
          <cell r="H111">
            <v>-483</v>
          </cell>
          <cell r="I111">
            <v>-148</v>
          </cell>
        </row>
        <row r="113">
          <cell r="C113">
            <v>180</v>
          </cell>
          <cell r="D113">
            <v>4</v>
          </cell>
          <cell r="F113">
            <v>184</v>
          </cell>
          <cell r="I113">
            <v>4</v>
          </cell>
        </row>
        <row r="115">
          <cell r="C115">
            <v>0</v>
          </cell>
          <cell r="D115" t="str">
            <v xml:space="preserve"> </v>
          </cell>
          <cell r="F115">
            <v>0</v>
          </cell>
          <cell r="H115">
            <v>0</v>
          </cell>
          <cell r="I115">
            <v>0</v>
          </cell>
        </row>
        <row r="116">
          <cell r="D116" t="str">
            <v xml:space="preserve"> </v>
          </cell>
        </row>
        <row r="117">
          <cell r="C117">
            <v>1114</v>
          </cell>
          <cell r="D117">
            <v>345</v>
          </cell>
          <cell r="F117">
            <v>920</v>
          </cell>
          <cell r="H117">
            <v>1114</v>
          </cell>
          <cell r="I117">
            <v>345</v>
          </cell>
        </row>
        <row r="119">
          <cell r="C119">
            <v>-373</v>
          </cell>
          <cell r="D119">
            <v>-116</v>
          </cell>
          <cell r="F119">
            <v>-225.55072463768116</v>
          </cell>
          <cell r="H119">
            <v>-342</v>
          </cell>
          <cell r="I119">
            <v>-116</v>
          </cell>
        </row>
        <row r="121">
          <cell r="C121">
            <v>0</v>
          </cell>
          <cell r="D121">
            <v>-0.36651583710408886</v>
          </cell>
          <cell r="F121">
            <v>8.2759525214754603E-2</v>
          </cell>
          <cell r="G121">
            <v>-57.917240474785217</v>
          </cell>
          <cell r="H121">
            <v>0</v>
          </cell>
          <cell r="I121">
            <v>-0.36651583710408886</v>
          </cell>
        </row>
        <row r="126">
          <cell r="C126">
            <v>-3756</v>
          </cell>
          <cell r="D126">
            <v>-1089</v>
          </cell>
          <cell r="E126">
            <v>730</v>
          </cell>
          <cell r="F126">
            <v>-11590</v>
          </cell>
          <cell r="G126">
            <v>-11590</v>
          </cell>
          <cell r="H126">
            <v>-3756</v>
          </cell>
          <cell r="I126">
            <v>-1089</v>
          </cell>
        </row>
        <row r="128">
          <cell r="C128">
            <v>1765</v>
          </cell>
          <cell r="D128">
            <v>512</v>
          </cell>
          <cell r="E128">
            <v>-730</v>
          </cell>
          <cell r="F128">
            <v>6436</v>
          </cell>
          <cell r="G128">
            <v>6967</v>
          </cell>
          <cell r="H128">
            <v>1765</v>
          </cell>
          <cell r="I128">
            <v>512</v>
          </cell>
        </row>
        <row r="130">
          <cell r="C130">
            <v>170</v>
          </cell>
          <cell r="D130">
            <v>46</v>
          </cell>
          <cell r="F130">
            <v>4</v>
          </cell>
          <cell r="G130">
            <v>10</v>
          </cell>
          <cell r="H130">
            <v>160</v>
          </cell>
          <cell r="I130">
            <v>46</v>
          </cell>
        </row>
        <row r="132">
          <cell r="C132">
            <v>0</v>
          </cell>
          <cell r="D132">
            <v>0</v>
          </cell>
          <cell r="F132">
            <v>0</v>
          </cell>
          <cell r="H132">
            <v>0</v>
          </cell>
          <cell r="I132">
            <v>0</v>
          </cell>
        </row>
        <row r="134">
          <cell r="C134">
            <v>0</v>
          </cell>
          <cell r="D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6">
          <cell r="C136">
            <v>0</v>
          </cell>
          <cell r="D136">
            <v>0</v>
          </cell>
          <cell r="F136">
            <v>0</v>
          </cell>
          <cell r="H136">
            <v>0</v>
          </cell>
          <cell r="I136">
            <v>0</v>
          </cell>
        </row>
        <row r="138">
          <cell r="C138">
            <v>539</v>
          </cell>
          <cell r="D138">
            <v>156</v>
          </cell>
          <cell r="F138">
            <v>1830</v>
          </cell>
          <cell r="G138">
            <v>1830</v>
          </cell>
          <cell r="H138">
            <v>539</v>
          </cell>
          <cell r="I138">
            <v>156</v>
          </cell>
        </row>
        <row r="140">
          <cell r="C140">
            <v>0</v>
          </cell>
          <cell r="D140">
            <v>0</v>
          </cell>
          <cell r="F140">
            <v>0</v>
          </cell>
          <cell r="H140">
            <v>0</v>
          </cell>
          <cell r="I140">
            <v>0</v>
          </cell>
        </row>
        <row r="142">
          <cell r="C142">
            <v>775</v>
          </cell>
          <cell r="D142">
            <v>5</v>
          </cell>
          <cell r="E142">
            <v>25</v>
          </cell>
          <cell r="F142">
            <v>2283</v>
          </cell>
          <cell r="G142">
            <v>2461</v>
          </cell>
          <cell r="H142">
            <v>800</v>
          </cell>
          <cell r="I142">
            <v>232</v>
          </cell>
        </row>
        <row r="144">
          <cell r="C144">
            <v>178</v>
          </cell>
          <cell r="D144">
            <v>0</v>
          </cell>
          <cell r="F144">
            <v>178</v>
          </cell>
          <cell r="G144">
            <v>-332</v>
          </cell>
          <cell r="H144">
            <v>0</v>
          </cell>
          <cell r="I144">
            <v>0</v>
          </cell>
        </row>
        <row r="146">
          <cell r="C146">
            <v>-13</v>
          </cell>
          <cell r="D146">
            <v>0</v>
          </cell>
          <cell r="F146">
            <v>-13</v>
          </cell>
          <cell r="H146">
            <v>0</v>
          </cell>
          <cell r="I146">
            <v>0</v>
          </cell>
        </row>
        <row r="148">
          <cell r="C148">
            <v>134</v>
          </cell>
          <cell r="D148">
            <v>2</v>
          </cell>
          <cell r="E148">
            <v>14</v>
          </cell>
          <cell r="F148">
            <v>112.44927536231884</v>
          </cell>
          <cell r="H148">
            <v>148</v>
          </cell>
          <cell r="I148">
            <v>26</v>
          </cell>
        </row>
        <row r="150">
          <cell r="C150">
            <v>6</v>
          </cell>
          <cell r="D150">
            <v>3</v>
          </cell>
          <cell r="E150">
            <v>2</v>
          </cell>
          <cell r="F150">
            <v>7</v>
          </cell>
          <cell r="G150">
            <v>7</v>
          </cell>
          <cell r="H150">
            <v>2</v>
          </cell>
          <cell r="I150">
            <v>1</v>
          </cell>
        </row>
        <row r="152">
          <cell r="C152">
            <v>54</v>
          </cell>
          <cell r="D152">
            <v>0</v>
          </cell>
          <cell r="F152">
            <v>54</v>
          </cell>
          <cell r="G152">
            <v>0</v>
          </cell>
          <cell r="H152">
            <v>0</v>
          </cell>
          <cell r="I152">
            <v>0</v>
          </cell>
        </row>
        <row r="154">
          <cell r="C154">
            <v>0</v>
          </cell>
          <cell r="D154">
            <v>0</v>
          </cell>
          <cell r="F154">
            <v>0</v>
          </cell>
          <cell r="H154">
            <v>0</v>
          </cell>
          <cell r="I154">
            <v>0</v>
          </cell>
        </row>
        <row r="156">
          <cell r="C156">
            <v>-54</v>
          </cell>
          <cell r="D156">
            <v>0</v>
          </cell>
          <cell r="F156">
            <v>-54</v>
          </cell>
          <cell r="H156">
            <v>0</v>
          </cell>
          <cell r="I156">
            <v>0</v>
          </cell>
        </row>
        <row r="158">
          <cell r="C158">
            <v>0</v>
          </cell>
          <cell r="D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</row>
        <row r="160">
          <cell r="C160">
            <v>0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2">
          <cell r="C162">
            <v>-373</v>
          </cell>
          <cell r="D162">
            <v>-116</v>
          </cell>
          <cell r="E162">
            <v>0</v>
          </cell>
          <cell r="F162">
            <v>-225.55072463768116</v>
          </cell>
          <cell r="H162">
            <v>-342</v>
          </cell>
          <cell r="I162">
            <v>-116</v>
          </cell>
        </row>
      </sheetData>
      <sheetData sheetId="2" refreshError="1">
        <row r="18">
          <cell r="D18">
            <v>3.4489999999999998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5">
          <cell r="C5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5">
          <cell r="C5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5">
          <cell r="C5">
            <v>0</v>
          </cell>
        </row>
      </sheetData>
      <sheetData sheetId="29"/>
      <sheetData sheetId="30"/>
      <sheetData sheetId="31">
        <row r="5">
          <cell r="C5">
            <v>0</v>
          </cell>
        </row>
      </sheetData>
      <sheetData sheetId="32"/>
      <sheetData sheetId="33"/>
      <sheetData sheetId="34" refreshError="1"/>
      <sheetData sheetId="35"/>
      <sheetData sheetId="36"/>
      <sheetData sheetId="37"/>
      <sheetData sheetId="3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 מתכונת הגשה מאוחד"/>
      <sheetName val="דוח מתכונת הגשה סולו ישראל"/>
      <sheetName val="מאזן הצמדה"/>
      <sheetName val="תז&quot;מ מאוחד"/>
    </sheetNames>
    <sheetDataSet>
      <sheetData sheetId="0">
        <row r="2">
          <cell r="A2" t="str">
            <v>Consolidated Balance Sheet as at December 31, 2001</v>
          </cell>
          <cell r="M2" t="str">
            <v>Internal and unaudited statement</v>
          </cell>
        </row>
        <row r="4">
          <cell r="E4" t="str">
            <v>December 31, 2001</v>
          </cell>
          <cell r="M4" t="str">
            <v>December 31, 2001</v>
          </cell>
        </row>
        <row r="5">
          <cell r="E5" t="str">
            <v>U.S. $</v>
          </cell>
          <cell r="M5" t="str">
            <v>U.S. $</v>
          </cell>
        </row>
        <row r="8">
          <cell r="A8" t="str">
            <v>Current Assets</v>
          </cell>
          <cell r="I8" t="str">
            <v>Current Liabilities</v>
          </cell>
        </row>
        <row r="9">
          <cell r="I9" t="str">
            <v>Short-Term Debts</v>
          </cell>
          <cell r="M9">
            <v>0</v>
          </cell>
        </row>
        <row r="10">
          <cell r="A10" t="str">
            <v xml:space="preserve">Cash and Cash Equivalents </v>
          </cell>
          <cell r="E10">
            <v>728707.74</v>
          </cell>
          <cell r="I10" t="str">
            <v>Accrued expenses &amp; accounts payable</v>
          </cell>
          <cell r="M10">
            <v>90122.222668342758</v>
          </cell>
        </row>
        <row r="11">
          <cell r="A11" t="str">
            <v>Trade Accounts Receivable, Net</v>
          </cell>
          <cell r="E11">
            <v>0</v>
          </cell>
          <cell r="I11" t="str">
            <v>Accrued payroll</v>
          </cell>
          <cell r="M11">
            <v>29232.57</v>
          </cell>
        </row>
        <row r="12">
          <cell r="A12" t="str">
            <v>Intercompany Receivable</v>
          </cell>
          <cell r="E12">
            <v>0</v>
          </cell>
          <cell r="I12" t="str">
            <v>Payroll institutions</v>
          </cell>
          <cell r="M12">
            <v>53376.807898550724</v>
          </cell>
        </row>
        <row r="13">
          <cell r="A13" t="str">
            <v>Prepaid Expenses &amp; income receivable</v>
          </cell>
          <cell r="E13">
            <v>5331</v>
          </cell>
          <cell r="I13" t="str">
            <v>Intercompany Payable - Short Term</v>
          </cell>
          <cell r="M13">
            <v>-2.0000000018626451E-2</v>
          </cell>
        </row>
        <row r="14">
          <cell r="A14" t="str">
            <v>Other Current Assets (mainly VAT to be received)</v>
          </cell>
          <cell r="E14">
            <v>44176.076559600289</v>
          </cell>
          <cell r="I14" t="str">
            <v xml:space="preserve">Accrued vacation </v>
          </cell>
          <cell r="M14">
            <v>55207.452663652613</v>
          </cell>
        </row>
        <row r="15">
          <cell r="E15">
            <v>778214.81655960029</v>
          </cell>
          <cell r="M15">
            <v>0</v>
          </cell>
        </row>
        <row r="16">
          <cell r="M16">
            <v>227939.03323054611</v>
          </cell>
        </row>
        <row r="17">
          <cell r="A17" t="str">
            <v>Fixed Assets</v>
          </cell>
          <cell r="I17" t="str">
            <v>Long-Term Debt</v>
          </cell>
        </row>
        <row r="18">
          <cell r="A18" t="str">
            <v>Fixed assets, gross</v>
          </cell>
          <cell r="E18">
            <v>48177.350000000006</v>
          </cell>
          <cell r="I18" t="str">
            <v>Accrued severance pay</v>
          </cell>
          <cell r="M18">
            <v>25115</v>
          </cell>
        </row>
        <row r="19">
          <cell r="A19" t="str">
            <v>Accumulated depreciation ( 33% for a year )</v>
          </cell>
          <cell r="E19">
            <v>-10301</v>
          </cell>
          <cell r="I19" t="str">
            <v>Bride loans</v>
          </cell>
          <cell r="M19">
            <v>510000</v>
          </cell>
        </row>
        <row r="20">
          <cell r="E20">
            <v>37876.350000000006</v>
          </cell>
          <cell r="I20" t="str">
            <v>Intercompany Payable - Long Term</v>
          </cell>
          <cell r="M20">
            <v>0</v>
          </cell>
        </row>
        <row r="21">
          <cell r="M21">
            <v>535115</v>
          </cell>
        </row>
        <row r="23">
          <cell r="A23" t="str">
            <v>Long term deposits ( rent &amp; cars lease )</v>
          </cell>
          <cell r="E23">
            <v>14270.38</v>
          </cell>
          <cell r="I23" t="str">
            <v>Total Liabilities</v>
          </cell>
          <cell r="M23">
            <v>763054.03323054616</v>
          </cell>
        </row>
        <row r="25">
          <cell r="A25" t="str">
            <v>Other Assets</v>
          </cell>
          <cell r="E25">
            <v>0</v>
          </cell>
          <cell r="I25" t="str">
            <v>Shareholders' Equity</v>
          </cell>
        </row>
        <row r="26">
          <cell r="I26" t="str">
            <v>Share capital</v>
          </cell>
          <cell r="M26">
            <v>13815</v>
          </cell>
        </row>
        <row r="27">
          <cell r="I27" t="str">
            <v>Additional paid-in capital</v>
          </cell>
          <cell r="M27">
            <v>1604187</v>
          </cell>
        </row>
        <row r="28">
          <cell r="I28" t="str">
            <v>Accumulated deficit</v>
          </cell>
          <cell r="M28">
            <v>-49200</v>
          </cell>
        </row>
        <row r="29">
          <cell r="I29" t="str">
            <v>Net Income/(loss)</v>
          </cell>
          <cell r="M29">
            <v>-1501494</v>
          </cell>
        </row>
        <row r="30">
          <cell r="I30" t="str">
            <v>Total Shareholder's (deficiency) Equity</v>
          </cell>
          <cell r="M30">
            <v>67308</v>
          </cell>
        </row>
        <row r="32">
          <cell r="E32">
            <v>830361.54655960028</v>
          </cell>
          <cell r="M32">
            <v>830362.03323054616</v>
          </cell>
        </row>
        <row r="34">
          <cell r="M34">
            <v>0.48667094588745385</v>
          </cell>
        </row>
        <row r="37">
          <cell r="A37" t="str">
            <v>Page 2</v>
          </cell>
          <cell r="I37" t="str">
            <v>page 3</v>
          </cell>
        </row>
        <row r="45">
          <cell r="I45" t="str">
            <v>Consolidated statements of profit and loss</v>
          </cell>
        </row>
        <row r="48">
          <cell r="K48" t="str">
            <v>December 31, 2001</v>
          </cell>
          <cell r="M48" t="str">
            <v>December 31, 2000</v>
          </cell>
        </row>
        <row r="49">
          <cell r="K49" t="str">
            <v>U.S. $</v>
          </cell>
        </row>
        <row r="51">
          <cell r="I51" t="str">
            <v>Revenues</v>
          </cell>
          <cell r="K51">
            <v>0</v>
          </cell>
          <cell r="M51">
            <v>0</v>
          </cell>
        </row>
        <row r="52">
          <cell r="I52" t="str">
            <v>Cost of Sales</v>
          </cell>
          <cell r="K52">
            <v>0</v>
          </cell>
        </row>
        <row r="54">
          <cell r="I54" t="str">
            <v>Gross Profit</v>
          </cell>
          <cell r="K54">
            <v>0</v>
          </cell>
          <cell r="M54">
            <v>0</v>
          </cell>
        </row>
        <row r="56">
          <cell r="I56" t="str">
            <v>Operating Expenses</v>
          </cell>
        </row>
        <row r="57">
          <cell r="I57" t="str">
            <v>R&amp;D (Note 1)</v>
          </cell>
          <cell r="K57">
            <v>1057359.2678430958</v>
          </cell>
          <cell r="M57" t="e">
            <v>#REF!</v>
          </cell>
        </row>
        <row r="58">
          <cell r="I58" t="str">
            <v>Engineering (Note 2)</v>
          </cell>
        </row>
        <row r="59">
          <cell r="I59" t="str">
            <v>Operation (Note 2)</v>
          </cell>
          <cell r="K59">
            <v>647.9</v>
          </cell>
          <cell r="M59">
            <v>0</v>
          </cell>
        </row>
        <row r="60">
          <cell r="I60" t="str">
            <v>Marketing (Note 3)</v>
          </cell>
          <cell r="K60">
            <v>0</v>
          </cell>
          <cell r="M60">
            <v>0</v>
          </cell>
        </row>
        <row r="61">
          <cell r="I61" t="str">
            <v>G&amp;A (Mote 4)</v>
          </cell>
          <cell r="K61">
            <v>448248.83616419759</v>
          </cell>
          <cell r="M61" t="e">
            <v>#REF!</v>
          </cell>
        </row>
        <row r="63">
          <cell r="I63" t="str">
            <v>Total Expenses</v>
          </cell>
          <cell r="K63">
            <v>1506256.0040072934</v>
          </cell>
          <cell r="M63" t="e">
            <v>#REF!</v>
          </cell>
        </row>
        <row r="65">
          <cell r="I65" t="str">
            <v>Net Ordinary Income (loss)</v>
          </cell>
          <cell r="K65">
            <v>-1506256.0040072934</v>
          </cell>
          <cell r="M65" t="e">
            <v>#REF!</v>
          </cell>
        </row>
        <row r="67">
          <cell r="I67" t="str">
            <v>Other Expenses</v>
          </cell>
        </row>
        <row r="68">
          <cell r="I68" t="str">
            <v>Interest Expenses (income)</v>
          </cell>
          <cell r="K68">
            <v>-4761.88</v>
          </cell>
          <cell r="M68" t="e">
            <v>#REF!</v>
          </cell>
        </row>
        <row r="70">
          <cell r="I70" t="str">
            <v>Net Income (loss)</v>
          </cell>
          <cell r="K70">
            <v>-1501494.1240072935</v>
          </cell>
          <cell r="M70" t="e">
            <v>#REF!</v>
          </cell>
        </row>
        <row r="72">
          <cell r="I72" t="str">
            <v>Retained Earnings at the beginning of the period</v>
          </cell>
          <cell r="K72">
            <v>-49200</v>
          </cell>
        </row>
        <row r="74">
          <cell r="I74" t="str">
            <v>Retained Earnings at the end of the period</v>
          </cell>
          <cell r="K74">
            <v>-1550694.1240072935</v>
          </cell>
        </row>
        <row r="78">
          <cell r="I78" t="str">
            <v>page 4</v>
          </cell>
        </row>
        <row r="80">
          <cell r="H80" t="str">
            <v>Notes to the consolidated statements of profit and loss</v>
          </cell>
        </row>
        <row r="82">
          <cell r="K82" t="str">
            <v>December 31, 2001</v>
          </cell>
        </row>
        <row r="83">
          <cell r="K83" t="str">
            <v>U.S. $</v>
          </cell>
        </row>
        <row r="85">
          <cell r="H85" t="str">
            <v xml:space="preserve">Note 1 - </v>
          </cell>
          <cell r="I85" t="str">
            <v>R&amp;D</v>
          </cell>
        </row>
        <row r="86">
          <cell r="I86" t="str">
            <v>Salaries and Employees related costs - R&amp;D</v>
          </cell>
          <cell r="K86">
            <v>724153.07000000018</v>
          </cell>
        </row>
        <row r="87">
          <cell r="I87" t="str">
            <v>Rent and maintenance - R&amp;D</v>
          </cell>
          <cell r="K87">
            <v>35403.356747850332</v>
          </cell>
        </row>
        <row r="88">
          <cell r="I88" t="str">
            <v>Communication - R&amp;D</v>
          </cell>
          <cell r="K88">
            <v>5163.4630755018716</v>
          </cell>
        </row>
        <row r="89">
          <cell r="I89" t="str">
            <v>Travel abroad - R&amp;D</v>
          </cell>
          <cell r="K89">
            <v>50236.349999999991</v>
          </cell>
        </row>
        <row r="90">
          <cell r="I90" t="str">
            <v>Maintenance and commputing - R&amp;D</v>
          </cell>
          <cell r="K90">
            <v>0</v>
          </cell>
        </row>
        <row r="91">
          <cell r="I91" t="str">
            <v>prototype - R&amp;D</v>
          </cell>
          <cell r="K91">
            <v>4910.3225006151479</v>
          </cell>
        </row>
        <row r="92">
          <cell r="I92" t="str">
            <v>Office expenses and maintenance - R&amp;D</v>
          </cell>
          <cell r="K92">
            <v>5274.3063662433669</v>
          </cell>
        </row>
        <row r="93">
          <cell r="I93" t="str">
            <v>Employee meals &amp; Entertainment - R&amp;D</v>
          </cell>
          <cell r="K93">
            <v>0</v>
          </cell>
        </row>
        <row r="94">
          <cell r="I94" t="str">
            <v>Consulting  - R&amp;D</v>
          </cell>
          <cell r="K94">
            <v>206115.46737718399</v>
          </cell>
        </row>
        <row r="95">
          <cell r="I95" t="str">
            <v>Sub. contractors  - R&amp;D</v>
          </cell>
          <cell r="K95">
            <v>8350.51</v>
          </cell>
        </row>
        <row r="96">
          <cell r="I96" t="str">
            <v>Depreciation - R&amp;D</v>
          </cell>
          <cell r="K96">
            <v>8429.8317757009336</v>
          </cell>
        </row>
        <row r="97">
          <cell r="I97" t="str">
            <v>Other - R&amp;D</v>
          </cell>
          <cell r="K97">
            <v>9322.59</v>
          </cell>
        </row>
        <row r="98">
          <cell r="I98" t="str">
            <v xml:space="preserve">Total R&amp;D </v>
          </cell>
          <cell r="K98">
            <v>1057359.2678430958</v>
          </cell>
        </row>
        <row r="100">
          <cell r="H100" t="str">
            <v xml:space="preserve">Note 2 - </v>
          </cell>
          <cell r="I100" t="str">
            <v>Engineering</v>
          </cell>
        </row>
        <row r="101">
          <cell r="I101" t="str">
            <v>Salaries and Employees related costs</v>
          </cell>
        </row>
        <row r="102">
          <cell r="I102" t="str">
            <v>Rent and maintenance</v>
          </cell>
        </row>
        <row r="103">
          <cell r="I103" t="str">
            <v>Communication</v>
          </cell>
        </row>
        <row r="104">
          <cell r="I104" t="str">
            <v>Travel abroad</v>
          </cell>
        </row>
        <row r="105">
          <cell r="I105" t="str">
            <v>Car maintenance and commuting</v>
          </cell>
        </row>
        <row r="106">
          <cell r="I106" t="str">
            <v>Office expenses and maintenance</v>
          </cell>
        </row>
        <row r="107">
          <cell r="I107" t="str">
            <v>Employee meals &amp; Entertainment</v>
          </cell>
        </row>
        <row r="108">
          <cell r="I108" t="str">
            <v>Engineering</v>
          </cell>
        </row>
        <row r="109">
          <cell r="I109" t="str">
            <v>Depreciation</v>
          </cell>
        </row>
        <row r="110">
          <cell r="I110">
            <v>0</v>
          </cell>
        </row>
        <row r="111">
          <cell r="H111" t="str">
            <v xml:space="preserve">Note 2 - </v>
          </cell>
          <cell r="I111" t="str">
            <v>Total Engineering</v>
          </cell>
          <cell r="K111">
            <v>0</v>
          </cell>
        </row>
        <row r="112">
          <cell r="H112" t="str">
            <v xml:space="preserve">Note 2 - </v>
          </cell>
          <cell r="I112" t="str">
            <v>Operation</v>
          </cell>
        </row>
        <row r="113">
          <cell r="I113" t="str">
            <v>Salaries and Employees related costs - Operation</v>
          </cell>
          <cell r="K113">
            <v>647.9</v>
          </cell>
        </row>
        <row r="114">
          <cell r="I114" t="str">
            <v>Rent and maintenance - Operation</v>
          </cell>
          <cell r="K114">
            <v>0</v>
          </cell>
        </row>
        <row r="115">
          <cell r="I115" t="str">
            <v>Communication - Operation</v>
          </cell>
          <cell r="K115">
            <v>0</v>
          </cell>
        </row>
        <row r="116">
          <cell r="I116" t="str">
            <v>Travel abroad - Operation</v>
          </cell>
          <cell r="K116">
            <v>0</v>
          </cell>
        </row>
        <row r="117">
          <cell r="I117" t="str">
            <v>Maintenance and commputing - Operation</v>
          </cell>
          <cell r="K117">
            <v>0</v>
          </cell>
        </row>
        <row r="118">
          <cell r="I118" t="str">
            <v>Office expenses and maintenance - Operation</v>
          </cell>
          <cell r="K118">
            <v>0</v>
          </cell>
        </row>
        <row r="119">
          <cell r="I119" t="str">
            <v>Employee meals &amp; Entertainment - Operation</v>
          </cell>
          <cell r="K119">
            <v>0</v>
          </cell>
        </row>
        <row r="120">
          <cell r="I120" t="str">
            <v>Consulting  - Operation</v>
          </cell>
          <cell r="K120">
            <v>0</v>
          </cell>
        </row>
        <row r="121">
          <cell r="I121" t="str">
            <v>Depreciation - Operation</v>
          </cell>
          <cell r="K121">
            <v>0</v>
          </cell>
        </row>
        <row r="122">
          <cell r="I122" t="str">
            <v>Other - Operation</v>
          </cell>
          <cell r="K122">
            <v>0</v>
          </cell>
        </row>
        <row r="124">
          <cell r="I124" t="str">
            <v>Total operation</v>
          </cell>
          <cell r="K124">
            <v>647.9</v>
          </cell>
        </row>
        <row r="126">
          <cell r="H126" t="str">
            <v xml:space="preserve">Note 3 - </v>
          </cell>
          <cell r="I126" t="str">
            <v>Marketing</v>
          </cell>
        </row>
        <row r="127">
          <cell r="I127" t="str">
            <v>Salaries and Employees related costs - Marketing</v>
          </cell>
          <cell r="K127">
            <v>0</v>
          </cell>
        </row>
        <row r="128">
          <cell r="I128" t="str">
            <v>Rent and maintenance - Marketing</v>
          </cell>
          <cell r="K128">
            <v>0</v>
          </cell>
        </row>
        <row r="129">
          <cell r="I129" t="str">
            <v>Communication - Marketing</v>
          </cell>
          <cell r="K129">
            <v>0</v>
          </cell>
        </row>
        <row r="130">
          <cell r="I130" t="str">
            <v>Travel abroad - Marketing</v>
          </cell>
          <cell r="K130">
            <v>0</v>
          </cell>
        </row>
        <row r="131">
          <cell r="I131" t="str">
            <v>Maintenance and commputing - Marketing</v>
          </cell>
          <cell r="K131">
            <v>0</v>
          </cell>
        </row>
        <row r="132">
          <cell r="I132" t="str">
            <v>Office expenses and maintenance - Marketing</v>
          </cell>
          <cell r="K132">
            <v>0</v>
          </cell>
        </row>
        <row r="133">
          <cell r="I133" t="str">
            <v>Employee meals &amp; Entertainment - Marketing</v>
          </cell>
          <cell r="K133">
            <v>0</v>
          </cell>
        </row>
        <row r="134">
          <cell r="I134" t="str">
            <v>Depreciation - Marketing</v>
          </cell>
          <cell r="K134">
            <v>0</v>
          </cell>
        </row>
        <row r="135">
          <cell r="I135" t="str">
            <v>Consulting  - Marketing</v>
          </cell>
          <cell r="K135">
            <v>0</v>
          </cell>
        </row>
        <row r="136">
          <cell r="I136" t="str">
            <v>Marketing - Marketing</v>
          </cell>
          <cell r="K136">
            <v>0</v>
          </cell>
        </row>
        <row r="137">
          <cell r="I137" t="str">
            <v>Other - Marketing</v>
          </cell>
          <cell r="K137">
            <v>0</v>
          </cell>
        </row>
        <row r="138">
          <cell r="I138" t="str">
            <v>Total Marketing</v>
          </cell>
          <cell r="K138">
            <v>0</v>
          </cell>
        </row>
        <row r="140">
          <cell r="H140" t="str">
            <v xml:space="preserve">Note 4 - </v>
          </cell>
          <cell r="I140" t="str">
            <v>General and Administrative (Note 4)</v>
          </cell>
        </row>
        <row r="141">
          <cell r="I141" t="str">
            <v>Salaries and Employees related costs - General and Administrative</v>
          </cell>
          <cell r="K141">
            <v>170481.3695907685</v>
          </cell>
        </row>
        <row r="142">
          <cell r="I142" t="str">
            <v>Rent and maintenance - General and Administrative</v>
          </cell>
          <cell r="K142">
            <v>21417.644470693958</v>
          </cell>
        </row>
        <row r="143">
          <cell r="I143" t="str">
            <v>Communication - General and Administrative</v>
          </cell>
          <cell r="K143">
            <v>17417.230616207868</v>
          </cell>
        </row>
        <row r="144">
          <cell r="I144" t="str">
            <v>Travel abroad - General and Administrative</v>
          </cell>
          <cell r="K144">
            <v>51880.15309778729</v>
          </cell>
        </row>
        <row r="145">
          <cell r="I145" t="str">
            <v>Maintenance and commputing - General and Administrative</v>
          </cell>
          <cell r="K145">
            <v>871.32</v>
          </cell>
        </row>
        <row r="146">
          <cell r="I146" t="str">
            <v>Office expenses and maintenance - General and Administrative</v>
          </cell>
          <cell r="K146">
            <v>11341.247060084756</v>
          </cell>
        </row>
        <row r="147">
          <cell r="I147" t="str">
            <v>Employee meals &amp; Entertainment - General and Administrative</v>
          </cell>
          <cell r="K147">
            <v>0</v>
          </cell>
        </row>
        <row r="148">
          <cell r="I148" t="str">
            <v>Depreciation - General and Administrative</v>
          </cell>
          <cell r="K148">
            <v>1482.1682242990653</v>
          </cell>
        </row>
        <row r="149">
          <cell r="I149" t="str">
            <v>Marketing - General and Administrative</v>
          </cell>
          <cell r="K149">
            <v>0</v>
          </cell>
        </row>
        <row r="150">
          <cell r="I150" t="str">
            <v>Consulting - General and Administrative</v>
          </cell>
          <cell r="K150">
            <v>18974.509999999998</v>
          </cell>
        </row>
        <row r="151">
          <cell r="I151" t="str">
            <v>Professional Services- General and Administrative</v>
          </cell>
          <cell r="K151">
            <v>140578.45176540565</v>
          </cell>
        </row>
        <row r="152">
          <cell r="I152" t="str">
            <v>Other - General and Administrative</v>
          </cell>
          <cell r="K152">
            <v>13804.74133895044</v>
          </cell>
        </row>
        <row r="153">
          <cell r="I153" t="str">
            <v>Total G&amp;A</v>
          </cell>
          <cell r="K153">
            <v>448248.83616419759</v>
          </cell>
        </row>
        <row r="156">
          <cell r="H156" t="str">
            <v xml:space="preserve">Note 5 - </v>
          </cell>
          <cell r="I156" t="str">
            <v>Interest Expenses (income)</v>
          </cell>
          <cell r="K156">
            <v>-4761.88</v>
          </cell>
        </row>
        <row r="157">
          <cell r="I157" t="str">
            <v>Interest Expenses</v>
          </cell>
          <cell r="K157">
            <v>0</v>
          </cell>
        </row>
        <row r="158">
          <cell r="I158" t="str">
            <v>Interest income</v>
          </cell>
          <cell r="K158">
            <v>0</v>
          </cell>
        </row>
        <row r="159">
          <cell r="I159" t="str">
            <v>Diff.&amp; Exchange Loss (Gain)</v>
          </cell>
          <cell r="K159">
            <v>0</v>
          </cell>
        </row>
        <row r="161">
          <cell r="I161" t="str">
            <v>Total Interest Expenses (income)</v>
          </cell>
          <cell r="K161">
            <v>-4761.88</v>
          </cell>
        </row>
        <row r="168">
          <cell r="I168" t="str">
            <v>page 6</v>
          </cell>
        </row>
        <row r="171">
          <cell r="E171">
            <v>0</v>
          </cell>
        </row>
        <row r="172">
          <cell r="A172" t="str">
            <v>Consolidated statements of cash flows</v>
          </cell>
          <cell r="E172" t="str">
            <v>Internal and unaudited statement</v>
          </cell>
        </row>
        <row r="173">
          <cell r="E173" t="str">
            <v>December 31, 2001</v>
          </cell>
        </row>
        <row r="174">
          <cell r="E174" t="str">
            <v>U.S. $</v>
          </cell>
        </row>
        <row r="175">
          <cell r="E175">
            <v>0</v>
          </cell>
        </row>
        <row r="176">
          <cell r="A176" t="str">
            <v>OPERATING ACTIVITIES</v>
          </cell>
        </row>
        <row r="177">
          <cell r="A177" t="str">
            <v>Net Income (Loss)</v>
          </cell>
          <cell r="E177">
            <v>-1501494.1240072935</v>
          </cell>
        </row>
        <row r="179">
          <cell r="A179" t="str">
            <v>Adjustments to reconcile Net Income</v>
          </cell>
        </row>
        <row r="180">
          <cell r="A180" t="str">
            <v>to net cash provided by operations:</v>
          </cell>
        </row>
        <row r="181">
          <cell r="A181" t="str">
            <v>Depreciation &amp; Amortization</v>
          </cell>
        </row>
        <row r="182">
          <cell r="A182" t="str">
            <v>Change in Provision for Accrued severance pay</v>
          </cell>
        </row>
        <row r="184">
          <cell r="A184" t="str">
            <v>Change in assets &amp; Liabilities:</v>
          </cell>
        </row>
        <row r="185">
          <cell r="A185" t="str">
            <v xml:space="preserve">  Prepaid &amp; other assets</v>
          </cell>
        </row>
        <row r="186">
          <cell r="A186" t="str">
            <v xml:space="preserve">  Accrued expenses &amp; accounts payable</v>
          </cell>
        </row>
        <row r="187">
          <cell r="A187" t="str">
            <v xml:space="preserve">  Accrued payroll</v>
          </cell>
        </row>
        <row r="188">
          <cell r="A188" t="str">
            <v xml:space="preserve">  Other liabilities</v>
          </cell>
        </row>
        <row r="189">
          <cell r="A189" t="str">
            <v>Net cash used in Operating Activities</v>
          </cell>
          <cell r="E189">
            <v>-1501495</v>
          </cell>
        </row>
        <row r="191">
          <cell r="A191" t="str">
            <v>INVESTING ACTIVITIES</v>
          </cell>
        </row>
        <row r="192">
          <cell r="A192" t="str">
            <v xml:space="preserve"> Deposits</v>
          </cell>
        </row>
        <row r="193">
          <cell r="A193" t="str">
            <v>Purchase of property and equipments</v>
          </cell>
        </row>
        <row r="194">
          <cell r="A194" t="str">
            <v>Net cash used in Investing Activities</v>
          </cell>
          <cell r="E194">
            <v>0</v>
          </cell>
        </row>
        <row r="196">
          <cell r="A196" t="str">
            <v>FINANCING ACTIVITIES</v>
          </cell>
        </row>
        <row r="197">
          <cell r="A197" t="str">
            <v>Change in Short-Term Debts, Net</v>
          </cell>
          <cell r="E197">
            <v>0</v>
          </cell>
        </row>
        <row r="198">
          <cell r="A198" t="str">
            <v>Proceeds from Atrica Ltd</v>
          </cell>
          <cell r="E198">
            <v>0</v>
          </cell>
        </row>
        <row r="199">
          <cell r="A199" t="str">
            <v>Payments to Atrica Ltd - SAS</v>
          </cell>
        </row>
        <row r="200">
          <cell r="A200" t="str">
            <v>Payments to Atrica Inc - USA</v>
          </cell>
        </row>
        <row r="201">
          <cell r="A201" t="str">
            <v>Proceeds from issuance of Share Capital, net</v>
          </cell>
          <cell r="E201">
            <v>0</v>
          </cell>
        </row>
        <row r="202">
          <cell r="A202" t="str">
            <v>Net cash provided by Financing Activities</v>
          </cell>
          <cell r="E202">
            <v>0</v>
          </cell>
        </row>
        <row r="203">
          <cell r="A203" t="str">
            <v>Net increase (decrease)  in cash and</v>
          </cell>
        </row>
        <row r="204">
          <cell r="A204" t="str">
            <v>cash equivalents</v>
          </cell>
          <cell r="E204">
            <v>-1501495</v>
          </cell>
        </row>
        <row r="205">
          <cell r="A205" t="str">
            <v>Cash and cash equivalents at beginning of period</v>
          </cell>
          <cell r="E205">
            <v>0</v>
          </cell>
        </row>
        <row r="206">
          <cell r="A206" t="str">
            <v>Cash and cash equivalents at end of period</v>
          </cell>
          <cell r="E206">
            <v>-1501495</v>
          </cell>
        </row>
        <row r="209">
          <cell r="A209" t="str">
            <v>Non cash activity - Purchase of property</v>
          </cell>
          <cell r="E209">
            <v>-495611.97723335802</v>
          </cell>
        </row>
        <row r="213">
          <cell r="A213" t="str">
            <v>page 5</v>
          </cell>
        </row>
        <row r="219">
          <cell r="A219" t="str">
            <v xml:space="preserve"> Internal and Unaudited Consolidated financial statements as at December 31,2001</v>
          </cell>
        </row>
        <row r="222">
          <cell r="A222" t="str">
            <v>Contents</v>
          </cell>
        </row>
        <row r="224">
          <cell r="D224" t="str">
            <v>Page</v>
          </cell>
        </row>
        <row r="226">
          <cell r="A226" t="str">
            <v>Unaudited balance sheet</v>
          </cell>
          <cell r="D226" t="str">
            <v>2-3</v>
          </cell>
        </row>
        <row r="228">
          <cell r="A228" t="str">
            <v xml:space="preserve">Unaudited  statement of profit and loss </v>
          </cell>
          <cell r="D228" t="str">
            <v>4</v>
          </cell>
        </row>
        <row r="230">
          <cell r="A230" t="str">
            <v>Unaudited Statement of Cash flows</v>
          </cell>
          <cell r="D230" t="str">
            <v>5</v>
          </cell>
        </row>
        <row r="232">
          <cell r="A232" t="str">
            <v>Notes to the Financial Statements</v>
          </cell>
          <cell r="D232" t="str">
            <v>6</v>
          </cell>
        </row>
        <row r="265">
          <cell r="A265" t="str">
            <v>page 1</v>
          </cell>
        </row>
        <row r="285">
          <cell r="A285" t="str">
            <v>Vimatix Inc.</v>
          </cell>
        </row>
        <row r="287">
          <cell r="A287" t="str">
            <v>CONSOLIDATED FINANCIAL STATEMENTS</v>
          </cell>
        </row>
        <row r="289">
          <cell r="A289" t="str">
            <v>As at December 31, 2001</v>
          </cell>
        </row>
        <row r="314">
          <cell r="E314">
            <v>37465.858772106483</v>
          </cell>
        </row>
      </sheetData>
      <sheetData sheetId="1">
        <row r="79">
          <cell r="I79" t="str">
            <v>Notes to the Finaical statements of profit and loss</v>
          </cell>
        </row>
        <row r="81">
          <cell r="L81" t="str">
            <v>Period ended December 31, 2001</v>
          </cell>
        </row>
        <row r="82">
          <cell r="L82" t="str">
            <v>ILS</v>
          </cell>
        </row>
        <row r="84">
          <cell r="I84" t="str">
            <v xml:space="preserve">Nhte 1 - </v>
          </cell>
          <cell r="J84" t="str">
            <v>R&amp;D</v>
          </cell>
        </row>
        <row r="85">
          <cell r="J85" t="str">
            <v>Salaries and Employees related costs - R&amp;D</v>
          </cell>
          <cell r="L85">
            <v>3070401.0000000005</v>
          </cell>
        </row>
        <row r="86">
          <cell r="J86" t="str">
            <v>Rent and maintenance - R&amp;D</v>
          </cell>
          <cell r="L86">
            <v>148800.30841121497</v>
          </cell>
        </row>
        <row r="87">
          <cell r="J87" t="str">
            <v>Communication - R&amp;D</v>
          </cell>
          <cell r="L87">
            <v>21702.035306334372</v>
          </cell>
        </row>
        <row r="88">
          <cell r="J88" t="str">
            <v>Travel abroad - R&amp;D</v>
          </cell>
          <cell r="L88">
            <v>212870.09000000003</v>
          </cell>
        </row>
        <row r="89">
          <cell r="J89" t="str">
            <v>Maintenance and commputing - R&amp;D</v>
          </cell>
          <cell r="L89">
            <v>0</v>
          </cell>
        </row>
        <row r="90">
          <cell r="J90" t="str">
            <v>prototype - R&amp;D</v>
          </cell>
          <cell r="L90">
            <v>20638.085470085469</v>
          </cell>
        </row>
        <row r="91">
          <cell r="J91" t="str">
            <v>Office expenses and maintenance - R&amp;D</v>
          </cell>
          <cell r="L91">
            <v>22167.909657320874</v>
          </cell>
        </row>
        <row r="92">
          <cell r="J92" t="str">
            <v>Employee meals &amp; Entertainment - R&amp;D</v>
          </cell>
          <cell r="L92">
            <v>0</v>
          </cell>
        </row>
        <row r="93">
          <cell r="J93" t="str">
            <v>Consulting  - R&amp;D</v>
          </cell>
          <cell r="L93">
            <v>527317.04</v>
          </cell>
        </row>
        <row r="94">
          <cell r="J94" t="str">
            <v>Sub. contractors  - R&amp;D</v>
          </cell>
          <cell r="L94">
            <v>35414.53</v>
          </cell>
        </row>
        <row r="95">
          <cell r="J95" t="str">
            <v>Depreciation - R&amp;D</v>
          </cell>
          <cell r="L95">
            <v>34722.878504672895</v>
          </cell>
        </row>
        <row r="96">
          <cell r="J96" t="str">
            <v>Other - R&amp;D</v>
          </cell>
          <cell r="L96">
            <v>7683.79</v>
          </cell>
        </row>
        <row r="97">
          <cell r="J97" t="str">
            <v xml:space="preserve">Total R&amp;D </v>
          </cell>
          <cell r="L97">
            <v>4101717.6673496291</v>
          </cell>
        </row>
        <row r="99">
          <cell r="I99" t="str">
            <v xml:space="preserve">Nhte 2 - </v>
          </cell>
          <cell r="J99" t="str">
            <v>Engineering</v>
          </cell>
        </row>
        <row r="100">
          <cell r="J100" t="str">
            <v>Salaries and Employees related costs</v>
          </cell>
        </row>
        <row r="101">
          <cell r="J101" t="str">
            <v>Rent and maintenance</v>
          </cell>
        </row>
        <row r="102">
          <cell r="J102" t="str">
            <v>Communication</v>
          </cell>
        </row>
        <row r="103">
          <cell r="J103" t="str">
            <v>Travel abroad</v>
          </cell>
        </row>
        <row r="104">
          <cell r="J104" t="str">
            <v>Car maintenance and commuting</v>
          </cell>
        </row>
        <row r="105">
          <cell r="J105" t="str">
            <v>Office expenses and maintenance</v>
          </cell>
        </row>
        <row r="106">
          <cell r="J106" t="str">
            <v>Employee meals &amp; Entertainment</v>
          </cell>
        </row>
        <row r="107">
          <cell r="J107" t="str">
            <v>Engineering</v>
          </cell>
        </row>
        <row r="108">
          <cell r="J108" t="str">
            <v>Depreciation</v>
          </cell>
        </row>
        <row r="109">
          <cell r="J109">
            <v>0</v>
          </cell>
        </row>
        <row r="110">
          <cell r="I110" t="str">
            <v xml:space="preserve">Nhte 2 - </v>
          </cell>
          <cell r="J110" t="str">
            <v>Total Engineering</v>
          </cell>
          <cell r="L110">
            <v>0</v>
          </cell>
        </row>
        <row r="111">
          <cell r="I111" t="str">
            <v xml:space="preserve">Nhte 2 - </v>
          </cell>
          <cell r="J111" t="str">
            <v>Operation</v>
          </cell>
        </row>
        <row r="112">
          <cell r="J112" t="str">
            <v>Salaries and Employees related costs - Operation</v>
          </cell>
          <cell r="L112">
            <v>2680.34</v>
          </cell>
        </row>
        <row r="113">
          <cell r="J113" t="str">
            <v>Rent and maintenance - Operation</v>
          </cell>
          <cell r="L113">
            <v>0</v>
          </cell>
        </row>
        <row r="114">
          <cell r="J114" t="str">
            <v>Communication - Operation</v>
          </cell>
          <cell r="L114">
            <v>0</v>
          </cell>
        </row>
        <row r="115">
          <cell r="J115" t="str">
            <v>Travel abroad - Operation</v>
          </cell>
          <cell r="L115">
            <v>0</v>
          </cell>
        </row>
        <row r="116">
          <cell r="J116" t="str">
            <v>Maintenance and commputing - Operation</v>
          </cell>
          <cell r="L116">
            <v>0</v>
          </cell>
        </row>
        <row r="117">
          <cell r="J117" t="str">
            <v>Office expenses and maintenance - Operation</v>
          </cell>
          <cell r="L117">
            <v>0</v>
          </cell>
        </row>
        <row r="118">
          <cell r="J118" t="str">
            <v>Employee meals &amp; Entertainment - Operation</v>
          </cell>
          <cell r="L118">
            <v>0</v>
          </cell>
        </row>
        <row r="119">
          <cell r="J119" t="str">
            <v>Consulting  - Operation</v>
          </cell>
          <cell r="L119">
            <v>0</v>
          </cell>
        </row>
        <row r="120">
          <cell r="J120" t="str">
            <v>Depreciation - Operation</v>
          </cell>
          <cell r="L120">
            <v>0</v>
          </cell>
        </row>
        <row r="121">
          <cell r="J121" t="str">
            <v>Other - Operation</v>
          </cell>
          <cell r="L121">
            <v>0</v>
          </cell>
        </row>
        <row r="123">
          <cell r="J123" t="str">
            <v>Total operation</v>
          </cell>
          <cell r="L123">
            <v>2680.34</v>
          </cell>
        </row>
        <row r="125">
          <cell r="I125" t="str">
            <v xml:space="preserve">Nhte 3 - </v>
          </cell>
          <cell r="J125" t="str">
            <v>Marketing</v>
          </cell>
        </row>
        <row r="126">
          <cell r="J126" t="str">
            <v>Salaries and Employees related costs - Marketing</v>
          </cell>
          <cell r="L126">
            <v>0</v>
          </cell>
        </row>
        <row r="127">
          <cell r="J127" t="str">
            <v>Rent and maintenance - Marketing</v>
          </cell>
          <cell r="L127">
            <v>0</v>
          </cell>
        </row>
        <row r="128">
          <cell r="J128" t="str">
            <v>Communication - Marketing</v>
          </cell>
          <cell r="L128">
            <v>0</v>
          </cell>
        </row>
        <row r="129">
          <cell r="J129" t="str">
            <v>Travel abroad - Marketing</v>
          </cell>
          <cell r="L129">
            <v>0</v>
          </cell>
        </row>
        <row r="130">
          <cell r="J130" t="str">
            <v>Maintenance and commputing - Marketing</v>
          </cell>
          <cell r="L130">
            <v>0</v>
          </cell>
        </row>
        <row r="131">
          <cell r="J131" t="str">
            <v>Office expenses and maintenance - Marketing</v>
          </cell>
          <cell r="L131">
            <v>0</v>
          </cell>
        </row>
        <row r="132">
          <cell r="J132" t="str">
            <v>Employee meals &amp; Entertainment - Marketing</v>
          </cell>
          <cell r="L132">
            <v>0</v>
          </cell>
        </row>
        <row r="133">
          <cell r="J133" t="str">
            <v>Depreciation - Marketing</v>
          </cell>
          <cell r="L133">
            <v>0</v>
          </cell>
        </row>
        <row r="134">
          <cell r="J134" t="str">
            <v>Marketing - Marketing</v>
          </cell>
          <cell r="L134">
            <v>0</v>
          </cell>
        </row>
        <row r="135">
          <cell r="J135" t="str">
            <v>Other - Marketing</v>
          </cell>
          <cell r="L135">
            <v>0</v>
          </cell>
        </row>
        <row r="136">
          <cell r="L136">
            <v>0</v>
          </cell>
        </row>
        <row r="137">
          <cell r="J137" t="str">
            <v>Total Marketing</v>
          </cell>
          <cell r="L137">
            <v>0</v>
          </cell>
        </row>
        <row r="139">
          <cell r="I139" t="str">
            <v xml:space="preserve">Nhte 4 - </v>
          </cell>
          <cell r="J139" t="str">
            <v>General and Administrative (Note 4)</v>
          </cell>
        </row>
        <row r="140">
          <cell r="J140" t="str">
            <v>Salaries and Employees related costs - General and Administrative</v>
          </cell>
          <cell r="L140">
            <v>727787.36</v>
          </cell>
        </row>
        <row r="141">
          <cell r="J141" t="str">
            <v>Rent and maintenance - General and Administrative</v>
          </cell>
          <cell r="L141">
            <v>91749.031907500583</v>
          </cell>
        </row>
        <row r="142">
          <cell r="J142" t="str">
            <v>Communication - General and Administrative</v>
          </cell>
          <cell r="L142">
            <v>40922.662471443407</v>
          </cell>
        </row>
        <row r="143">
          <cell r="J143" t="str">
            <v>Travel abroad - General and Administrative</v>
          </cell>
          <cell r="L143">
            <v>192364.258</v>
          </cell>
        </row>
        <row r="144">
          <cell r="J144" t="str">
            <v>Maintenance and commputing - General and Administrative</v>
          </cell>
          <cell r="L144">
            <v>3638.46</v>
          </cell>
        </row>
        <row r="145">
          <cell r="J145" t="str">
            <v>Office expenses and maintenance - General and Administrative</v>
          </cell>
          <cell r="L145">
            <v>47689.182673536227</v>
          </cell>
        </row>
        <row r="146">
          <cell r="J146" t="str">
            <v>Employee meals &amp; Entertainment - General and Administrative</v>
          </cell>
          <cell r="L146">
            <v>0</v>
          </cell>
        </row>
        <row r="147">
          <cell r="J147" t="str">
            <v>Depreciation - General and Administrative</v>
          </cell>
          <cell r="L147">
            <v>6105.1214953271019</v>
          </cell>
        </row>
        <row r="148">
          <cell r="J148" t="str">
            <v>Marketing - General and Administrative</v>
          </cell>
          <cell r="L148">
            <v>0</v>
          </cell>
        </row>
        <row r="149">
          <cell r="J149" t="str">
            <v>Consulting - General and Administrative</v>
          </cell>
          <cell r="L149">
            <v>79799.58</v>
          </cell>
        </row>
        <row r="150">
          <cell r="J150" t="str">
            <v>Professional Services- General and Administrative</v>
          </cell>
          <cell r="L150">
            <v>271882.82999999996</v>
          </cell>
        </row>
        <row r="151">
          <cell r="J151" t="str">
            <v>Other - General and Administrative</v>
          </cell>
          <cell r="L151">
            <v>55373.759999999995</v>
          </cell>
        </row>
        <row r="152">
          <cell r="J152" t="str">
            <v>Total G&amp;A</v>
          </cell>
          <cell r="L152">
            <v>1517312.2465478072</v>
          </cell>
        </row>
        <row r="155">
          <cell r="I155" t="str">
            <v xml:space="preserve">Nhte 5 - </v>
          </cell>
          <cell r="J155" t="str">
            <v>Interest Expenses (income)</v>
          </cell>
          <cell r="L155">
            <v>290783.06</v>
          </cell>
        </row>
        <row r="156">
          <cell r="J156" t="str">
            <v>Interest Expenses</v>
          </cell>
          <cell r="L156">
            <v>0</v>
          </cell>
        </row>
        <row r="157">
          <cell r="J157" t="str">
            <v>Interest income</v>
          </cell>
          <cell r="L157">
            <v>0</v>
          </cell>
        </row>
        <row r="158">
          <cell r="J158" t="str">
            <v>Diff.&amp; Exchange Loss (Gain)</v>
          </cell>
          <cell r="L158">
            <v>0</v>
          </cell>
        </row>
        <row r="160">
          <cell r="J160" t="str">
            <v>Total Interest Expenses (income)</v>
          </cell>
          <cell r="L160">
            <v>290783.06</v>
          </cell>
        </row>
        <row r="167">
          <cell r="J167" t="str">
            <v>page 6</v>
          </cell>
        </row>
      </sheetData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general ledger"/>
      <sheetName val="Pivot table"/>
      <sheetName val="JE"/>
      <sheetName val="Actual Monthly I &amp; E"/>
      <sheetName val="Allocations of GA"/>
      <sheetName val="Actual Balance Sheet"/>
      <sheetName val="Actual Cash Flow"/>
    </sheetNames>
    <sheetDataSet>
      <sheetData sheetId="0">
        <row r="3">
          <cell r="E3">
            <v>830000</v>
          </cell>
        </row>
      </sheetData>
      <sheetData sheetId="1">
        <row r="3">
          <cell r="E3">
            <v>830000</v>
          </cell>
        </row>
        <row r="4">
          <cell r="E4">
            <v>830000</v>
          </cell>
        </row>
        <row r="5">
          <cell r="E5">
            <v>850002</v>
          </cell>
        </row>
        <row r="6">
          <cell r="E6">
            <v>850002</v>
          </cell>
        </row>
        <row r="7">
          <cell r="E7">
            <v>850009</v>
          </cell>
        </row>
        <row r="8">
          <cell r="E8">
            <v>850003</v>
          </cell>
        </row>
        <row r="9">
          <cell r="E9">
            <v>850009</v>
          </cell>
        </row>
        <row r="10">
          <cell r="E10">
            <v>850009</v>
          </cell>
        </row>
        <row r="11">
          <cell r="E11">
            <v>850000</v>
          </cell>
        </row>
        <row r="12">
          <cell r="E12">
            <v>850000</v>
          </cell>
        </row>
        <row r="13">
          <cell r="E13">
            <v>850000</v>
          </cell>
        </row>
        <row r="14">
          <cell r="E14">
            <v>850002</v>
          </cell>
        </row>
        <row r="15">
          <cell r="E15">
            <v>830000</v>
          </cell>
        </row>
        <row r="16">
          <cell r="E16">
            <v>830000</v>
          </cell>
        </row>
        <row r="17">
          <cell r="E17">
            <v>830000</v>
          </cell>
        </row>
        <row r="18">
          <cell r="E18">
            <v>850002</v>
          </cell>
        </row>
        <row r="19">
          <cell r="E19">
            <v>840000</v>
          </cell>
        </row>
        <row r="20">
          <cell r="E20">
            <v>840000</v>
          </cell>
        </row>
        <row r="21">
          <cell r="E21">
            <v>840000</v>
          </cell>
        </row>
        <row r="22">
          <cell r="E22">
            <v>850002</v>
          </cell>
        </row>
        <row r="23">
          <cell r="E23">
            <v>850003</v>
          </cell>
        </row>
        <row r="24">
          <cell r="E24">
            <v>850003</v>
          </cell>
        </row>
        <row r="25">
          <cell r="E25">
            <v>850002</v>
          </cell>
        </row>
        <row r="26">
          <cell r="E26">
            <v>840001</v>
          </cell>
        </row>
        <row r="27">
          <cell r="E27">
            <v>850009</v>
          </cell>
        </row>
        <row r="28">
          <cell r="E28">
            <v>830005</v>
          </cell>
        </row>
        <row r="29">
          <cell r="E29">
            <v>830000</v>
          </cell>
        </row>
        <row r="30">
          <cell r="E30">
            <v>830005</v>
          </cell>
        </row>
        <row r="31">
          <cell r="E31">
            <v>830005</v>
          </cell>
        </row>
        <row r="32">
          <cell r="E32">
            <v>600000</v>
          </cell>
        </row>
        <row r="35">
          <cell r="E35">
            <v>100005</v>
          </cell>
          <cell r="S35">
            <v>3100</v>
          </cell>
        </row>
        <row r="36">
          <cell r="E36">
            <v>100005</v>
          </cell>
          <cell r="S36">
            <v>4203</v>
          </cell>
        </row>
        <row r="37">
          <cell r="E37">
            <v>100005</v>
          </cell>
          <cell r="S37">
            <v>274044.51</v>
          </cell>
        </row>
        <row r="38">
          <cell r="E38">
            <v>100005</v>
          </cell>
          <cell r="S38">
            <v>230</v>
          </cell>
        </row>
        <row r="39">
          <cell r="E39">
            <v>100005</v>
          </cell>
          <cell r="S39">
            <v>1040000</v>
          </cell>
        </row>
        <row r="40">
          <cell r="E40">
            <v>100005</v>
          </cell>
          <cell r="S40">
            <v>560000</v>
          </cell>
        </row>
        <row r="41">
          <cell r="E41">
            <v>520000</v>
          </cell>
          <cell r="S41">
            <v>0</v>
          </cell>
        </row>
        <row r="42">
          <cell r="E42">
            <v>520000</v>
          </cell>
          <cell r="S42">
            <v>0</v>
          </cell>
        </row>
        <row r="43">
          <cell r="E43">
            <v>520000</v>
          </cell>
          <cell r="S43">
            <v>0</v>
          </cell>
        </row>
        <row r="44">
          <cell r="E44">
            <v>520000</v>
          </cell>
          <cell r="S44">
            <v>0</v>
          </cell>
        </row>
        <row r="45">
          <cell r="E45">
            <v>120000</v>
          </cell>
          <cell r="S45">
            <v>5437</v>
          </cell>
        </row>
        <row r="46">
          <cell r="E46">
            <v>530000</v>
          </cell>
          <cell r="S46">
            <v>-5000</v>
          </cell>
        </row>
        <row r="47">
          <cell r="E47">
            <v>100005</v>
          </cell>
          <cell r="S47">
            <v>12735.93</v>
          </cell>
        </row>
        <row r="48">
          <cell r="E48">
            <v>700000</v>
          </cell>
          <cell r="S48">
            <v>-4565</v>
          </cell>
        </row>
        <row r="49">
          <cell r="E49">
            <v>830000</v>
          </cell>
          <cell r="S49">
            <v>4565</v>
          </cell>
        </row>
        <row r="50">
          <cell r="E50">
            <v>700000</v>
          </cell>
          <cell r="S50">
            <v>-123630</v>
          </cell>
        </row>
        <row r="51">
          <cell r="E51">
            <v>700000</v>
          </cell>
          <cell r="S51">
            <v>123630</v>
          </cell>
        </row>
        <row r="52">
          <cell r="E52">
            <v>700000</v>
          </cell>
          <cell r="S52">
            <v>-10098.6</v>
          </cell>
        </row>
        <row r="53">
          <cell r="E53">
            <v>700000</v>
          </cell>
          <cell r="S53">
            <v>-47500</v>
          </cell>
        </row>
        <row r="54">
          <cell r="E54">
            <v>700000</v>
          </cell>
          <cell r="S54">
            <v>-5093.8</v>
          </cell>
        </row>
        <row r="55">
          <cell r="E55">
            <v>700000</v>
          </cell>
          <cell r="S55">
            <v>-500000</v>
          </cell>
        </row>
        <row r="56">
          <cell r="E56">
            <v>700000</v>
          </cell>
          <cell r="S56">
            <v>-40000</v>
          </cell>
        </row>
        <row r="57">
          <cell r="E57">
            <v>700000</v>
          </cell>
          <cell r="S57">
            <v>-4024</v>
          </cell>
        </row>
        <row r="58">
          <cell r="E58">
            <v>700000</v>
          </cell>
          <cell r="S58">
            <v>-1020.4</v>
          </cell>
        </row>
        <row r="59">
          <cell r="E59">
            <v>700000</v>
          </cell>
          <cell r="S59">
            <v>-750000.5</v>
          </cell>
        </row>
        <row r="60">
          <cell r="E60">
            <v>700000</v>
          </cell>
          <cell r="S60">
            <v>-1350000</v>
          </cell>
        </row>
        <row r="61">
          <cell r="E61">
            <v>700000</v>
          </cell>
          <cell r="S61">
            <v>-50000</v>
          </cell>
        </row>
        <row r="62">
          <cell r="E62">
            <v>710000</v>
          </cell>
          <cell r="S62">
            <v>84984.92</v>
          </cell>
        </row>
        <row r="63">
          <cell r="E63">
            <v>700000</v>
          </cell>
          <cell r="S63">
            <v>-40.4</v>
          </cell>
        </row>
        <row r="64">
          <cell r="E64">
            <v>700000</v>
          </cell>
          <cell r="S64">
            <v>-750000</v>
          </cell>
        </row>
        <row r="65">
          <cell r="E65">
            <v>110000</v>
          </cell>
          <cell r="S65">
            <v>1525440</v>
          </cell>
        </row>
        <row r="66">
          <cell r="E66">
            <v>840009</v>
          </cell>
          <cell r="S66">
            <v>2500</v>
          </cell>
        </row>
        <row r="67">
          <cell r="E67">
            <v>850007</v>
          </cell>
          <cell r="S67">
            <v>7333</v>
          </cell>
        </row>
        <row r="68">
          <cell r="E68">
            <v>850006</v>
          </cell>
          <cell r="S68">
            <v>5000</v>
          </cell>
        </row>
        <row r="69">
          <cell r="E69">
            <v>880000</v>
          </cell>
          <cell r="S69">
            <v>-16053</v>
          </cell>
        </row>
        <row r="70">
          <cell r="E70">
            <v>850005</v>
          </cell>
          <cell r="S70">
            <v>3263</v>
          </cell>
        </row>
        <row r="71">
          <cell r="E71">
            <v>880000</v>
          </cell>
          <cell r="S71">
            <v>560</v>
          </cell>
        </row>
        <row r="72">
          <cell r="E72">
            <v>700000</v>
          </cell>
        </row>
        <row r="73">
          <cell r="E73">
            <v>700000</v>
          </cell>
        </row>
        <row r="74">
          <cell r="E74" t="e">
            <v>#N/A</v>
          </cell>
        </row>
        <row r="75">
          <cell r="E75">
            <v>100000</v>
          </cell>
          <cell r="S75">
            <v>8296.18</v>
          </cell>
        </row>
        <row r="76">
          <cell r="E76">
            <v>100000</v>
          </cell>
          <cell r="S76">
            <v>8554.2800000000007</v>
          </cell>
        </row>
        <row r="77">
          <cell r="E77">
            <v>100000</v>
          </cell>
          <cell r="S77">
            <v>0</v>
          </cell>
        </row>
        <row r="78">
          <cell r="E78">
            <v>100000</v>
          </cell>
          <cell r="S78">
            <v>0</v>
          </cell>
        </row>
        <row r="79">
          <cell r="E79">
            <v>100000</v>
          </cell>
          <cell r="S79">
            <v>20079.73</v>
          </cell>
        </row>
        <row r="80">
          <cell r="E80">
            <v>100000</v>
          </cell>
          <cell r="S80">
            <v>208.12</v>
          </cell>
        </row>
        <row r="81">
          <cell r="E81">
            <v>100000</v>
          </cell>
          <cell r="S81">
            <v>619.6</v>
          </cell>
        </row>
        <row r="82">
          <cell r="E82">
            <v>520000</v>
          </cell>
          <cell r="S82">
            <v>-199.71000000000004</v>
          </cell>
        </row>
        <row r="83">
          <cell r="E83">
            <v>520000</v>
          </cell>
          <cell r="S83">
            <v>-1353.25</v>
          </cell>
        </row>
        <row r="84">
          <cell r="E84">
            <v>130000</v>
          </cell>
          <cell r="S84">
            <v>4208.68</v>
          </cell>
        </row>
        <row r="85">
          <cell r="E85">
            <v>120000</v>
          </cell>
          <cell r="S85">
            <v>3647.71</v>
          </cell>
        </row>
        <row r="86">
          <cell r="E86">
            <v>130000</v>
          </cell>
          <cell r="S86">
            <v>3481.89</v>
          </cell>
        </row>
        <row r="87">
          <cell r="E87">
            <v>450000</v>
          </cell>
          <cell r="S87">
            <v>2053.16</v>
          </cell>
        </row>
        <row r="88">
          <cell r="E88">
            <v>450000</v>
          </cell>
          <cell r="S88">
            <v>2053.16</v>
          </cell>
        </row>
        <row r="89">
          <cell r="E89">
            <v>450000</v>
          </cell>
          <cell r="S89">
            <v>2998.38</v>
          </cell>
        </row>
        <row r="90">
          <cell r="E90">
            <v>450000</v>
          </cell>
          <cell r="S90">
            <v>2053.16</v>
          </cell>
        </row>
        <row r="91">
          <cell r="E91">
            <v>450000</v>
          </cell>
          <cell r="S91">
            <v>2053.16</v>
          </cell>
        </row>
        <row r="92">
          <cell r="E92">
            <v>450000</v>
          </cell>
          <cell r="S92">
            <v>2053.16</v>
          </cell>
        </row>
        <row r="93">
          <cell r="E93">
            <v>450000</v>
          </cell>
          <cell r="S93">
            <v>2053.16</v>
          </cell>
        </row>
        <row r="94">
          <cell r="E94">
            <v>450000</v>
          </cell>
          <cell r="S94">
            <v>2053.16</v>
          </cell>
        </row>
        <row r="95">
          <cell r="E95">
            <v>450000</v>
          </cell>
          <cell r="S95">
            <v>2053.16</v>
          </cell>
        </row>
        <row r="96">
          <cell r="E96">
            <v>130000</v>
          </cell>
          <cell r="S96">
            <v>400</v>
          </cell>
        </row>
        <row r="97">
          <cell r="E97">
            <v>300000</v>
          </cell>
          <cell r="S97">
            <v>67236.59</v>
          </cell>
        </row>
        <row r="98">
          <cell r="E98">
            <v>300001</v>
          </cell>
          <cell r="S98">
            <v>18812.009999999998</v>
          </cell>
        </row>
        <row r="99">
          <cell r="E99">
            <v>300003</v>
          </cell>
          <cell r="S99">
            <v>169992.71</v>
          </cell>
        </row>
        <row r="100">
          <cell r="E100">
            <v>300003</v>
          </cell>
          <cell r="S100">
            <v>3121.89</v>
          </cell>
        </row>
        <row r="101">
          <cell r="E101">
            <v>300003</v>
          </cell>
          <cell r="S101">
            <v>3893.34</v>
          </cell>
        </row>
        <row r="102">
          <cell r="E102">
            <v>310000</v>
          </cell>
          <cell r="S102">
            <v>-9519</v>
          </cell>
        </row>
        <row r="103">
          <cell r="E103">
            <v>310000</v>
          </cell>
          <cell r="S103">
            <v>-1089</v>
          </cell>
        </row>
        <row r="104">
          <cell r="E104">
            <v>310000</v>
          </cell>
          <cell r="S104">
            <v>-6874</v>
          </cell>
        </row>
        <row r="105">
          <cell r="E105">
            <v>310000</v>
          </cell>
          <cell r="S105">
            <v>-82</v>
          </cell>
        </row>
        <row r="106">
          <cell r="E106">
            <v>310000</v>
          </cell>
          <cell r="S106">
            <v>-127</v>
          </cell>
        </row>
        <row r="107">
          <cell r="E107">
            <v>520000</v>
          </cell>
          <cell r="S107">
            <v>168.5</v>
          </cell>
        </row>
        <row r="108">
          <cell r="E108">
            <v>520000</v>
          </cell>
          <cell r="S108">
            <v>4076.04</v>
          </cell>
        </row>
        <row r="109">
          <cell r="E109">
            <v>520000</v>
          </cell>
          <cell r="S109">
            <v>0</v>
          </cell>
        </row>
        <row r="110">
          <cell r="E110">
            <v>520000</v>
          </cell>
          <cell r="S110">
            <v>-1626.51</v>
          </cell>
        </row>
        <row r="111">
          <cell r="E111">
            <v>520000</v>
          </cell>
          <cell r="S111">
            <v>0</v>
          </cell>
        </row>
        <row r="112">
          <cell r="E112">
            <v>520000</v>
          </cell>
          <cell r="S112">
            <v>-1334.58</v>
          </cell>
        </row>
        <row r="113">
          <cell r="E113">
            <v>520000</v>
          </cell>
          <cell r="S113">
            <v>0</v>
          </cell>
        </row>
        <row r="114">
          <cell r="E114">
            <v>520000</v>
          </cell>
          <cell r="S114">
            <v>0</v>
          </cell>
        </row>
        <row r="115">
          <cell r="E115">
            <v>520000</v>
          </cell>
          <cell r="S115">
            <v>-91.92</v>
          </cell>
        </row>
        <row r="116">
          <cell r="E116">
            <v>520000</v>
          </cell>
          <cell r="S116">
            <v>0</v>
          </cell>
        </row>
        <row r="117">
          <cell r="E117">
            <v>520000</v>
          </cell>
          <cell r="S117">
            <v>0</v>
          </cell>
        </row>
        <row r="118">
          <cell r="E118">
            <v>520000</v>
          </cell>
          <cell r="S118">
            <v>0</v>
          </cell>
        </row>
        <row r="119">
          <cell r="E119">
            <v>520000</v>
          </cell>
          <cell r="S119">
            <v>0</v>
          </cell>
        </row>
        <row r="120">
          <cell r="E120">
            <v>520000</v>
          </cell>
          <cell r="S120">
            <v>3349.15</v>
          </cell>
        </row>
        <row r="121">
          <cell r="E121">
            <v>520000</v>
          </cell>
          <cell r="S121">
            <v>0</v>
          </cell>
        </row>
        <row r="122">
          <cell r="E122">
            <v>520000</v>
          </cell>
          <cell r="S122">
            <v>0</v>
          </cell>
        </row>
        <row r="123">
          <cell r="E123">
            <v>520000</v>
          </cell>
          <cell r="S123">
            <v>0</v>
          </cell>
        </row>
        <row r="124">
          <cell r="E124">
            <v>520000</v>
          </cell>
          <cell r="S124">
            <v>0</v>
          </cell>
        </row>
        <row r="125">
          <cell r="E125">
            <v>520000</v>
          </cell>
          <cell r="S125">
            <v>0</v>
          </cell>
        </row>
        <row r="126">
          <cell r="E126">
            <v>520000</v>
          </cell>
          <cell r="S126">
            <v>0</v>
          </cell>
        </row>
        <row r="127">
          <cell r="E127">
            <v>520000</v>
          </cell>
          <cell r="S127">
            <v>0</v>
          </cell>
        </row>
        <row r="128">
          <cell r="E128">
            <v>520000</v>
          </cell>
          <cell r="S128">
            <v>0</v>
          </cell>
        </row>
        <row r="129">
          <cell r="E129">
            <v>520000</v>
          </cell>
          <cell r="S129">
            <v>-2357.38</v>
          </cell>
        </row>
        <row r="130">
          <cell r="E130">
            <v>520000</v>
          </cell>
          <cell r="S130">
            <v>0</v>
          </cell>
        </row>
        <row r="131">
          <cell r="E131">
            <v>520000</v>
          </cell>
          <cell r="S131">
            <v>0</v>
          </cell>
        </row>
        <row r="132">
          <cell r="E132">
            <v>520000</v>
          </cell>
          <cell r="S132">
            <v>0</v>
          </cell>
        </row>
        <row r="133">
          <cell r="E133">
            <v>520000</v>
          </cell>
          <cell r="S133">
            <v>0</v>
          </cell>
        </row>
        <row r="134">
          <cell r="E134">
            <v>520000</v>
          </cell>
          <cell r="S134">
            <v>0</v>
          </cell>
        </row>
        <row r="135">
          <cell r="E135">
            <v>520000</v>
          </cell>
          <cell r="S135">
            <v>0</v>
          </cell>
        </row>
        <row r="136">
          <cell r="E136">
            <v>520000</v>
          </cell>
          <cell r="S136">
            <v>-501.81</v>
          </cell>
        </row>
        <row r="137">
          <cell r="E137">
            <v>520000</v>
          </cell>
          <cell r="S137">
            <v>0</v>
          </cell>
        </row>
        <row r="138">
          <cell r="E138">
            <v>520000</v>
          </cell>
          <cell r="S138">
            <v>0</v>
          </cell>
        </row>
        <row r="139">
          <cell r="E139">
            <v>520000</v>
          </cell>
          <cell r="S139">
            <v>0</v>
          </cell>
        </row>
        <row r="140">
          <cell r="E140">
            <v>520000</v>
          </cell>
          <cell r="S140">
            <v>0</v>
          </cell>
        </row>
        <row r="141">
          <cell r="E141">
            <v>520000</v>
          </cell>
          <cell r="S141">
            <v>0</v>
          </cell>
        </row>
        <row r="142">
          <cell r="E142">
            <v>520000</v>
          </cell>
          <cell r="S142">
            <v>0</v>
          </cell>
        </row>
        <row r="143">
          <cell r="E143">
            <v>520000</v>
          </cell>
          <cell r="S143">
            <v>0</v>
          </cell>
        </row>
        <row r="144">
          <cell r="E144">
            <v>520000</v>
          </cell>
          <cell r="S144">
            <v>0</v>
          </cell>
        </row>
        <row r="145">
          <cell r="E145">
            <v>520000</v>
          </cell>
          <cell r="S145">
            <v>-188.29</v>
          </cell>
        </row>
        <row r="146">
          <cell r="E146">
            <v>520000</v>
          </cell>
          <cell r="S146">
            <v>11.37</v>
          </cell>
        </row>
        <row r="147">
          <cell r="E147">
            <v>520000</v>
          </cell>
          <cell r="S147">
            <v>-579.34</v>
          </cell>
        </row>
        <row r="148">
          <cell r="E148">
            <v>520000</v>
          </cell>
          <cell r="S148">
            <v>0</v>
          </cell>
        </row>
        <row r="149">
          <cell r="E149">
            <v>520000</v>
          </cell>
          <cell r="S149">
            <v>-271.58999999999997</v>
          </cell>
        </row>
        <row r="150">
          <cell r="E150">
            <v>520000</v>
          </cell>
          <cell r="S150">
            <v>0</v>
          </cell>
        </row>
        <row r="151">
          <cell r="E151">
            <v>520000</v>
          </cell>
          <cell r="S151">
            <v>0</v>
          </cell>
        </row>
        <row r="152">
          <cell r="E152">
            <v>520000</v>
          </cell>
          <cell r="S152">
            <v>0</v>
          </cell>
        </row>
        <row r="153">
          <cell r="E153">
            <v>520000</v>
          </cell>
          <cell r="S153">
            <v>0</v>
          </cell>
        </row>
        <row r="154">
          <cell r="E154">
            <v>520000</v>
          </cell>
          <cell r="S154">
            <v>0</v>
          </cell>
        </row>
        <row r="155">
          <cell r="E155">
            <v>520000</v>
          </cell>
          <cell r="S155">
            <v>0</v>
          </cell>
        </row>
        <row r="156">
          <cell r="E156">
            <v>520000</v>
          </cell>
          <cell r="S156">
            <v>0</v>
          </cell>
        </row>
        <row r="157">
          <cell r="E157">
            <v>520000</v>
          </cell>
          <cell r="S157">
            <v>0</v>
          </cell>
        </row>
        <row r="158">
          <cell r="E158">
            <v>520000</v>
          </cell>
          <cell r="S158">
            <v>0</v>
          </cell>
        </row>
        <row r="159">
          <cell r="E159">
            <v>520000</v>
          </cell>
          <cell r="S159">
            <v>0</v>
          </cell>
        </row>
        <row r="160">
          <cell r="E160">
            <v>520000</v>
          </cell>
          <cell r="S160">
            <v>0</v>
          </cell>
        </row>
        <row r="161">
          <cell r="E161">
            <v>520000</v>
          </cell>
          <cell r="S161">
            <v>0</v>
          </cell>
        </row>
        <row r="162">
          <cell r="E162">
            <v>520000</v>
          </cell>
          <cell r="S162">
            <v>0</v>
          </cell>
        </row>
        <row r="163">
          <cell r="E163">
            <v>520000</v>
          </cell>
          <cell r="S163">
            <v>-482.13</v>
          </cell>
        </row>
        <row r="164">
          <cell r="E164">
            <v>520000</v>
          </cell>
          <cell r="S164">
            <v>-308.08</v>
          </cell>
        </row>
        <row r="165">
          <cell r="E165">
            <v>520000</v>
          </cell>
          <cell r="S165">
            <v>0</v>
          </cell>
        </row>
        <row r="166">
          <cell r="E166">
            <v>520000</v>
          </cell>
          <cell r="S166">
            <v>0</v>
          </cell>
        </row>
        <row r="167">
          <cell r="E167">
            <v>520000</v>
          </cell>
          <cell r="S167">
            <v>0</v>
          </cell>
        </row>
        <row r="168">
          <cell r="E168">
            <v>520000</v>
          </cell>
          <cell r="S168">
            <v>-443.36</v>
          </cell>
        </row>
        <row r="169">
          <cell r="E169">
            <v>520000</v>
          </cell>
          <cell r="S169">
            <v>0</v>
          </cell>
        </row>
        <row r="170">
          <cell r="E170">
            <v>520000</v>
          </cell>
          <cell r="S170">
            <v>0</v>
          </cell>
        </row>
        <row r="171">
          <cell r="E171">
            <v>520000</v>
          </cell>
          <cell r="S171">
            <v>0</v>
          </cell>
        </row>
        <row r="172">
          <cell r="E172">
            <v>520000</v>
          </cell>
          <cell r="S172">
            <v>0</v>
          </cell>
        </row>
        <row r="173">
          <cell r="E173">
            <v>520000</v>
          </cell>
          <cell r="S173">
            <v>-443.97</v>
          </cell>
        </row>
        <row r="174">
          <cell r="E174">
            <v>520000</v>
          </cell>
          <cell r="S174">
            <v>0</v>
          </cell>
        </row>
        <row r="175">
          <cell r="E175">
            <v>520000</v>
          </cell>
          <cell r="S175">
            <v>0</v>
          </cell>
        </row>
        <row r="176">
          <cell r="E176">
            <v>520000</v>
          </cell>
          <cell r="S176">
            <v>0</v>
          </cell>
        </row>
        <row r="177">
          <cell r="E177">
            <v>520000</v>
          </cell>
          <cell r="S177">
            <v>-548.88</v>
          </cell>
        </row>
        <row r="178">
          <cell r="E178">
            <v>520000</v>
          </cell>
          <cell r="S178">
            <v>-2063.3200000000002</v>
          </cell>
        </row>
        <row r="179">
          <cell r="E179">
            <v>520000</v>
          </cell>
          <cell r="S179">
            <v>0</v>
          </cell>
        </row>
        <row r="180">
          <cell r="E180">
            <v>520000</v>
          </cell>
          <cell r="S180">
            <v>0</v>
          </cell>
        </row>
        <row r="181">
          <cell r="E181">
            <v>520000</v>
          </cell>
          <cell r="S181">
            <v>0</v>
          </cell>
        </row>
        <row r="182">
          <cell r="E182">
            <v>520000</v>
          </cell>
          <cell r="S182">
            <v>0</v>
          </cell>
        </row>
        <row r="183">
          <cell r="E183">
            <v>520000</v>
          </cell>
          <cell r="S183">
            <v>-495</v>
          </cell>
        </row>
        <row r="184">
          <cell r="E184">
            <v>520000</v>
          </cell>
          <cell r="S184">
            <v>0</v>
          </cell>
        </row>
        <row r="185">
          <cell r="E185">
            <v>520000</v>
          </cell>
          <cell r="S185">
            <v>0</v>
          </cell>
        </row>
        <row r="186">
          <cell r="E186">
            <v>520000</v>
          </cell>
          <cell r="S186">
            <v>0</v>
          </cell>
        </row>
        <row r="187">
          <cell r="E187">
            <v>520000</v>
          </cell>
          <cell r="S187">
            <v>0</v>
          </cell>
        </row>
        <row r="188">
          <cell r="E188">
            <v>520000</v>
          </cell>
          <cell r="S188">
            <v>0</v>
          </cell>
        </row>
        <row r="189">
          <cell r="E189">
            <v>520000</v>
          </cell>
          <cell r="S189">
            <v>0</v>
          </cell>
        </row>
        <row r="190">
          <cell r="E190">
            <v>520000</v>
          </cell>
          <cell r="S190">
            <v>0</v>
          </cell>
        </row>
        <row r="191">
          <cell r="E191">
            <v>520000</v>
          </cell>
          <cell r="S191">
            <v>0</v>
          </cell>
        </row>
        <row r="192">
          <cell r="E192">
            <v>520000</v>
          </cell>
          <cell r="S192">
            <v>0</v>
          </cell>
        </row>
        <row r="193">
          <cell r="E193">
            <v>520000</v>
          </cell>
          <cell r="S193">
            <v>0</v>
          </cell>
        </row>
        <row r="194">
          <cell r="E194">
            <v>520000</v>
          </cell>
          <cell r="S194">
            <v>0</v>
          </cell>
        </row>
        <row r="195">
          <cell r="E195">
            <v>520000</v>
          </cell>
          <cell r="S195">
            <v>-164.35</v>
          </cell>
        </row>
        <row r="196">
          <cell r="E196">
            <v>520000</v>
          </cell>
          <cell r="S196">
            <v>0</v>
          </cell>
        </row>
        <row r="197">
          <cell r="E197">
            <v>520000</v>
          </cell>
          <cell r="S197">
            <v>-430</v>
          </cell>
        </row>
        <row r="198">
          <cell r="E198">
            <v>520000</v>
          </cell>
          <cell r="S198">
            <v>0</v>
          </cell>
        </row>
        <row r="199">
          <cell r="E199">
            <v>520000</v>
          </cell>
          <cell r="S199">
            <v>0</v>
          </cell>
        </row>
        <row r="200">
          <cell r="E200">
            <v>520000</v>
          </cell>
          <cell r="S200">
            <v>0</v>
          </cell>
        </row>
        <row r="201">
          <cell r="E201">
            <v>520000</v>
          </cell>
          <cell r="S201">
            <v>0</v>
          </cell>
        </row>
        <row r="202">
          <cell r="E202">
            <v>520000</v>
          </cell>
          <cell r="S202">
            <v>0</v>
          </cell>
        </row>
        <row r="203">
          <cell r="E203">
            <v>520000</v>
          </cell>
          <cell r="S203">
            <v>-190.93</v>
          </cell>
        </row>
        <row r="204">
          <cell r="E204">
            <v>520000</v>
          </cell>
          <cell r="S204">
            <v>0</v>
          </cell>
        </row>
        <row r="205">
          <cell r="E205">
            <v>520000</v>
          </cell>
          <cell r="S205">
            <v>0</v>
          </cell>
        </row>
        <row r="206">
          <cell r="E206">
            <v>520000</v>
          </cell>
          <cell r="S206">
            <v>0</v>
          </cell>
        </row>
        <row r="207">
          <cell r="E207">
            <v>520000</v>
          </cell>
          <cell r="S207">
            <v>0</v>
          </cell>
        </row>
        <row r="208">
          <cell r="E208">
            <v>520000</v>
          </cell>
          <cell r="S208">
            <v>0</v>
          </cell>
        </row>
        <row r="209">
          <cell r="E209">
            <v>520000</v>
          </cell>
          <cell r="S209">
            <v>-135.1</v>
          </cell>
        </row>
        <row r="210">
          <cell r="E210">
            <v>520000</v>
          </cell>
          <cell r="S210">
            <v>2.86</v>
          </cell>
        </row>
        <row r="211">
          <cell r="E211">
            <v>520000</v>
          </cell>
          <cell r="S211">
            <v>0</v>
          </cell>
        </row>
        <row r="212">
          <cell r="E212">
            <v>520000</v>
          </cell>
          <cell r="S212">
            <v>0</v>
          </cell>
        </row>
        <row r="213">
          <cell r="E213">
            <v>520000</v>
          </cell>
          <cell r="S213">
            <v>0</v>
          </cell>
        </row>
        <row r="214">
          <cell r="E214">
            <v>520000</v>
          </cell>
          <cell r="S214">
            <v>-1312.21</v>
          </cell>
        </row>
        <row r="215">
          <cell r="E215">
            <v>520000</v>
          </cell>
          <cell r="S215">
            <v>0</v>
          </cell>
        </row>
        <row r="216">
          <cell r="E216">
            <v>520000</v>
          </cell>
          <cell r="S216">
            <v>0</v>
          </cell>
        </row>
        <row r="217">
          <cell r="E217">
            <v>520000</v>
          </cell>
          <cell r="S217">
            <v>0</v>
          </cell>
        </row>
        <row r="218">
          <cell r="E218">
            <v>520000</v>
          </cell>
          <cell r="S218">
            <v>0</v>
          </cell>
        </row>
        <row r="219">
          <cell r="E219">
            <v>520000</v>
          </cell>
          <cell r="S219">
            <v>0</v>
          </cell>
        </row>
        <row r="220">
          <cell r="E220">
            <v>520000</v>
          </cell>
          <cell r="S220">
            <v>0</v>
          </cell>
        </row>
        <row r="221">
          <cell r="E221">
            <v>520000</v>
          </cell>
          <cell r="S221">
            <v>0</v>
          </cell>
        </row>
        <row r="222">
          <cell r="E222">
            <v>520000</v>
          </cell>
          <cell r="S222">
            <v>0</v>
          </cell>
        </row>
        <row r="223">
          <cell r="E223">
            <v>520000</v>
          </cell>
          <cell r="S223">
            <v>0</v>
          </cell>
        </row>
        <row r="224">
          <cell r="E224">
            <v>520000</v>
          </cell>
          <cell r="S224">
            <v>-535.03</v>
          </cell>
        </row>
        <row r="225">
          <cell r="E225">
            <v>520000</v>
          </cell>
          <cell r="S225">
            <v>0</v>
          </cell>
        </row>
        <row r="226">
          <cell r="E226">
            <v>520000</v>
          </cell>
          <cell r="S226">
            <v>-4115.91</v>
          </cell>
        </row>
        <row r="227">
          <cell r="E227">
            <v>520000</v>
          </cell>
          <cell r="S227">
            <v>-58.92</v>
          </cell>
        </row>
        <row r="228">
          <cell r="E228">
            <v>520000</v>
          </cell>
          <cell r="S228">
            <v>0</v>
          </cell>
        </row>
        <row r="229">
          <cell r="E229">
            <v>520000</v>
          </cell>
          <cell r="S229">
            <v>0</v>
          </cell>
        </row>
        <row r="230">
          <cell r="E230">
            <v>520000</v>
          </cell>
          <cell r="S230">
            <v>0</v>
          </cell>
        </row>
        <row r="231">
          <cell r="E231">
            <v>520000</v>
          </cell>
          <cell r="S231">
            <v>0</v>
          </cell>
        </row>
        <row r="232">
          <cell r="E232">
            <v>520000</v>
          </cell>
          <cell r="S232">
            <v>0</v>
          </cell>
        </row>
        <row r="233">
          <cell r="E233">
            <v>520000</v>
          </cell>
          <cell r="S233">
            <v>-352.64</v>
          </cell>
        </row>
        <row r="234">
          <cell r="E234">
            <v>520000</v>
          </cell>
          <cell r="S234">
            <v>1126.3399999999999</v>
          </cell>
        </row>
        <row r="235">
          <cell r="E235">
            <v>530000</v>
          </cell>
          <cell r="S235">
            <v>-38437.449999999997</v>
          </cell>
        </row>
        <row r="236">
          <cell r="E236">
            <v>520000</v>
          </cell>
          <cell r="S236">
            <v>-104923.46</v>
          </cell>
        </row>
        <row r="237">
          <cell r="E237">
            <v>550000</v>
          </cell>
          <cell r="S237">
            <v>0.97000000000116415</v>
          </cell>
        </row>
        <row r="238">
          <cell r="E238">
            <v>540000</v>
          </cell>
          <cell r="S238">
            <v>-5383.47</v>
          </cell>
        </row>
        <row r="239">
          <cell r="E239">
            <v>540000</v>
          </cell>
          <cell r="S239">
            <v>-4327.07</v>
          </cell>
        </row>
        <row r="240">
          <cell r="E240">
            <v>540000</v>
          </cell>
          <cell r="S240">
            <v>-3852.37</v>
          </cell>
        </row>
        <row r="241">
          <cell r="E241">
            <v>540000</v>
          </cell>
          <cell r="S241">
            <v>-4808.7299999999996</v>
          </cell>
        </row>
        <row r="242">
          <cell r="E242">
            <v>540000</v>
          </cell>
          <cell r="S242">
            <v>-3541.78</v>
          </cell>
        </row>
        <row r="243">
          <cell r="E243">
            <v>540000</v>
          </cell>
          <cell r="S243">
            <v>-3099.58</v>
          </cell>
        </row>
        <row r="244">
          <cell r="E244">
            <v>540000</v>
          </cell>
          <cell r="S244">
            <v>-2501.16</v>
          </cell>
        </row>
        <row r="245">
          <cell r="E245">
            <v>540000</v>
          </cell>
          <cell r="S245">
            <v>-491.64</v>
          </cell>
        </row>
        <row r="246">
          <cell r="E246">
            <v>540000</v>
          </cell>
          <cell r="S246">
            <v>0</v>
          </cell>
        </row>
        <row r="247">
          <cell r="E247">
            <v>540000</v>
          </cell>
          <cell r="S247">
            <v>-2958.68</v>
          </cell>
        </row>
        <row r="248">
          <cell r="E248">
            <v>540000</v>
          </cell>
          <cell r="S248">
            <v>0</v>
          </cell>
        </row>
        <row r="249">
          <cell r="E249">
            <v>540000</v>
          </cell>
          <cell r="S249">
            <v>-3282.96</v>
          </cell>
        </row>
        <row r="250">
          <cell r="E250">
            <v>540000</v>
          </cell>
          <cell r="S250">
            <v>-2545.5</v>
          </cell>
        </row>
        <row r="251">
          <cell r="E251">
            <v>540000</v>
          </cell>
          <cell r="S251">
            <v>-1202.4100000000001</v>
          </cell>
        </row>
        <row r="252">
          <cell r="E252">
            <v>540000</v>
          </cell>
          <cell r="S252">
            <v>-3772.05</v>
          </cell>
        </row>
        <row r="253">
          <cell r="E253">
            <v>550000</v>
          </cell>
          <cell r="S253">
            <v>0</v>
          </cell>
        </row>
        <row r="254">
          <cell r="E254">
            <v>550000</v>
          </cell>
          <cell r="S254">
            <v>0</v>
          </cell>
        </row>
        <row r="255">
          <cell r="E255">
            <v>550000</v>
          </cell>
          <cell r="S255">
            <v>0</v>
          </cell>
        </row>
        <row r="256">
          <cell r="E256">
            <v>550000</v>
          </cell>
          <cell r="S256">
            <v>0</v>
          </cell>
        </row>
        <row r="257">
          <cell r="E257">
            <v>550000</v>
          </cell>
          <cell r="S257">
            <v>0</v>
          </cell>
        </row>
        <row r="258">
          <cell r="E258">
            <v>550000</v>
          </cell>
          <cell r="S258">
            <v>0</v>
          </cell>
        </row>
        <row r="259">
          <cell r="E259">
            <v>550000</v>
          </cell>
          <cell r="S259">
            <v>0</v>
          </cell>
        </row>
        <row r="260">
          <cell r="E260">
            <v>550000</v>
          </cell>
          <cell r="S260">
            <v>0</v>
          </cell>
        </row>
        <row r="261">
          <cell r="E261">
            <v>550000</v>
          </cell>
          <cell r="S261">
            <v>-8.9999999999690772E-2</v>
          </cell>
        </row>
        <row r="262">
          <cell r="E262">
            <v>550000</v>
          </cell>
          <cell r="S262">
            <v>0</v>
          </cell>
        </row>
        <row r="263">
          <cell r="E263">
            <v>550000</v>
          </cell>
          <cell r="S263">
            <v>-0.30000000000006821</v>
          </cell>
        </row>
        <row r="264">
          <cell r="E264">
            <v>550000</v>
          </cell>
          <cell r="S264">
            <v>0</v>
          </cell>
        </row>
        <row r="265">
          <cell r="E265">
            <v>550000</v>
          </cell>
          <cell r="S265">
            <v>0</v>
          </cell>
        </row>
        <row r="266">
          <cell r="E266">
            <v>550000</v>
          </cell>
          <cell r="S266">
            <v>0</v>
          </cell>
        </row>
        <row r="267">
          <cell r="E267">
            <v>550000</v>
          </cell>
          <cell r="S267">
            <v>0</v>
          </cell>
        </row>
        <row r="268">
          <cell r="E268">
            <v>550000</v>
          </cell>
          <cell r="S268">
            <v>0</v>
          </cell>
        </row>
        <row r="269">
          <cell r="E269">
            <v>550000</v>
          </cell>
          <cell r="S269">
            <v>0</v>
          </cell>
        </row>
        <row r="270">
          <cell r="E270">
            <v>550000</v>
          </cell>
          <cell r="S270">
            <v>0</v>
          </cell>
        </row>
        <row r="271">
          <cell r="E271">
            <v>550000</v>
          </cell>
          <cell r="S271">
            <v>0</v>
          </cell>
        </row>
        <row r="272">
          <cell r="E272">
            <v>550000</v>
          </cell>
          <cell r="S272">
            <v>0</v>
          </cell>
        </row>
        <row r="273">
          <cell r="E273">
            <v>550000</v>
          </cell>
          <cell r="S273">
            <v>0</v>
          </cell>
        </row>
        <row r="274">
          <cell r="E274">
            <v>550000</v>
          </cell>
          <cell r="S274">
            <v>0</v>
          </cell>
        </row>
        <row r="275">
          <cell r="E275">
            <v>130000</v>
          </cell>
          <cell r="S275">
            <v>1768.8</v>
          </cell>
        </row>
        <row r="276">
          <cell r="E276">
            <v>550000</v>
          </cell>
          <cell r="S276">
            <v>0</v>
          </cell>
        </row>
        <row r="277">
          <cell r="E277">
            <v>550000</v>
          </cell>
          <cell r="S277">
            <v>0</v>
          </cell>
        </row>
        <row r="278">
          <cell r="E278">
            <v>550000</v>
          </cell>
          <cell r="S278">
            <v>0</v>
          </cell>
        </row>
        <row r="279">
          <cell r="E279">
            <v>550000</v>
          </cell>
          <cell r="S279">
            <v>0</v>
          </cell>
        </row>
        <row r="280">
          <cell r="E280">
            <v>550000</v>
          </cell>
          <cell r="S280">
            <v>0</v>
          </cell>
        </row>
        <row r="281">
          <cell r="E281">
            <v>550000</v>
          </cell>
          <cell r="S281">
            <v>0</v>
          </cell>
        </row>
        <row r="282">
          <cell r="E282">
            <v>550000</v>
          </cell>
          <cell r="S282">
            <v>0</v>
          </cell>
        </row>
        <row r="283">
          <cell r="E283">
            <v>550000</v>
          </cell>
          <cell r="S283">
            <v>0</v>
          </cell>
        </row>
        <row r="284">
          <cell r="E284">
            <v>550000</v>
          </cell>
          <cell r="S284">
            <v>0</v>
          </cell>
        </row>
        <row r="285">
          <cell r="E285">
            <v>550000</v>
          </cell>
          <cell r="S285">
            <v>0</v>
          </cell>
        </row>
        <row r="286">
          <cell r="E286">
            <v>550000</v>
          </cell>
          <cell r="S286">
            <v>0</v>
          </cell>
        </row>
        <row r="287">
          <cell r="E287">
            <v>550000</v>
          </cell>
          <cell r="S287">
            <v>0</v>
          </cell>
        </row>
        <row r="288">
          <cell r="E288">
            <v>550000</v>
          </cell>
          <cell r="S288">
            <v>0</v>
          </cell>
        </row>
        <row r="289">
          <cell r="E289">
            <v>550000</v>
          </cell>
          <cell r="S289">
            <v>0</v>
          </cell>
        </row>
        <row r="290">
          <cell r="E290">
            <v>550000</v>
          </cell>
          <cell r="S290">
            <v>0</v>
          </cell>
        </row>
        <row r="291">
          <cell r="E291">
            <v>560000</v>
          </cell>
          <cell r="S291">
            <v>-42320.39</v>
          </cell>
        </row>
        <row r="292">
          <cell r="E292">
            <v>560000</v>
          </cell>
          <cell r="S292">
            <v>0</v>
          </cell>
        </row>
        <row r="293">
          <cell r="E293">
            <v>130000</v>
          </cell>
          <cell r="S293">
            <v>0</v>
          </cell>
        </row>
        <row r="294">
          <cell r="E294">
            <v>130000</v>
          </cell>
          <cell r="S294">
            <v>-0.06</v>
          </cell>
        </row>
        <row r="295">
          <cell r="E295">
            <v>130000</v>
          </cell>
          <cell r="S295">
            <v>16969.060000000001</v>
          </cell>
        </row>
        <row r="296">
          <cell r="E296">
            <v>130000</v>
          </cell>
          <cell r="S296">
            <v>2542.86</v>
          </cell>
        </row>
        <row r="297">
          <cell r="E297">
            <v>130000</v>
          </cell>
          <cell r="S297">
            <v>0</v>
          </cell>
        </row>
        <row r="298">
          <cell r="E298">
            <v>130000</v>
          </cell>
          <cell r="S298">
            <v>0</v>
          </cell>
        </row>
        <row r="299">
          <cell r="E299">
            <v>130000</v>
          </cell>
          <cell r="S299">
            <v>-1768.8</v>
          </cell>
        </row>
        <row r="300">
          <cell r="E300">
            <v>110000</v>
          </cell>
          <cell r="S300">
            <v>-1525440.19</v>
          </cell>
        </row>
        <row r="301">
          <cell r="E301">
            <v>510000</v>
          </cell>
          <cell r="S301">
            <v>0</v>
          </cell>
        </row>
        <row r="302">
          <cell r="E302">
            <v>600000</v>
          </cell>
          <cell r="S302">
            <v>0</v>
          </cell>
        </row>
        <row r="303">
          <cell r="E303">
            <v>500000</v>
          </cell>
          <cell r="S303">
            <v>10517.48</v>
          </cell>
        </row>
        <row r="304">
          <cell r="E304">
            <v>500000</v>
          </cell>
          <cell r="S304">
            <v>150561.29</v>
          </cell>
        </row>
        <row r="305">
          <cell r="E305">
            <v>500000</v>
          </cell>
          <cell r="S305">
            <v>54952.59</v>
          </cell>
        </row>
        <row r="306">
          <cell r="E306">
            <v>500000</v>
          </cell>
          <cell r="S306">
            <v>26278.29</v>
          </cell>
        </row>
        <row r="307">
          <cell r="E307">
            <v>500000</v>
          </cell>
          <cell r="S307">
            <v>21548.35</v>
          </cell>
        </row>
        <row r="308">
          <cell r="E308">
            <v>830000</v>
          </cell>
          <cell r="S308">
            <v>51.5</v>
          </cell>
        </row>
        <row r="309">
          <cell r="E309">
            <v>850000</v>
          </cell>
          <cell r="S309">
            <v>26953.96</v>
          </cell>
        </row>
        <row r="310">
          <cell r="E310">
            <v>830000</v>
          </cell>
          <cell r="S310">
            <v>32770.910000000003</v>
          </cell>
        </row>
        <row r="311">
          <cell r="E311">
            <v>840000</v>
          </cell>
          <cell r="S311">
            <v>7516.6</v>
          </cell>
        </row>
        <row r="312">
          <cell r="E312">
            <v>850002</v>
          </cell>
          <cell r="S312">
            <v>0.48</v>
          </cell>
        </row>
        <row r="313">
          <cell r="E313">
            <v>600000</v>
          </cell>
          <cell r="S313">
            <v>7.0000000000000007E-2</v>
          </cell>
        </row>
        <row r="314">
          <cell r="E314">
            <v>850003</v>
          </cell>
          <cell r="S314">
            <v>12140.16</v>
          </cell>
        </row>
        <row r="315">
          <cell r="E315">
            <v>840001</v>
          </cell>
          <cell r="S315">
            <v>515.75</v>
          </cell>
        </row>
        <row r="316">
          <cell r="E316">
            <v>840006</v>
          </cell>
          <cell r="S316">
            <v>5134.49</v>
          </cell>
        </row>
        <row r="317">
          <cell r="E317">
            <v>850002</v>
          </cell>
          <cell r="S317">
            <v>1967.63</v>
          </cell>
        </row>
        <row r="318">
          <cell r="E318">
            <v>850008</v>
          </cell>
          <cell r="S318">
            <v>6940.79</v>
          </cell>
        </row>
        <row r="319">
          <cell r="E319">
            <v>850008</v>
          </cell>
          <cell r="S319">
            <v>6352.1</v>
          </cell>
        </row>
        <row r="320">
          <cell r="E320">
            <v>850002</v>
          </cell>
          <cell r="S320">
            <v>2464.06</v>
          </cell>
        </row>
        <row r="321">
          <cell r="E321">
            <v>830006</v>
          </cell>
          <cell r="S321">
            <v>2025.34</v>
          </cell>
        </row>
        <row r="322">
          <cell r="E322">
            <v>850009</v>
          </cell>
          <cell r="S322">
            <v>5690.92</v>
          </cell>
        </row>
        <row r="323">
          <cell r="E323">
            <v>850009</v>
          </cell>
          <cell r="S323">
            <v>35.549999999999997</v>
          </cell>
        </row>
        <row r="324">
          <cell r="E324">
            <v>850008</v>
          </cell>
          <cell r="S324">
            <v>6133.46</v>
          </cell>
        </row>
        <row r="325">
          <cell r="E325">
            <v>850006</v>
          </cell>
          <cell r="S325">
            <v>26617.42</v>
          </cell>
        </row>
        <row r="326">
          <cell r="E326">
            <v>850006</v>
          </cell>
          <cell r="S326">
            <v>2000</v>
          </cell>
        </row>
        <row r="327">
          <cell r="E327">
            <v>850008</v>
          </cell>
          <cell r="S327">
            <v>5783.15</v>
          </cell>
        </row>
        <row r="328">
          <cell r="E328">
            <v>850008</v>
          </cell>
          <cell r="S328">
            <v>2418.31</v>
          </cell>
        </row>
        <row r="329">
          <cell r="E329">
            <v>830000</v>
          </cell>
          <cell r="S329">
            <v>17819.07</v>
          </cell>
        </row>
        <row r="330">
          <cell r="E330">
            <v>830000</v>
          </cell>
          <cell r="S330">
            <v>654.69000000000005</v>
          </cell>
        </row>
        <row r="331">
          <cell r="E331">
            <v>830000</v>
          </cell>
          <cell r="S331">
            <v>105</v>
          </cell>
        </row>
        <row r="332">
          <cell r="E332">
            <v>850002</v>
          </cell>
          <cell r="S332">
            <v>7080.2</v>
          </cell>
        </row>
        <row r="333">
          <cell r="E333">
            <v>850008</v>
          </cell>
          <cell r="S333">
            <v>3187.98</v>
          </cell>
        </row>
        <row r="334">
          <cell r="E334">
            <v>850002</v>
          </cell>
          <cell r="S334">
            <v>359.15</v>
          </cell>
        </row>
        <row r="335">
          <cell r="E335">
            <v>850005</v>
          </cell>
          <cell r="S335">
            <v>714.79</v>
          </cell>
        </row>
        <row r="336">
          <cell r="E336">
            <v>850008</v>
          </cell>
          <cell r="S336">
            <v>9715.2199999999993</v>
          </cell>
        </row>
        <row r="337">
          <cell r="E337">
            <v>850001</v>
          </cell>
          <cell r="S337">
            <v>15332.47</v>
          </cell>
        </row>
        <row r="338">
          <cell r="E338">
            <v>850008</v>
          </cell>
          <cell r="S338">
            <v>318.35000000000002</v>
          </cell>
        </row>
        <row r="339">
          <cell r="E339">
            <v>860000</v>
          </cell>
          <cell r="S339">
            <v>1940</v>
          </cell>
        </row>
        <row r="340">
          <cell r="E340">
            <v>850002</v>
          </cell>
          <cell r="S340">
            <v>99.86</v>
          </cell>
        </row>
        <row r="341">
          <cell r="E341">
            <v>850008</v>
          </cell>
          <cell r="S341">
            <v>1157.07</v>
          </cell>
        </row>
        <row r="342">
          <cell r="E342">
            <v>850007</v>
          </cell>
          <cell r="S342">
            <v>18111.68</v>
          </cell>
        </row>
        <row r="343">
          <cell r="E343">
            <v>850008</v>
          </cell>
          <cell r="S343">
            <v>341.44</v>
          </cell>
        </row>
        <row r="344">
          <cell r="E344">
            <v>850001</v>
          </cell>
          <cell r="S344">
            <v>3803</v>
          </cell>
        </row>
        <row r="345">
          <cell r="E345">
            <v>850008</v>
          </cell>
          <cell r="S345">
            <v>157.88</v>
          </cell>
        </row>
        <row r="346">
          <cell r="E346">
            <v>850006</v>
          </cell>
          <cell r="S346">
            <v>6000</v>
          </cell>
        </row>
        <row r="347">
          <cell r="E347">
            <v>850000</v>
          </cell>
          <cell r="S347">
            <v>354.17</v>
          </cell>
        </row>
        <row r="348">
          <cell r="E348">
            <v>850009</v>
          </cell>
          <cell r="S348">
            <v>105.02</v>
          </cell>
        </row>
        <row r="349">
          <cell r="E349">
            <v>850000</v>
          </cell>
          <cell r="S349">
            <v>-3525.97</v>
          </cell>
        </row>
        <row r="350">
          <cell r="E350">
            <v>850009</v>
          </cell>
          <cell r="S350">
            <v>215</v>
          </cell>
        </row>
        <row r="351">
          <cell r="E351">
            <v>890000</v>
          </cell>
          <cell r="S351">
            <v>1769</v>
          </cell>
        </row>
        <row r="352">
          <cell r="E352">
            <v>850000</v>
          </cell>
          <cell r="S352">
            <v>86460.52</v>
          </cell>
        </row>
        <row r="353">
          <cell r="E353">
            <v>850000</v>
          </cell>
          <cell r="S353">
            <v>6868.77</v>
          </cell>
        </row>
        <row r="354">
          <cell r="E354">
            <v>850000</v>
          </cell>
          <cell r="S354">
            <v>9423.17</v>
          </cell>
        </row>
        <row r="355">
          <cell r="E355">
            <v>850000</v>
          </cell>
          <cell r="S355">
            <v>5107.5600000000004</v>
          </cell>
        </row>
        <row r="356">
          <cell r="E356">
            <v>850000</v>
          </cell>
          <cell r="S356">
            <v>5182.17</v>
          </cell>
        </row>
        <row r="357">
          <cell r="E357">
            <v>850000</v>
          </cell>
          <cell r="S357">
            <v>5031.26</v>
          </cell>
        </row>
        <row r="358">
          <cell r="E358">
            <v>850000</v>
          </cell>
          <cell r="S358">
            <v>15694.06</v>
          </cell>
        </row>
        <row r="359">
          <cell r="E359">
            <v>850000</v>
          </cell>
          <cell r="S359">
            <v>-5031.26</v>
          </cell>
        </row>
        <row r="360">
          <cell r="E360">
            <v>850000</v>
          </cell>
          <cell r="S360">
            <v>19962.439999999999</v>
          </cell>
        </row>
        <row r="361">
          <cell r="E361">
            <v>850000</v>
          </cell>
          <cell r="S361">
            <v>355.66</v>
          </cell>
        </row>
        <row r="362">
          <cell r="E362">
            <v>850000</v>
          </cell>
          <cell r="S362">
            <v>418.69</v>
          </cell>
        </row>
        <row r="363">
          <cell r="E363">
            <v>850000</v>
          </cell>
          <cell r="S363">
            <v>1306.47</v>
          </cell>
        </row>
        <row r="364">
          <cell r="E364">
            <v>840006</v>
          </cell>
          <cell r="S364">
            <v>4081.63</v>
          </cell>
        </row>
        <row r="365">
          <cell r="E365">
            <v>850003</v>
          </cell>
          <cell r="S365">
            <v>231.86000000000013</v>
          </cell>
        </row>
        <row r="366">
          <cell r="E366">
            <v>850003</v>
          </cell>
          <cell r="S366">
            <v>2955.9</v>
          </cell>
        </row>
        <row r="367">
          <cell r="E367">
            <v>850003</v>
          </cell>
          <cell r="S367">
            <v>2221.31</v>
          </cell>
        </row>
        <row r="368">
          <cell r="E368">
            <v>850003</v>
          </cell>
          <cell r="S368">
            <v>421.31</v>
          </cell>
        </row>
        <row r="369">
          <cell r="E369">
            <v>840010</v>
          </cell>
          <cell r="S369">
            <v>673</v>
          </cell>
        </row>
        <row r="370">
          <cell r="E370">
            <v>850008</v>
          </cell>
          <cell r="S370">
            <v>1869.07</v>
          </cell>
        </row>
        <row r="371">
          <cell r="E371">
            <v>840000</v>
          </cell>
          <cell r="S371">
            <v>32.54</v>
          </cell>
        </row>
        <row r="372">
          <cell r="E372">
            <v>840000</v>
          </cell>
          <cell r="S372">
            <v>88644.81</v>
          </cell>
        </row>
        <row r="373">
          <cell r="E373">
            <v>840000</v>
          </cell>
          <cell r="S373">
            <v>1647.49</v>
          </cell>
        </row>
        <row r="374">
          <cell r="E374">
            <v>840000</v>
          </cell>
          <cell r="S374">
            <v>3514.49</v>
          </cell>
        </row>
        <row r="375">
          <cell r="E375">
            <v>840000</v>
          </cell>
          <cell r="S375">
            <v>0</v>
          </cell>
        </row>
        <row r="376">
          <cell r="E376">
            <v>840000</v>
          </cell>
          <cell r="S376">
            <v>1029.4100000000001</v>
          </cell>
        </row>
        <row r="377">
          <cell r="E377">
            <v>840000</v>
          </cell>
          <cell r="S377">
            <v>422.88</v>
          </cell>
        </row>
        <row r="378">
          <cell r="E378">
            <v>840000</v>
          </cell>
          <cell r="S378">
            <v>3936.47</v>
          </cell>
        </row>
        <row r="379">
          <cell r="E379">
            <v>840000</v>
          </cell>
          <cell r="S379">
            <v>-422.88</v>
          </cell>
        </row>
        <row r="380">
          <cell r="E380">
            <v>840000</v>
          </cell>
          <cell r="S380">
            <v>0</v>
          </cell>
        </row>
        <row r="381">
          <cell r="E381">
            <v>840006</v>
          </cell>
          <cell r="S381">
            <v>2878.06</v>
          </cell>
        </row>
        <row r="382">
          <cell r="E382">
            <v>840006</v>
          </cell>
          <cell r="S382">
            <v>1470.67</v>
          </cell>
        </row>
        <row r="383">
          <cell r="E383">
            <v>840006</v>
          </cell>
          <cell r="S383">
            <v>2476.5700000000002</v>
          </cell>
        </row>
        <row r="384">
          <cell r="E384">
            <v>840006</v>
          </cell>
          <cell r="S384">
            <v>0</v>
          </cell>
        </row>
        <row r="385">
          <cell r="E385">
            <v>840009</v>
          </cell>
          <cell r="S385">
            <v>12713.900000000001</v>
          </cell>
        </row>
        <row r="386">
          <cell r="E386">
            <v>840001</v>
          </cell>
          <cell r="S386">
            <v>93.13</v>
          </cell>
        </row>
        <row r="387">
          <cell r="E387">
            <v>860000</v>
          </cell>
          <cell r="S387">
            <v>8668</v>
          </cell>
        </row>
        <row r="388">
          <cell r="E388">
            <v>830007</v>
          </cell>
          <cell r="S388">
            <v>26564.880000000001</v>
          </cell>
        </row>
        <row r="389">
          <cell r="E389">
            <v>860000</v>
          </cell>
          <cell r="S389">
            <v>6874</v>
          </cell>
        </row>
        <row r="390">
          <cell r="E390">
            <v>830010</v>
          </cell>
          <cell r="S390">
            <v>5188.2</v>
          </cell>
        </row>
        <row r="391">
          <cell r="E391">
            <v>830000</v>
          </cell>
          <cell r="S391">
            <v>357.9</v>
          </cell>
        </row>
        <row r="392">
          <cell r="E392">
            <v>860000</v>
          </cell>
          <cell r="S392">
            <v>82</v>
          </cell>
        </row>
        <row r="393">
          <cell r="E393">
            <v>860000</v>
          </cell>
          <cell r="S393">
            <v>127</v>
          </cell>
        </row>
        <row r="394">
          <cell r="E394">
            <v>830005</v>
          </cell>
          <cell r="S394">
            <v>7396</v>
          </cell>
        </row>
        <row r="395">
          <cell r="E395">
            <v>830000</v>
          </cell>
          <cell r="S395">
            <v>427507.56</v>
          </cell>
        </row>
        <row r="396">
          <cell r="E396">
            <v>830000</v>
          </cell>
          <cell r="S396">
            <v>25059.61</v>
          </cell>
        </row>
        <row r="397">
          <cell r="E397">
            <v>830000</v>
          </cell>
          <cell r="S397">
            <v>42355.43</v>
          </cell>
        </row>
        <row r="398">
          <cell r="E398">
            <v>830000</v>
          </cell>
          <cell r="S398">
            <v>3068.62</v>
          </cell>
        </row>
        <row r="399">
          <cell r="E399">
            <v>830000</v>
          </cell>
          <cell r="S399">
            <v>13472.8</v>
          </cell>
        </row>
        <row r="400">
          <cell r="E400">
            <v>830000</v>
          </cell>
          <cell r="S400">
            <v>15287.5</v>
          </cell>
        </row>
        <row r="401">
          <cell r="E401">
            <v>830000</v>
          </cell>
          <cell r="S401">
            <v>21199.759999999998</v>
          </cell>
        </row>
        <row r="402">
          <cell r="E402">
            <v>830000</v>
          </cell>
          <cell r="S402">
            <v>-709.12</v>
          </cell>
        </row>
        <row r="403">
          <cell r="E403">
            <v>830000</v>
          </cell>
          <cell r="S403">
            <v>-15287.5</v>
          </cell>
        </row>
        <row r="404">
          <cell r="E404">
            <v>830000</v>
          </cell>
          <cell r="S404">
            <v>417.4</v>
          </cell>
        </row>
        <row r="405">
          <cell r="E405">
            <v>830000</v>
          </cell>
          <cell r="S405">
            <v>4777.76</v>
          </cell>
        </row>
        <row r="406">
          <cell r="E406">
            <v>830000</v>
          </cell>
          <cell r="S406">
            <v>4987.05</v>
          </cell>
        </row>
        <row r="407">
          <cell r="E407">
            <v>830000</v>
          </cell>
          <cell r="S407">
            <v>4883.84</v>
          </cell>
        </row>
        <row r="408">
          <cell r="E408">
            <v>830000</v>
          </cell>
          <cell r="S408">
            <v>1776.64</v>
          </cell>
        </row>
        <row r="409">
          <cell r="E409">
            <v>830000</v>
          </cell>
          <cell r="S409">
            <v>6761.29</v>
          </cell>
        </row>
        <row r="410">
          <cell r="E410">
            <v>830000</v>
          </cell>
          <cell r="S410">
            <v>5639.19</v>
          </cell>
        </row>
        <row r="411">
          <cell r="E411">
            <v>830000</v>
          </cell>
          <cell r="S411">
            <v>4759.93</v>
          </cell>
        </row>
        <row r="412">
          <cell r="E412">
            <v>830000</v>
          </cell>
          <cell r="S412">
            <v>3265.9</v>
          </cell>
        </row>
        <row r="413">
          <cell r="E413">
            <v>830000</v>
          </cell>
          <cell r="S413">
            <v>684.24</v>
          </cell>
        </row>
        <row r="414">
          <cell r="E414">
            <v>830000</v>
          </cell>
          <cell r="S414">
            <v>550.76</v>
          </cell>
        </row>
        <row r="415">
          <cell r="E415">
            <v>830004</v>
          </cell>
          <cell r="S415">
            <v>6062.0300000000007</v>
          </cell>
        </row>
        <row r="416">
          <cell r="E416">
            <v>830004</v>
          </cell>
          <cell r="S416">
            <v>2989.28</v>
          </cell>
        </row>
        <row r="417">
          <cell r="E417">
            <v>830004</v>
          </cell>
          <cell r="S417">
            <v>2547.25</v>
          </cell>
        </row>
        <row r="418">
          <cell r="E418">
            <v>830004</v>
          </cell>
          <cell r="S418">
            <v>1662.02</v>
          </cell>
        </row>
        <row r="419">
          <cell r="E419">
            <v>830004</v>
          </cell>
          <cell r="S419">
            <v>2180.25</v>
          </cell>
        </row>
        <row r="420">
          <cell r="E420">
            <v>880000</v>
          </cell>
          <cell r="S420">
            <v>2092</v>
          </cell>
        </row>
        <row r="421">
          <cell r="E421">
            <v>880000</v>
          </cell>
          <cell r="S421">
            <v>-151.86000000000001</v>
          </cell>
        </row>
        <row r="422">
          <cell r="E422">
            <v>880000</v>
          </cell>
          <cell r="S422">
            <v>-361.97</v>
          </cell>
        </row>
        <row r="423">
          <cell r="E423">
            <v>880000</v>
          </cell>
          <cell r="S423">
            <v>7.1</v>
          </cell>
        </row>
        <row r="424">
          <cell r="E424">
            <v>880000</v>
          </cell>
          <cell r="S424">
            <v>2468.2800000000002</v>
          </cell>
        </row>
        <row r="425">
          <cell r="E425">
            <v>880000</v>
          </cell>
          <cell r="S425">
            <v>891.58</v>
          </cell>
        </row>
        <row r="426">
          <cell r="E426">
            <v>880000</v>
          </cell>
          <cell r="S426">
            <v>-19.11</v>
          </cell>
        </row>
        <row r="427">
          <cell r="E427" t="e">
            <v>#N/A</v>
          </cell>
        </row>
        <row r="428">
          <cell r="E428" t="e">
            <v>#N/A</v>
          </cell>
        </row>
        <row r="429">
          <cell r="E429" t="e">
            <v>#N/A</v>
          </cell>
        </row>
        <row r="430">
          <cell r="E430" t="e">
            <v>#N/A</v>
          </cell>
        </row>
        <row r="431">
          <cell r="E431" t="e">
            <v>#N/A</v>
          </cell>
        </row>
        <row r="432">
          <cell r="E432" t="e">
            <v>#N/A</v>
          </cell>
        </row>
        <row r="433">
          <cell r="E433" t="e">
            <v>#N/A</v>
          </cell>
        </row>
        <row r="434">
          <cell r="E434" t="e">
            <v>#N/A</v>
          </cell>
        </row>
        <row r="435">
          <cell r="E435" t="e">
            <v>#N/A</v>
          </cell>
        </row>
        <row r="436">
          <cell r="E436" t="e">
            <v>#N/A</v>
          </cell>
        </row>
        <row r="437">
          <cell r="E437" t="e">
            <v>#N/A</v>
          </cell>
        </row>
        <row r="438">
          <cell r="E438" t="e">
            <v>#N/A</v>
          </cell>
        </row>
        <row r="439">
          <cell r="E439" t="e">
            <v>#N/A</v>
          </cell>
        </row>
        <row r="440">
          <cell r="E440" t="e">
            <v>#N/A</v>
          </cell>
        </row>
        <row r="441">
          <cell r="E441" t="e">
            <v>#N/A</v>
          </cell>
        </row>
        <row r="442">
          <cell r="E442" t="e">
            <v>#N/A</v>
          </cell>
        </row>
        <row r="443">
          <cell r="E443" t="e">
            <v>#N/A</v>
          </cell>
        </row>
        <row r="444">
          <cell r="E444" t="e">
            <v>#N/A</v>
          </cell>
        </row>
        <row r="445">
          <cell r="E445" t="e">
            <v>#N/A</v>
          </cell>
        </row>
        <row r="446">
          <cell r="E446" t="e">
            <v>#N/A</v>
          </cell>
        </row>
        <row r="447">
          <cell r="E447" t="e">
            <v>#N/A</v>
          </cell>
        </row>
        <row r="448">
          <cell r="E448" t="e">
            <v>#N/A</v>
          </cell>
        </row>
        <row r="449">
          <cell r="E449" t="e">
            <v>#N/A</v>
          </cell>
        </row>
        <row r="450">
          <cell r="E450" t="e">
            <v>#N/A</v>
          </cell>
        </row>
        <row r="451">
          <cell r="E451" t="e">
            <v>#N/A</v>
          </cell>
        </row>
        <row r="452">
          <cell r="E452" t="e">
            <v>#N/A</v>
          </cell>
        </row>
        <row r="453">
          <cell r="E453" t="e">
            <v>#N/A</v>
          </cell>
        </row>
        <row r="454">
          <cell r="E454" t="e">
            <v>#N/A</v>
          </cell>
        </row>
        <row r="455">
          <cell r="E455" t="e">
            <v>#N/A</v>
          </cell>
        </row>
        <row r="456">
          <cell r="E456" t="e">
            <v>#N/A</v>
          </cell>
        </row>
        <row r="457">
          <cell r="E457" t="e">
            <v>#N/A</v>
          </cell>
        </row>
        <row r="458">
          <cell r="E458" t="e">
            <v>#N/A</v>
          </cell>
        </row>
        <row r="459">
          <cell r="E459" t="e">
            <v>#N/A</v>
          </cell>
        </row>
        <row r="460">
          <cell r="E460" t="e">
            <v>#N/A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ir Value Calculator"/>
      <sheetName val="Expense Calc"/>
      <sheetName val="גיליון1"/>
      <sheetName val="מחירי מניה"/>
      <sheetName val="חישוב לפי מנות"/>
      <sheetName val="12"/>
      <sheetName val="9"/>
      <sheetName val="6"/>
      <sheetName val="Sheet1"/>
      <sheetName val="אומד1"/>
      <sheetName val="אומד"/>
      <sheetName val="חישוב"/>
      <sheetName val="Volatility Calculator"/>
      <sheetName val="Volcalcs"/>
      <sheetName val="Pricing Mode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2">
          <cell r="H12">
            <v>1.1548175153520366</v>
          </cell>
        </row>
      </sheetData>
      <sheetData sheetId="13">
        <row r="12">
          <cell r="H12">
            <v>1.1548175153520366</v>
          </cell>
        </row>
      </sheetData>
      <sheetData sheetId="14">
        <row r="12">
          <cell r="H12">
            <v>1.1548175153520366</v>
          </cell>
          <cell r="M12">
            <v>1.1585090274390855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paper"/>
      <sheetName val="נתונים ממוינים"/>
      <sheetName val="נתוני מעלה"/>
      <sheetName val="עזר"/>
    </sheetNames>
    <sheetDataSet>
      <sheetData sheetId="0"/>
      <sheetData sheetId="1"/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ינדקס"/>
      <sheetName val="נתונים על הרכבים"/>
      <sheetName val="נתונים מהנהלת חשבונות"/>
      <sheetName val="קמ&quot;ש סגירה"/>
      <sheetName val="קמ&quot;ש פתיחה"/>
    </sheetNames>
    <sheetDataSet>
      <sheetData sheetId="0"/>
      <sheetData sheetId="1">
        <row r="1">
          <cell r="A1" t="str">
            <v>חשבון</v>
          </cell>
          <cell r="B1" t="str">
            <v>מספר רכב</v>
          </cell>
        </row>
        <row r="2">
          <cell r="A2" t="str">
            <v>602-050</v>
          </cell>
          <cell r="B2" t="str">
            <v>88-375-60</v>
          </cell>
        </row>
        <row r="3">
          <cell r="A3" t="str">
            <v>602-016</v>
          </cell>
          <cell r="B3" t="str">
            <v>49-601-56</v>
          </cell>
        </row>
        <row r="4">
          <cell r="A4" t="str">
            <v>602-035</v>
          </cell>
          <cell r="B4" t="str">
            <v>17-493-59</v>
          </cell>
        </row>
        <row r="5">
          <cell r="A5" t="str">
            <v>602-052</v>
          </cell>
          <cell r="B5" t="str">
            <v>69-659-60</v>
          </cell>
        </row>
        <row r="6">
          <cell r="A6" t="str">
            <v>602-206</v>
          </cell>
          <cell r="B6" t="str">
            <v>63-826-56</v>
          </cell>
        </row>
        <row r="7">
          <cell r="A7" t="str">
            <v>602-038</v>
          </cell>
          <cell r="B7" t="str">
            <v>48-849-59</v>
          </cell>
        </row>
        <row r="8">
          <cell r="A8" t="str">
            <v>602-020</v>
          </cell>
          <cell r="B8" t="str">
            <v>60-361-51</v>
          </cell>
        </row>
        <row r="9">
          <cell r="A9" t="str">
            <v>602-225</v>
          </cell>
          <cell r="B9" t="str">
            <v>17-932-62</v>
          </cell>
        </row>
        <row r="10">
          <cell r="A10" t="str">
            <v>603-037</v>
          </cell>
          <cell r="B10" t="str">
            <v>18-312-59</v>
          </cell>
        </row>
        <row r="11">
          <cell r="A11" t="str">
            <v>602-216</v>
          </cell>
          <cell r="B11" t="str">
            <v>46-250-14</v>
          </cell>
        </row>
        <row r="12">
          <cell r="A12" t="str">
            <v>602-024</v>
          </cell>
          <cell r="B12" t="str">
            <v>87-861-17</v>
          </cell>
        </row>
        <row r="13">
          <cell r="A13" t="str">
            <v>602-033</v>
          </cell>
          <cell r="B13" t="str">
            <v>48-061-58</v>
          </cell>
        </row>
        <row r="14">
          <cell r="A14" t="str">
            <v>602-017</v>
          </cell>
          <cell r="B14" t="str">
            <v>60-298-51</v>
          </cell>
        </row>
        <row r="15">
          <cell r="A15" t="str">
            <v>602-410</v>
          </cell>
          <cell r="B15" t="str">
            <v>46-757-61</v>
          </cell>
        </row>
        <row r="16">
          <cell r="A16" t="str">
            <v>602-205</v>
          </cell>
          <cell r="B16" t="str">
            <v>60-313-51</v>
          </cell>
        </row>
        <row r="17">
          <cell r="A17" t="str">
            <v>602-407</v>
          </cell>
          <cell r="B17" t="str">
            <v>68-991-16</v>
          </cell>
        </row>
        <row r="18">
          <cell r="A18" t="str">
            <v>602-403</v>
          </cell>
          <cell r="B18" t="str">
            <v>61-251-56</v>
          </cell>
        </row>
        <row r="19">
          <cell r="A19" t="str">
            <v>602-217</v>
          </cell>
          <cell r="B19" t="str">
            <v>21-248-13</v>
          </cell>
        </row>
        <row r="20">
          <cell r="A20" t="str">
            <v>603-042</v>
          </cell>
          <cell r="B20" t="str">
            <v>85-144-59</v>
          </cell>
        </row>
        <row r="21">
          <cell r="A21" t="str">
            <v>602-222</v>
          </cell>
          <cell r="B21" t="str">
            <v>28-405-61</v>
          </cell>
        </row>
        <row r="22">
          <cell r="A22" t="str">
            <v>602-208</v>
          </cell>
          <cell r="B22" t="str">
            <v>35-588-23</v>
          </cell>
        </row>
        <row r="23">
          <cell r="A23" t="str">
            <v>602-034</v>
          </cell>
          <cell r="B23" t="str">
            <v>61-758-01</v>
          </cell>
        </row>
        <row r="24">
          <cell r="A24" t="str">
            <v>602-053</v>
          </cell>
          <cell r="B24" t="str">
            <v>26-390-61</v>
          </cell>
        </row>
        <row r="25">
          <cell r="A25" t="str">
            <v>602-022</v>
          </cell>
          <cell r="B25" t="str">
            <v>61-335-56</v>
          </cell>
        </row>
        <row r="26">
          <cell r="A26" t="str">
            <v>602-404</v>
          </cell>
          <cell r="B26" t="str">
            <v>65-122-56</v>
          </cell>
        </row>
        <row r="27">
          <cell r="A27" t="str">
            <v>602-215</v>
          </cell>
          <cell r="B27" t="str">
            <v>52-286-59</v>
          </cell>
        </row>
        <row r="28">
          <cell r="A28" t="str">
            <v>602-015</v>
          </cell>
          <cell r="B28" t="str">
            <v>49-585-56</v>
          </cell>
        </row>
        <row r="29">
          <cell r="A29" t="str">
            <v>602-045</v>
          </cell>
          <cell r="B29" t="str">
            <v>15-311-14</v>
          </cell>
        </row>
        <row r="30">
          <cell r="A30" t="str">
            <v>603-036</v>
          </cell>
          <cell r="B30" t="str">
            <v>17-522-59</v>
          </cell>
        </row>
        <row r="31">
          <cell r="A31" t="str">
            <v>602-037</v>
          </cell>
          <cell r="B31" t="str">
            <v>17-628-59</v>
          </cell>
        </row>
        <row r="32">
          <cell r="A32" t="str">
            <v>602-018</v>
          </cell>
          <cell r="B32" t="str">
            <v>60-314-51</v>
          </cell>
        </row>
        <row r="33">
          <cell r="A33" t="str">
            <v>602-012</v>
          </cell>
          <cell r="B33" t="str">
            <v>33-952-23</v>
          </cell>
        </row>
        <row r="34">
          <cell r="A34" t="str">
            <v>602-213</v>
          </cell>
          <cell r="B34" t="str">
            <v>17-629-59</v>
          </cell>
        </row>
        <row r="35">
          <cell r="A35" t="str">
            <v>602-055</v>
          </cell>
          <cell r="B35" t="str">
            <v>12-662-62</v>
          </cell>
        </row>
        <row r="36">
          <cell r="A36" t="str">
            <v>602-223</v>
          </cell>
          <cell r="B36" t="str">
            <v>48-572-61</v>
          </cell>
        </row>
        <row r="37">
          <cell r="A37" t="str">
            <v>602-051</v>
          </cell>
          <cell r="B37" t="str">
            <v>21-625-61</v>
          </cell>
        </row>
        <row r="38">
          <cell r="A38" t="str">
            <v>602-219</v>
          </cell>
          <cell r="B38" t="str">
            <v>23-530-61</v>
          </cell>
        </row>
        <row r="39">
          <cell r="A39" t="str">
            <v>602-036</v>
          </cell>
          <cell r="B39" t="str">
            <v>81-047-01</v>
          </cell>
        </row>
        <row r="40">
          <cell r="A40" t="str">
            <v>602-013</v>
          </cell>
          <cell r="B40" t="str">
            <v>33-953-23</v>
          </cell>
        </row>
        <row r="41">
          <cell r="A41" t="str">
            <v>602-046</v>
          </cell>
          <cell r="B41" t="str">
            <v>60-808-14</v>
          </cell>
        </row>
        <row r="42">
          <cell r="A42" t="str">
            <v>602-043</v>
          </cell>
          <cell r="B42" t="str">
            <v>30-705-14</v>
          </cell>
        </row>
        <row r="43">
          <cell r="A43" t="str">
            <v>602-041</v>
          </cell>
          <cell r="B43" t="str">
            <v>52-268-59</v>
          </cell>
        </row>
        <row r="44">
          <cell r="A44" t="str">
            <v>602-049</v>
          </cell>
          <cell r="B44" t="str">
            <v>17-835-13</v>
          </cell>
        </row>
        <row r="45">
          <cell r="A45" t="str">
            <v>602-056</v>
          </cell>
          <cell r="B45" t="str">
            <v>33-405-62</v>
          </cell>
        </row>
        <row r="46">
          <cell r="A46" t="str">
            <v>602-409</v>
          </cell>
          <cell r="B46" t="str">
            <v>80-780-59</v>
          </cell>
        </row>
        <row r="47">
          <cell r="A47" t="str">
            <v>602-218</v>
          </cell>
          <cell r="B47" t="str">
            <v>20-392-13</v>
          </cell>
        </row>
        <row r="48">
          <cell r="A48" t="str">
            <v>602-048</v>
          </cell>
          <cell r="B48" t="str">
            <v>37-872-13</v>
          </cell>
        </row>
        <row r="49">
          <cell r="A49" t="str">
            <v>602-054</v>
          </cell>
          <cell r="B49" t="str">
            <v>13-678-61</v>
          </cell>
        </row>
        <row r="50">
          <cell r="A50" t="str">
            <v>602-220</v>
          </cell>
          <cell r="B50" t="str">
            <v>15-633-61</v>
          </cell>
        </row>
        <row r="51">
          <cell r="A51" t="str">
            <v>602-042</v>
          </cell>
          <cell r="B51" t="str">
            <v>62-369-59</v>
          </cell>
        </row>
        <row r="52">
          <cell r="A52" t="str">
            <v>602-212</v>
          </cell>
          <cell r="B52" t="str">
            <v>58-762-57</v>
          </cell>
        </row>
        <row r="53">
          <cell r="A53" t="str">
            <v>602-044</v>
          </cell>
          <cell r="B53" t="str">
            <v>12-713-14</v>
          </cell>
        </row>
        <row r="54">
          <cell r="A54" t="str">
            <v>602-040</v>
          </cell>
          <cell r="B54" t="str">
            <v>52-255-59</v>
          </cell>
        </row>
        <row r="55">
          <cell r="A55" t="str">
            <v>602-210</v>
          </cell>
          <cell r="B55" t="str">
            <v>74-670-57</v>
          </cell>
        </row>
        <row r="56">
          <cell r="A56" t="str">
            <v>602-224</v>
          </cell>
          <cell r="B56" t="str">
            <v>31-619-62</v>
          </cell>
        </row>
        <row r="57">
          <cell r="A57" t="str">
            <v>602-039</v>
          </cell>
          <cell r="B57" t="str">
            <v>72-455-59</v>
          </cell>
        </row>
        <row r="58">
          <cell r="A58" t="str">
            <v>602-001</v>
          </cell>
          <cell r="B58" t="str">
            <v>65-942-56</v>
          </cell>
        </row>
        <row r="59">
          <cell r="A59" t="str">
            <v>602-204</v>
          </cell>
          <cell r="B59" t="str">
            <v>60-316-51</v>
          </cell>
        </row>
        <row r="60">
          <cell r="A60" t="str">
            <v>602-047</v>
          </cell>
          <cell r="B60" t="str">
            <v>89-272-14</v>
          </cell>
        </row>
        <row r="61">
          <cell r="A61" t="str">
            <v>602-221</v>
          </cell>
          <cell r="B61" t="str">
            <v>17-766-61</v>
          </cell>
        </row>
        <row r="62">
          <cell r="A62" t="str">
            <v>602-019</v>
          </cell>
          <cell r="B62" t="str">
            <v>60-315-51</v>
          </cell>
        </row>
        <row r="63">
          <cell r="A63" t="str">
            <v>602-032</v>
          </cell>
        </row>
        <row r="64">
          <cell r="A64" t="str">
            <v>602-057</v>
          </cell>
          <cell r="B64" t="str">
            <v>53-216-61</v>
          </cell>
        </row>
        <row r="65">
          <cell r="A65" t="str">
            <v>602-058</v>
          </cell>
          <cell r="B65" t="str">
            <v>38-117-62</v>
          </cell>
        </row>
        <row r="66">
          <cell r="A66" t="str">
            <v>602-226</v>
          </cell>
          <cell r="B66" t="str">
            <v>38-144-62</v>
          </cell>
        </row>
        <row r="67">
          <cell r="A67" t="str">
            <v>רונן דולב</v>
          </cell>
          <cell r="B67" t="str">
            <v>60-315-51</v>
          </cell>
        </row>
        <row r="68">
          <cell r="A68" t="str">
            <v>כללי</v>
          </cell>
        </row>
        <row r="69">
          <cell r="A69" t="str">
            <v>יעקב כגן</v>
          </cell>
          <cell r="B69" t="str">
            <v>53-216-61</v>
          </cell>
        </row>
        <row r="70">
          <cell r="A70" t="str">
            <v>ולרי דובז'יק</v>
          </cell>
          <cell r="B70" t="str">
            <v>38-117-62</v>
          </cell>
        </row>
        <row r="71">
          <cell r="A71" t="str">
            <v>דבי לני</v>
          </cell>
          <cell r="B71" t="str">
            <v>38-144-62</v>
          </cell>
        </row>
        <row r="72">
          <cell r="A72" t="str">
            <v>חדשים</v>
          </cell>
        </row>
        <row r="73">
          <cell r="A73" t="str">
            <v>602-059</v>
          </cell>
          <cell r="B73" t="str">
            <v>61-130-62</v>
          </cell>
        </row>
        <row r="74">
          <cell r="A74" t="str">
            <v>602-060</v>
          </cell>
          <cell r="B74" t="str">
            <v>64-398-61</v>
          </cell>
        </row>
        <row r="75">
          <cell r="A75" t="str">
            <v>602-061</v>
          </cell>
          <cell r="B75" t="str">
            <v>77-361-62</v>
          </cell>
        </row>
        <row r="76">
          <cell r="A76" t="str">
            <v>602-062</v>
          </cell>
          <cell r="B76" t="str">
            <v>45-437-63</v>
          </cell>
        </row>
        <row r="77">
          <cell r="A77" t="str">
            <v>602-063</v>
          </cell>
          <cell r="B77" t="str">
            <v>51-259-03</v>
          </cell>
        </row>
        <row r="78">
          <cell r="A78" t="str">
            <v>602-064</v>
          </cell>
          <cell r="B78" t="str">
            <v>50-398-63</v>
          </cell>
        </row>
        <row r="79">
          <cell r="A79" t="str">
            <v>602-065</v>
          </cell>
          <cell r="B79" t="str">
            <v>68-832-63</v>
          </cell>
        </row>
        <row r="80">
          <cell r="A80" t="str">
            <v>602-066</v>
          </cell>
          <cell r="B80" t="str">
            <v>63-664-63</v>
          </cell>
        </row>
        <row r="81">
          <cell r="A81" t="str">
            <v>602-067</v>
          </cell>
          <cell r="B81" t="str">
            <v>16-223-64</v>
          </cell>
        </row>
        <row r="82">
          <cell r="A82" t="str">
            <v>602-068</v>
          </cell>
          <cell r="B82" t="str">
            <v>16-188-64</v>
          </cell>
        </row>
        <row r="83">
          <cell r="A83" t="str">
            <v>602-069</v>
          </cell>
          <cell r="B83" t="str">
            <v>87-116-14</v>
          </cell>
        </row>
        <row r="84">
          <cell r="A84" t="str">
            <v>602-070</v>
          </cell>
          <cell r="B84" t="str">
            <v>31-707-63</v>
          </cell>
        </row>
        <row r="85">
          <cell r="A85" t="str">
            <v>602-071</v>
          </cell>
          <cell r="B85" t="str">
            <v>44-072-64</v>
          </cell>
        </row>
        <row r="86">
          <cell r="A86" t="str">
            <v>602-072</v>
          </cell>
          <cell r="B86" t="str">
            <v>31-619-62</v>
          </cell>
        </row>
        <row r="87">
          <cell r="A87" t="str">
            <v>602-073</v>
          </cell>
          <cell r="B87" t="str">
            <v>23-565-65</v>
          </cell>
        </row>
        <row r="88">
          <cell r="A88" t="str">
            <v>602-074</v>
          </cell>
          <cell r="B88" t="str">
            <v>62-075-60</v>
          </cell>
        </row>
        <row r="89">
          <cell r="A89" t="str">
            <v>602-075</v>
          </cell>
          <cell r="B89" t="str">
            <v>61-915-60</v>
          </cell>
        </row>
        <row r="90">
          <cell r="A90" t="str">
            <v>602-076</v>
          </cell>
          <cell r="B90" t="str">
            <v>60-595-64</v>
          </cell>
        </row>
        <row r="91">
          <cell r="A91" t="str">
            <v>602-411</v>
          </cell>
          <cell r="B91" t="str">
            <v>64-625-61</v>
          </cell>
        </row>
        <row r="92">
          <cell r="A92" t="str">
            <v>602-232</v>
          </cell>
          <cell r="B92" t="str">
            <v>46-899-63</v>
          </cell>
        </row>
        <row r="93">
          <cell r="A93" t="str">
            <v>602-234</v>
          </cell>
        </row>
        <row r="94">
          <cell r="A94" t="str">
            <v>602-236</v>
          </cell>
          <cell r="B94" t="str">
            <v>20-764-65</v>
          </cell>
        </row>
        <row r="95">
          <cell r="A95" t="str">
            <v>602-227</v>
          </cell>
          <cell r="B95" t="str">
            <v>77-310-62</v>
          </cell>
        </row>
        <row r="96">
          <cell r="A96" t="str">
            <v>602-228</v>
          </cell>
          <cell r="B96" t="str">
            <v>66-246-62</v>
          </cell>
        </row>
        <row r="97">
          <cell r="A97" t="str">
            <v>602-229</v>
          </cell>
          <cell r="B97" t="str">
            <v>77-364-62</v>
          </cell>
        </row>
        <row r="98">
          <cell r="A98" t="str">
            <v>602-230</v>
          </cell>
          <cell r="B98" t="str">
            <v>76-673-62</v>
          </cell>
        </row>
        <row r="99">
          <cell r="A99" t="str">
            <v>602-233</v>
          </cell>
          <cell r="B99" t="str">
            <v>61-914-60</v>
          </cell>
        </row>
        <row r="100">
          <cell r="A100" t="str">
            <v>602-235</v>
          </cell>
          <cell r="B100" t="str">
            <v>15-673-66</v>
          </cell>
        </row>
        <row r="101">
          <cell r="A101" t="str">
            <v>602-415</v>
          </cell>
        </row>
        <row r="102">
          <cell r="A102" t="str">
            <v>602-408</v>
          </cell>
        </row>
        <row r="103">
          <cell r="A103" t="str">
            <v>602-412</v>
          </cell>
          <cell r="B103" t="str">
            <v>48-324-63</v>
          </cell>
        </row>
        <row r="104">
          <cell r="A104" t="str">
            <v>602-413</v>
          </cell>
          <cell r="B104" t="str">
            <v>76-539-63</v>
          </cell>
        </row>
        <row r="105">
          <cell r="A105" t="str">
            <v>602-414</v>
          </cell>
          <cell r="B105" t="str">
            <v>46-554-64</v>
          </cell>
        </row>
        <row r="106">
          <cell r="A106" t="str">
            <v>602-2</v>
          </cell>
        </row>
      </sheetData>
      <sheetData sheetId="2"/>
      <sheetData sheetId="3">
        <row r="1">
          <cell r="F1" t="str">
            <v>מספר רכב</v>
          </cell>
          <cell r="G1" t="str">
            <v>ק"מ קריאה</v>
          </cell>
        </row>
        <row r="2">
          <cell r="F2" t="str">
            <v>89-272-14</v>
          </cell>
          <cell r="G2">
            <v>44500</v>
          </cell>
        </row>
        <row r="3">
          <cell r="F3" t="str">
            <v>88-375-60</v>
          </cell>
          <cell r="G3">
            <v>51000</v>
          </cell>
        </row>
        <row r="4">
          <cell r="F4" t="str">
            <v>87-116-14</v>
          </cell>
          <cell r="G4">
            <v>70430</v>
          </cell>
        </row>
        <row r="5">
          <cell r="F5" t="str">
            <v>85-144-59</v>
          </cell>
          <cell r="G5">
            <v>68900</v>
          </cell>
        </row>
        <row r="6">
          <cell r="F6" t="str">
            <v>81-047-01</v>
          </cell>
          <cell r="G6">
            <v>102687</v>
          </cell>
        </row>
        <row r="7">
          <cell r="F7" t="str">
            <v>80-780-59</v>
          </cell>
          <cell r="G7">
            <v>56148</v>
          </cell>
        </row>
        <row r="8">
          <cell r="F8" t="str">
            <v>77-364-62</v>
          </cell>
          <cell r="G8">
            <v>16600</v>
          </cell>
        </row>
        <row r="9">
          <cell r="F9" t="str">
            <v>77-361-62</v>
          </cell>
          <cell r="G9">
            <v>17000</v>
          </cell>
        </row>
        <row r="10">
          <cell r="F10" t="str">
            <v>77-310-62</v>
          </cell>
          <cell r="G10">
            <v>26800</v>
          </cell>
        </row>
        <row r="11">
          <cell r="F11" t="str">
            <v>76-673-62</v>
          </cell>
          <cell r="G11">
            <v>27000</v>
          </cell>
        </row>
        <row r="12">
          <cell r="F12" t="str">
            <v>76-539-63</v>
          </cell>
          <cell r="G12">
            <v>12000</v>
          </cell>
        </row>
        <row r="13">
          <cell r="F13" t="str">
            <v>74-670-57</v>
          </cell>
          <cell r="G13">
            <v>109669</v>
          </cell>
        </row>
        <row r="14">
          <cell r="F14" t="str">
            <v>72-455-59</v>
          </cell>
          <cell r="G14">
            <v>125000</v>
          </cell>
        </row>
        <row r="15">
          <cell r="F15" t="str">
            <v>69-659-60</v>
          </cell>
          <cell r="G15">
            <v>33715</v>
          </cell>
        </row>
        <row r="16">
          <cell r="F16" t="str">
            <v>68-832-63</v>
          </cell>
          <cell r="G16">
            <v>14250</v>
          </cell>
        </row>
        <row r="17">
          <cell r="F17" t="str">
            <v>66-246-62</v>
          </cell>
          <cell r="G17">
            <v>9200</v>
          </cell>
        </row>
        <row r="18">
          <cell r="F18" t="str">
            <v>65-942-56</v>
          </cell>
          <cell r="G18">
            <v>90000</v>
          </cell>
        </row>
        <row r="19">
          <cell r="F19" t="str">
            <v>64-625-61</v>
          </cell>
          <cell r="G19">
            <v>30753</v>
          </cell>
        </row>
        <row r="20">
          <cell r="F20" t="str">
            <v>64-398-61</v>
          </cell>
          <cell r="G20">
            <v>16993</v>
          </cell>
        </row>
        <row r="21">
          <cell r="F21" t="str">
            <v>62-369-59</v>
          </cell>
          <cell r="G21">
            <v>90000</v>
          </cell>
        </row>
        <row r="22">
          <cell r="F22" t="str">
            <v>61-758-01</v>
          </cell>
          <cell r="G22">
            <v>76126</v>
          </cell>
        </row>
        <row r="23">
          <cell r="F23" t="str">
            <v>61-130-62</v>
          </cell>
          <cell r="G23">
            <v>17749</v>
          </cell>
        </row>
        <row r="24">
          <cell r="F24" t="str">
            <v>60-808-14</v>
          </cell>
          <cell r="G24">
            <v>48800</v>
          </cell>
        </row>
        <row r="25">
          <cell r="F25" t="str">
            <v>60-361-51</v>
          </cell>
          <cell r="G25">
            <v>64000</v>
          </cell>
        </row>
        <row r="26">
          <cell r="F26" t="str">
            <v>60-316-51</v>
          </cell>
          <cell r="G26">
            <v>75000</v>
          </cell>
        </row>
        <row r="27">
          <cell r="F27" t="str">
            <v>58-762-57</v>
          </cell>
          <cell r="G27">
            <v>68698</v>
          </cell>
        </row>
        <row r="28">
          <cell r="F28" t="str">
            <v>53-216-61</v>
          </cell>
          <cell r="G28">
            <v>33700</v>
          </cell>
        </row>
        <row r="29">
          <cell r="F29" t="str">
            <v>52-286-59</v>
          </cell>
          <cell r="G29">
            <v>41500</v>
          </cell>
        </row>
        <row r="30">
          <cell r="F30" t="str">
            <v>52-268-59</v>
          </cell>
          <cell r="G30">
            <v>50500</v>
          </cell>
        </row>
        <row r="31">
          <cell r="F31" t="str">
            <v>52-255-59</v>
          </cell>
          <cell r="G31">
            <v>97100</v>
          </cell>
        </row>
        <row r="32">
          <cell r="F32" t="str">
            <v>51-259-03</v>
          </cell>
          <cell r="G32">
            <v>12000</v>
          </cell>
        </row>
        <row r="33">
          <cell r="F33" t="str">
            <v>50-398-63</v>
          </cell>
          <cell r="G33">
            <v>8960</v>
          </cell>
        </row>
        <row r="34">
          <cell r="F34" t="str">
            <v>49-601-56</v>
          </cell>
          <cell r="G34">
            <v>98940</v>
          </cell>
        </row>
        <row r="35">
          <cell r="F35" t="str">
            <v>49-585-56</v>
          </cell>
          <cell r="G35">
            <v>85249</v>
          </cell>
        </row>
        <row r="36">
          <cell r="F36" t="str">
            <v>48-849-59</v>
          </cell>
          <cell r="G36">
            <v>77520</v>
          </cell>
        </row>
        <row r="37">
          <cell r="F37" t="str">
            <v>48-572-61</v>
          </cell>
          <cell r="G37">
            <v>20000</v>
          </cell>
        </row>
        <row r="38">
          <cell r="F38" t="str">
            <v>48-324-63</v>
          </cell>
          <cell r="G38">
            <v>10800</v>
          </cell>
        </row>
        <row r="39">
          <cell r="F39" t="str">
            <v>48-061-58</v>
          </cell>
          <cell r="G39">
            <v>103000</v>
          </cell>
        </row>
        <row r="40">
          <cell r="F40" t="str">
            <v>46-899-63</v>
          </cell>
          <cell r="G40">
            <v>10060</v>
          </cell>
        </row>
        <row r="41">
          <cell r="F41" t="str">
            <v>46-757-61</v>
          </cell>
          <cell r="G41">
            <v>28000</v>
          </cell>
        </row>
        <row r="42">
          <cell r="F42" t="str">
            <v>46-250-14</v>
          </cell>
          <cell r="G42">
            <v>45300</v>
          </cell>
        </row>
        <row r="43">
          <cell r="F43" t="str">
            <v>45-437-63</v>
          </cell>
          <cell r="G43">
            <v>13700</v>
          </cell>
        </row>
        <row r="44">
          <cell r="F44" t="str">
            <v>38-144-62</v>
          </cell>
          <cell r="G44">
            <v>12395</v>
          </cell>
        </row>
        <row r="45">
          <cell r="F45" t="str">
            <v>38-117-62</v>
          </cell>
          <cell r="G45">
            <v>26500</v>
          </cell>
        </row>
        <row r="46">
          <cell r="F46" t="str">
            <v>37-872-13</v>
          </cell>
          <cell r="G46">
            <v>32576</v>
          </cell>
        </row>
        <row r="47">
          <cell r="F47" t="str">
            <v>33-405-62</v>
          </cell>
          <cell r="G47">
            <v>9517</v>
          </cell>
        </row>
        <row r="48">
          <cell r="F48" t="str">
            <v>31-619-62</v>
          </cell>
          <cell r="G48">
            <v>29007</v>
          </cell>
        </row>
        <row r="49">
          <cell r="F49" t="str">
            <v>30-705-14</v>
          </cell>
          <cell r="G49">
            <v>65546</v>
          </cell>
        </row>
        <row r="50">
          <cell r="F50" t="str">
            <v>28-405-61</v>
          </cell>
          <cell r="G50">
            <v>74300</v>
          </cell>
        </row>
        <row r="51">
          <cell r="F51" t="str">
            <v>26-390-61</v>
          </cell>
          <cell r="G51">
            <v>41640</v>
          </cell>
        </row>
        <row r="52">
          <cell r="F52" t="str">
            <v>23-530-61</v>
          </cell>
          <cell r="G52">
            <v>42228</v>
          </cell>
        </row>
        <row r="53">
          <cell r="F53" t="str">
            <v>21-625-61</v>
          </cell>
          <cell r="G53">
            <v>65000</v>
          </cell>
        </row>
        <row r="54">
          <cell r="F54" t="str">
            <v>21-248-13</v>
          </cell>
          <cell r="G54">
            <v>80050</v>
          </cell>
        </row>
        <row r="55">
          <cell r="F55" t="str">
            <v>20-392-13</v>
          </cell>
          <cell r="G55">
            <v>41772</v>
          </cell>
        </row>
        <row r="56">
          <cell r="F56" t="str">
            <v>18-312-59</v>
          </cell>
          <cell r="G56">
            <v>84000</v>
          </cell>
        </row>
        <row r="57">
          <cell r="F57" t="str">
            <v>17-932-62</v>
          </cell>
          <cell r="G57">
            <v>18600</v>
          </cell>
        </row>
        <row r="58">
          <cell r="F58" t="str">
            <v>17-766-61</v>
          </cell>
          <cell r="G58">
            <v>57000</v>
          </cell>
        </row>
        <row r="59">
          <cell r="F59" t="str">
            <v>17-629-59</v>
          </cell>
          <cell r="G59">
            <v>138911</v>
          </cell>
        </row>
        <row r="60">
          <cell r="F60" t="str">
            <v>17-628-59</v>
          </cell>
          <cell r="G60">
            <v>49000</v>
          </cell>
        </row>
        <row r="61">
          <cell r="F61" t="str">
            <v>17-522-59</v>
          </cell>
          <cell r="G61">
            <v>57300</v>
          </cell>
        </row>
        <row r="62">
          <cell r="F62" t="str">
            <v>17-493-59</v>
          </cell>
          <cell r="G62">
            <v>87000</v>
          </cell>
        </row>
        <row r="63">
          <cell r="F63" t="str">
            <v>16-223-64</v>
          </cell>
          <cell r="G63">
            <v>7000</v>
          </cell>
        </row>
        <row r="64">
          <cell r="F64" t="str">
            <v>16-188-64</v>
          </cell>
          <cell r="G64">
            <v>8500</v>
          </cell>
        </row>
        <row r="65">
          <cell r="F65" t="str">
            <v>15-633-61</v>
          </cell>
          <cell r="G65">
            <v>67088</v>
          </cell>
        </row>
        <row r="66">
          <cell r="F66" t="str">
            <v>15-311-14</v>
          </cell>
          <cell r="G66">
            <v>89120</v>
          </cell>
        </row>
        <row r="67">
          <cell r="F67" t="str">
            <v>13-678-61</v>
          </cell>
          <cell r="G67">
            <v>31700</v>
          </cell>
        </row>
        <row r="68">
          <cell r="F68" t="str">
            <v>12-713-14</v>
          </cell>
          <cell r="G68">
            <v>36000</v>
          </cell>
        </row>
        <row r="69">
          <cell r="F69" t="str">
            <v>12-662-62</v>
          </cell>
          <cell r="G69">
            <v>27500</v>
          </cell>
        </row>
        <row r="70">
          <cell r="F70" t="str">
            <v>63-826-56</v>
          </cell>
          <cell r="G70">
            <v>84000</v>
          </cell>
        </row>
        <row r="71">
          <cell r="F71" t="str">
            <v>65-122-56</v>
          </cell>
          <cell r="G71">
            <v>108532</v>
          </cell>
        </row>
        <row r="72">
          <cell r="F72" t="str">
            <v>61-914-60</v>
          </cell>
          <cell r="G72">
            <v>475</v>
          </cell>
        </row>
        <row r="73">
          <cell r="F73" t="str">
            <v>61-915-60</v>
          </cell>
          <cell r="G73">
            <v>800</v>
          </cell>
        </row>
        <row r="77">
          <cell r="F77" t="str">
            <v>46-554-64</v>
          </cell>
          <cell r="G77">
            <v>600</v>
          </cell>
        </row>
        <row r="78">
          <cell r="F78" t="str">
            <v>63-664-63</v>
          </cell>
          <cell r="G78">
            <v>5500</v>
          </cell>
        </row>
        <row r="79">
          <cell r="F79" t="str">
            <v>31-707-63</v>
          </cell>
          <cell r="G79">
            <v>8750</v>
          </cell>
        </row>
        <row r="80">
          <cell r="F80" t="str">
            <v>44-072-63</v>
          </cell>
        </row>
      </sheetData>
      <sheetData sheetId="4">
        <row r="1">
          <cell r="A1" t="str">
            <v>חשבון</v>
          </cell>
          <cell r="B1" t="str">
            <v>מספר רכב</v>
          </cell>
          <cell r="C1" t="str">
            <v>ק"מ סוף תקופה</v>
          </cell>
        </row>
        <row r="2">
          <cell r="A2" t="str">
            <v>602-050</v>
          </cell>
          <cell r="B2" t="str">
            <v>88-375-60</v>
          </cell>
          <cell r="C2">
            <v>22300</v>
          </cell>
        </row>
        <row r="3">
          <cell r="A3" t="str">
            <v>602-016</v>
          </cell>
          <cell r="B3" t="str">
            <v>49-601-56</v>
          </cell>
          <cell r="C3">
            <v>72332</v>
          </cell>
        </row>
        <row r="4">
          <cell r="A4" t="str">
            <v>602-035</v>
          </cell>
          <cell r="B4" t="str">
            <v>17-493-59</v>
          </cell>
          <cell r="C4">
            <v>58500</v>
          </cell>
        </row>
        <row r="5">
          <cell r="A5" t="str">
            <v>602-052</v>
          </cell>
          <cell r="B5" t="str">
            <v>69-659-60</v>
          </cell>
          <cell r="C5">
            <v>9993</v>
          </cell>
        </row>
        <row r="6">
          <cell r="A6" t="str">
            <v>602-206</v>
          </cell>
          <cell r="B6" t="str">
            <v>63-826-56</v>
          </cell>
          <cell r="C6">
            <v>61876</v>
          </cell>
        </row>
        <row r="7">
          <cell r="A7" t="str">
            <v>602-038</v>
          </cell>
          <cell r="B7" t="str">
            <v>48-849-59</v>
          </cell>
          <cell r="C7">
            <v>50262</v>
          </cell>
        </row>
        <row r="8">
          <cell r="A8" t="str">
            <v>602-020</v>
          </cell>
          <cell r="B8" t="str">
            <v>60-361-51</v>
          </cell>
          <cell r="C8">
            <v>50000</v>
          </cell>
        </row>
        <row r="9">
          <cell r="A9" t="str">
            <v>602-225</v>
          </cell>
          <cell r="B9" t="str">
            <v>17-932-62</v>
          </cell>
          <cell r="C9">
            <v>1000</v>
          </cell>
        </row>
        <row r="10">
          <cell r="A10" t="str">
            <v>603-037</v>
          </cell>
          <cell r="B10" t="str">
            <v>18-312-59</v>
          </cell>
          <cell r="C10">
            <v>58000</v>
          </cell>
        </row>
        <row r="11">
          <cell r="A11" t="str">
            <v>602-216</v>
          </cell>
          <cell r="B11" t="str">
            <v>46-250-14</v>
          </cell>
          <cell r="C11">
            <v>29000</v>
          </cell>
        </row>
        <row r="12">
          <cell r="A12" t="str">
            <v>602-024</v>
          </cell>
          <cell r="B12" t="str">
            <v>87-861-17</v>
          </cell>
          <cell r="C12">
            <v>112000</v>
          </cell>
        </row>
        <row r="13">
          <cell r="A13" t="str">
            <v>602-033</v>
          </cell>
          <cell r="B13" t="str">
            <v>48-061-58</v>
          </cell>
          <cell r="C13">
            <v>73200</v>
          </cell>
        </row>
        <row r="14">
          <cell r="A14" t="str">
            <v>602-017</v>
          </cell>
          <cell r="B14" t="str">
            <v>60-298-51</v>
          </cell>
          <cell r="C14">
            <v>59794</v>
          </cell>
        </row>
        <row r="15">
          <cell r="A15" t="str">
            <v>602-410</v>
          </cell>
          <cell r="B15" t="str">
            <v>46-757-61</v>
          </cell>
          <cell r="C15">
            <v>5000</v>
          </cell>
        </row>
        <row r="16">
          <cell r="A16" t="str">
            <v>602-205</v>
          </cell>
          <cell r="B16" t="str">
            <v>60-313-51</v>
          </cell>
          <cell r="C16">
            <v>40533</v>
          </cell>
        </row>
        <row r="17">
          <cell r="A17" t="str">
            <v>602-407</v>
          </cell>
          <cell r="B17" t="str">
            <v>68-991-16</v>
          </cell>
          <cell r="C17">
            <v>82124</v>
          </cell>
        </row>
        <row r="18">
          <cell r="A18" t="str">
            <v>602-403</v>
          </cell>
          <cell r="B18" t="str">
            <v>61-251-56</v>
          </cell>
          <cell r="C18">
            <v>128334</v>
          </cell>
        </row>
        <row r="19">
          <cell r="A19" t="str">
            <v>602-217</v>
          </cell>
          <cell r="B19" t="str">
            <v>21-248-13</v>
          </cell>
          <cell r="C19">
            <v>28500</v>
          </cell>
        </row>
        <row r="20">
          <cell r="A20" t="str">
            <v>603-042</v>
          </cell>
          <cell r="B20" t="str">
            <v>85-144-59</v>
          </cell>
          <cell r="C20">
            <v>45700</v>
          </cell>
        </row>
        <row r="21">
          <cell r="A21" t="str">
            <v>602-222</v>
          </cell>
          <cell r="B21" t="str">
            <v>28-405-61</v>
          </cell>
          <cell r="C21">
            <v>24907</v>
          </cell>
        </row>
        <row r="22">
          <cell r="A22" t="str">
            <v>602-208</v>
          </cell>
          <cell r="B22" t="str">
            <v>35-588-23</v>
          </cell>
          <cell r="C22">
            <v>58070</v>
          </cell>
        </row>
        <row r="23">
          <cell r="A23" t="str">
            <v>602-034</v>
          </cell>
          <cell r="B23" t="str">
            <v>61-758-01</v>
          </cell>
          <cell r="C23">
            <v>57500</v>
          </cell>
        </row>
        <row r="24">
          <cell r="A24" t="str">
            <v>602-053</v>
          </cell>
          <cell r="B24" t="str">
            <v>26-390-61</v>
          </cell>
          <cell r="C24">
            <v>13000</v>
          </cell>
        </row>
        <row r="25">
          <cell r="A25" t="str">
            <v>602-022</v>
          </cell>
          <cell r="B25" t="str">
            <v>61-335-56</v>
          </cell>
          <cell r="C25">
            <v>50000</v>
          </cell>
        </row>
        <row r="26">
          <cell r="A26" t="str">
            <v>602-404</v>
          </cell>
          <cell r="B26" t="str">
            <v>65-122-56</v>
          </cell>
          <cell r="C26">
            <v>90300</v>
          </cell>
        </row>
        <row r="27">
          <cell r="A27" t="str">
            <v>602-215</v>
          </cell>
          <cell r="B27" t="str">
            <v>52-286-59</v>
          </cell>
          <cell r="C27">
            <v>27500</v>
          </cell>
        </row>
        <row r="28">
          <cell r="A28" t="str">
            <v>602-015</v>
          </cell>
          <cell r="B28" t="str">
            <v>49-585-56</v>
          </cell>
          <cell r="C28">
            <v>67311</v>
          </cell>
        </row>
        <row r="29">
          <cell r="A29" t="str">
            <v>602-045</v>
          </cell>
          <cell r="B29" t="str">
            <v>15-311-14</v>
          </cell>
          <cell r="C29">
            <v>46400</v>
          </cell>
        </row>
        <row r="30">
          <cell r="A30" t="str">
            <v>603-036</v>
          </cell>
          <cell r="B30" t="str">
            <v>17-522-59</v>
          </cell>
          <cell r="C30">
            <v>40100</v>
          </cell>
        </row>
        <row r="31">
          <cell r="A31" t="str">
            <v>602-037</v>
          </cell>
          <cell r="B31" t="str">
            <v>17-628-59</v>
          </cell>
          <cell r="C31">
            <v>31000</v>
          </cell>
        </row>
        <row r="32">
          <cell r="A32" t="str">
            <v>602-018</v>
          </cell>
          <cell r="B32" t="str">
            <v>60-314-51</v>
          </cell>
          <cell r="C32">
            <v>60476</v>
          </cell>
        </row>
        <row r="33">
          <cell r="A33" t="str">
            <v>602-012</v>
          </cell>
          <cell r="B33" t="str">
            <v>33-952-23</v>
          </cell>
          <cell r="C33">
            <v>97260</v>
          </cell>
        </row>
        <row r="34">
          <cell r="A34" t="str">
            <v>602-213</v>
          </cell>
          <cell r="B34" t="str">
            <v>17-629-59</v>
          </cell>
          <cell r="C34">
            <v>86000</v>
          </cell>
        </row>
        <row r="35">
          <cell r="A35" t="str">
            <v>602-055</v>
          </cell>
          <cell r="B35" t="str">
            <v>12-662-62</v>
          </cell>
          <cell r="C35">
            <v>5790</v>
          </cell>
        </row>
        <row r="36">
          <cell r="A36" t="str">
            <v>602-223</v>
          </cell>
          <cell r="B36" t="str">
            <v>48-572-61</v>
          </cell>
          <cell r="C36">
            <v>4864</v>
          </cell>
        </row>
        <row r="37">
          <cell r="A37" t="str">
            <v>602-051</v>
          </cell>
          <cell r="B37" t="str">
            <v>21-625-61</v>
          </cell>
          <cell r="C37">
            <v>20000</v>
          </cell>
        </row>
        <row r="38">
          <cell r="A38" t="str">
            <v>602-219</v>
          </cell>
          <cell r="B38" t="str">
            <v>23-530-61</v>
          </cell>
          <cell r="C38">
            <v>15526</v>
          </cell>
        </row>
        <row r="39">
          <cell r="A39" t="str">
            <v>602-036</v>
          </cell>
          <cell r="B39" t="str">
            <v>81-047-01</v>
          </cell>
          <cell r="C39">
            <v>69700</v>
          </cell>
        </row>
        <row r="40">
          <cell r="A40" t="str">
            <v>602-013</v>
          </cell>
          <cell r="B40" t="str">
            <v>33-953-23</v>
          </cell>
          <cell r="C40">
            <v>54630</v>
          </cell>
        </row>
        <row r="41">
          <cell r="A41" t="str">
            <v>602-046</v>
          </cell>
          <cell r="B41" t="str">
            <v>60-808-14</v>
          </cell>
          <cell r="C41">
            <v>15400</v>
          </cell>
        </row>
        <row r="42">
          <cell r="A42" t="str">
            <v>602-043</v>
          </cell>
          <cell r="B42" t="str">
            <v>30-705-14</v>
          </cell>
          <cell r="C42">
            <v>39000</v>
          </cell>
        </row>
        <row r="43">
          <cell r="A43" t="str">
            <v>602-041</v>
          </cell>
          <cell r="B43" t="str">
            <v>52-268-59</v>
          </cell>
          <cell r="C43">
            <v>32000</v>
          </cell>
        </row>
        <row r="44">
          <cell r="A44" t="str">
            <v>602-049</v>
          </cell>
          <cell r="B44" t="str">
            <v>17-835-13</v>
          </cell>
          <cell r="C44">
            <v>38000</v>
          </cell>
        </row>
        <row r="45">
          <cell r="A45" t="str">
            <v>602-056</v>
          </cell>
          <cell r="B45" t="str">
            <v>33-405-62</v>
          </cell>
          <cell r="C45">
            <v>1000</v>
          </cell>
        </row>
        <row r="46">
          <cell r="A46" t="str">
            <v>602-409</v>
          </cell>
          <cell r="B46" t="str">
            <v>80-780-59</v>
          </cell>
          <cell r="C46">
            <v>28560</v>
          </cell>
        </row>
        <row r="47">
          <cell r="A47" t="str">
            <v>602-218</v>
          </cell>
          <cell r="B47" t="str">
            <v>20-392-13</v>
          </cell>
          <cell r="C47">
            <v>20300</v>
          </cell>
        </row>
        <row r="48">
          <cell r="A48" t="str">
            <v>602-048</v>
          </cell>
          <cell r="B48" t="str">
            <v>37-872-13</v>
          </cell>
          <cell r="C48">
            <v>16117</v>
          </cell>
        </row>
        <row r="49">
          <cell r="A49" t="str">
            <v>602-054</v>
          </cell>
          <cell r="B49" t="str">
            <v>13-678-61</v>
          </cell>
          <cell r="C49">
            <v>6500</v>
          </cell>
        </row>
        <row r="50">
          <cell r="A50" t="str">
            <v>602-220</v>
          </cell>
          <cell r="B50" t="str">
            <v>15-633-61</v>
          </cell>
          <cell r="C50">
            <v>23817</v>
          </cell>
        </row>
        <row r="51">
          <cell r="A51" t="str">
            <v>602-042</v>
          </cell>
          <cell r="B51" t="str">
            <v>62-369-59</v>
          </cell>
          <cell r="C51">
            <v>44000</v>
          </cell>
        </row>
        <row r="52">
          <cell r="A52" t="str">
            <v>602-212</v>
          </cell>
          <cell r="B52" t="str">
            <v>58-762-57</v>
          </cell>
          <cell r="C52">
            <v>49060</v>
          </cell>
        </row>
        <row r="53">
          <cell r="A53" t="str">
            <v>602-044</v>
          </cell>
          <cell r="B53" t="str">
            <v>12-713-14</v>
          </cell>
          <cell r="C53">
            <v>23500</v>
          </cell>
        </row>
        <row r="54">
          <cell r="A54" t="str">
            <v>602-040</v>
          </cell>
          <cell r="B54" t="str">
            <v>52-255-59</v>
          </cell>
          <cell r="C54">
            <v>67000</v>
          </cell>
        </row>
        <row r="55">
          <cell r="A55" t="str">
            <v>602-210</v>
          </cell>
          <cell r="B55" t="str">
            <v>74-670-57</v>
          </cell>
          <cell r="C55">
            <v>88000</v>
          </cell>
        </row>
        <row r="56">
          <cell r="A56" t="str">
            <v>602-224</v>
          </cell>
          <cell r="B56" t="str">
            <v>31-619-62</v>
          </cell>
          <cell r="C56">
            <v>3230</v>
          </cell>
        </row>
        <row r="57">
          <cell r="A57" t="str">
            <v>602-039</v>
          </cell>
          <cell r="B57" t="str">
            <v>72-455-59</v>
          </cell>
          <cell r="C57">
            <v>75000</v>
          </cell>
        </row>
        <row r="58">
          <cell r="A58" t="str">
            <v>602-001</v>
          </cell>
          <cell r="B58" t="str">
            <v>65-942-56</v>
          </cell>
          <cell r="C58">
            <v>69100</v>
          </cell>
        </row>
        <row r="59">
          <cell r="A59" t="str">
            <v>602-204</v>
          </cell>
          <cell r="B59" t="str">
            <v>60-316-51</v>
          </cell>
          <cell r="C59">
            <v>56000</v>
          </cell>
        </row>
        <row r="60">
          <cell r="A60" t="str">
            <v>602-047</v>
          </cell>
          <cell r="B60" t="str">
            <v>89-272-14</v>
          </cell>
          <cell r="C60">
            <v>22000</v>
          </cell>
        </row>
        <row r="61">
          <cell r="A61" t="str">
            <v>602-221</v>
          </cell>
          <cell r="B61" t="str">
            <v>17-766-61</v>
          </cell>
          <cell r="C61">
            <v>20900</v>
          </cell>
        </row>
        <row r="62">
          <cell r="A62" t="str">
            <v>602-019</v>
          </cell>
          <cell r="B62" t="str">
            <v>60-315-51</v>
          </cell>
        </row>
        <row r="63">
          <cell r="A63" t="str">
            <v>602-032</v>
          </cell>
        </row>
        <row r="64">
          <cell r="A64" t="str">
            <v>602-057</v>
          </cell>
          <cell r="B64" t="str">
            <v>53-216-61</v>
          </cell>
        </row>
        <row r="65">
          <cell r="A65" t="str">
            <v>602-058</v>
          </cell>
          <cell r="B65" t="str">
            <v>38-117-62</v>
          </cell>
        </row>
        <row r="66">
          <cell r="A66" t="str">
            <v>602-226</v>
          </cell>
          <cell r="B66" t="str">
            <v>38-144-62</v>
          </cell>
        </row>
        <row r="67">
          <cell r="A67" t="str">
            <v>רונן דולב</v>
          </cell>
          <cell r="B67" t="str">
            <v>60-315-51</v>
          </cell>
        </row>
        <row r="68">
          <cell r="A68" t="str">
            <v>כללי</v>
          </cell>
        </row>
        <row r="69">
          <cell r="A69" t="str">
            <v>יעקב כגן</v>
          </cell>
          <cell r="B69" t="str">
            <v>53-216-61</v>
          </cell>
        </row>
        <row r="70">
          <cell r="A70" t="str">
            <v>ולרי דובז'יק</v>
          </cell>
          <cell r="B70" t="str">
            <v>38-117-62</v>
          </cell>
        </row>
        <row r="71">
          <cell r="A71" t="str">
            <v>דבי לני</v>
          </cell>
          <cell r="B71" t="str">
            <v>38-144-62</v>
          </cell>
        </row>
        <row r="72">
          <cell r="A72" t="str">
            <v>602-233</v>
          </cell>
          <cell r="B72" t="str">
            <v>61-914-60</v>
          </cell>
          <cell r="C72">
            <v>0</v>
          </cell>
        </row>
        <row r="73">
          <cell r="A73" t="str">
            <v>602-414</v>
          </cell>
          <cell r="B73" t="str">
            <v>46-554-64</v>
          </cell>
          <cell r="C73">
            <v>0</v>
          </cell>
        </row>
        <row r="74">
          <cell r="A74" t="str">
            <v>602-075</v>
          </cell>
          <cell r="B74" t="str">
            <v>61-915-60</v>
          </cell>
          <cell r="C74">
            <v>0</v>
          </cell>
        </row>
        <row r="75">
          <cell r="A75" t="str">
            <v>602-066</v>
          </cell>
          <cell r="B75" t="str">
            <v>63-664-63</v>
          </cell>
          <cell r="C75">
            <v>0</v>
          </cell>
        </row>
        <row r="76">
          <cell r="A76" t="str">
            <v>602-067</v>
          </cell>
          <cell r="B76" t="str">
            <v>16-223-64</v>
          </cell>
          <cell r="C76">
            <v>0</v>
          </cell>
        </row>
        <row r="77">
          <cell r="A77" t="str">
            <v>602-068</v>
          </cell>
          <cell r="B77" t="str">
            <v>16-188-64</v>
          </cell>
          <cell r="C77">
            <v>0</v>
          </cell>
        </row>
        <row r="78">
          <cell r="A78" t="str">
            <v>602-070</v>
          </cell>
          <cell r="B78" t="str">
            <v>31-707-63</v>
          </cell>
          <cell r="C78">
            <v>0</v>
          </cell>
        </row>
        <row r="79">
          <cell r="A79" t="str">
            <v>602-064</v>
          </cell>
          <cell r="B79" t="str">
            <v>50-398-63</v>
          </cell>
          <cell r="C79">
            <v>0</v>
          </cell>
        </row>
        <row r="80">
          <cell r="A80" t="str">
            <v>602-228</v>
          </cell>
          <cell r="B80" t="str">
            <v>66-246-62</v>
          </cell>
          <cell r="C80">
            <v>0</v>
          </cell>
        </row>
        <row r="81">
          <cell r="A81" t="str">
            <v>602-232</v>
          </cell>
          <cell r="B81" t="str">
            <v>46-899-63</v>
          </cell>
          <cell r="C81">
            <v>0</v>
          </cell>
        </row>
        <row r="82">
          <cell r="A82" t="str">
            <v>602-412</v>
          </cell>
          <cell r="B82" t="str">
            <v>48-324-63</v>
          </cell>
          <cell r="C82">
            <v>0</v>
          </cell>
        </row>
        <row r="83">
          <cell r="A83" t="str">
            <v>602-063</v>
          </cell>
          <cell r="B83" t="str">
            <v>51-259-03</v>
          </cell>
          <cell r="C83">
            <v>0</v>
          </cell>
        </row>
        <row r="84">
          <cell r="A84" t="str">
            <v>602-413</v>
          </cell>
          <cell r="B84" t="str">
            <v>76-539-63</v>
          </cell>
          <cell r="C84">
            <v>0</v>
          </cell>
        </row>
        <row r="85">
          <cell r="A85" t="str">
            <v>602-062</v>
          </cell>
          <cell r="B85" t="str">
            <v>45-437-63</v>
          </cell>
          <cell r="C85">
            <v>0</v>
          </cell>
        </row>
        <row r="86">
          <cell r="A86" t="str">
            <v>602-065</v>
          </cell>
          <cell r="B86" t="str">
            <v>68-832-63</v>
          </cell>
          <cell r="C86">
            <v>0</v>
          </cell>
        </row>
        <row r="87">
          <cell r="A87" t="str">
            <v>602-229</v>
          </cell>
          <cell r="B87" t="str">
            <v>77-364-62</v>
          </cell>
          <cell r="C87">
            <v>0</v>
          </cell>
        </row>
        <row r="88">
          <cell r="A88" t="str">
            <v>602-060</v>
          </cell>
          <cell r="B88" t="str">
            <v>64-398-61</v>
          </cell>
          <cell r="C88">
            <v>0</v>
          </cell>
        </row>
        <row r="89">
          <cell r="A89" t="str">
            <v>602-061</v>
          </cell>
          <cell r="B89" t="str">
            <v>77-361-62</v>
          </cell>
          <cell r="C89">
            <v>0</v>
          </cell>
        </row>
        <row r="90">
          <cell r="A90" t="str">
            <v>602-059</v>
          </cell>
          <cell r="B90" t="str">
            <v>61-130-62</v>
          </cell>
          <cell r="C90">
            <v>0</v>
          </cell>
        </row>
        <row r="91">
          <cell r="A91" t="str">
            <v>602-227</v>
          </cell>
          <cell r="B91" t="str">
            <v>77-310-62</v>
          </cell>
          <cell r="C91">
            <v>0</v>
          </cell>
        </row>
        <row r="92">
          <cell r="A92" t="str">
            <v>602-230</v>
          </cell>
          <cell r="B92" t="str">
            <v>76-673-62</v>
          </cell>
          <cell r="C92">
            <v>0</v>
          </cell>
        </row>
        <row r="93">
          <cell r="A93" t="str">
            <v>602-072</v>
          </cell>
          <cell r="B93" t="str">
            <v>31-619-62</v>
          </cell>
          <cell r="C93">
            <v>0</v>
          </cell>
        </row>
        <row r="94">
          <cell r="A94" t="str">
            <v>602-411</v>
          </cell>
          <cell r="B94" t="str">
            <v>64-625-61</v>
          </cell>
          <cell r="C94">
            <v>0</v>
          </cell>
        </row>
        <row r="95">
          <cell r="A95" t="str">
            <v>602-069</v>
          </cell>
          <cell r="B95" t="str">
            <v>87-116-14</v>
          </cell>
          <cell r="C95">
            <v>0</v>
          </cell>
        </row>
        <row r="96">
          <cell r="A96" t="str">
            <v>602-2</v>
          </cell>
          <cell r="B96">
            <v>0</v>
          </cell>
          <cell r="C96">
            <v>0</v>
          </cell>
        </row>
        <row r="97">
          <cell r="A97" t="str">
            <v>602-234</v>
          </cell>
          <cell r="B97">
            <v>0</v>
          </cell>
          <cell r="C97">
            <v>0</v>
          </cell>
        </row>
        <row r="98">
          <cell r="A98" t="str">
            <v>602-408</v>
          </cell>
          <cell r="B98">
            <v>0</v>
          </cell>
          <cell r="C98">
            <v>0</v>
          </cell>
        </row>
        <row r="99">
          <cell r="A99" t="str">
            <v>602-415</v>
          </cell>
          <cell r="B99">
            <v>0</v>
          </cell>
          <cell r="C99">
            <v>0</v>
          </cell>
        </row>
        <row r="100">
          <cell r="A100" t="str">
            <v>602-235</v>
          </cell>
          <cell r="B100" t="str">
            <v>15-673-66</v>
          </cell>
          <cell r="C100">
            <v>0</v>
          </cell>
        </row>
        <row r="101">
          <cell r="A101" t="str">
            <v>602-236</v>
          </cell>
          <cell r="B101" t="str">
            <v>20-764-65</v>
          </cell>
          <cell r="C101">
            <v>0</v>
          </cell>
        </row>
        <row r="102">
          <cell r="A102" t="str">
            <v>602-073</v>
          </cell>
          <cell r="B102" t="str">
            <v>23-565-65</v>
          </cell>
          <cell r="C102">
            <v>0</v>
          </cell>
        </row>
        <row r="103">
          <cell r="A103" t="str">
            <v>602-071</v>
          </cell>
          <cell r="B103" t="str">
            <v>44-072-64</v>
          </cell>
          <cell r="C103">
            <v>0</v>
          </cell>
        </row>
        <row r="104">
          <cell r="A104" t="str">
            <v>602-076</v>
          </cell>
          <cell r="B104" t="str">
            <v>60-595-64</v>
          </cell>
          <cell r="C104">
            <v>0</v>
          </cell>
        </row>
        <row r="105">
          <cell r="A105" t="str">
            <v>602-074</v>
          </cell>
          <cell r="B105" t="str">
            <v>62-075-60</v>
          </cell>
          <cell r="C105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200000"/>
      <sheetName val="סבירות מימון"/>
      <sheetName val="אנליטי רוו&quot;ה"/>
      <sheetName val="אנליטי מאזן"/>
      <sheetName val="Consolidation "/>
      <sheetName val="INC"/>
      <sheetName val="BS"/>
      <sheetName val="P&amp;L"/>
      <sheetName val="cash flow"/>
      <sheetName val="Capital"/>
      <sheetName val="AE"/>
      <sheetName val="COGS Allocation"/>
      <sheetName val="Deferred compensation"/>
      <sheetName val=" EPS"/>
      <sheetName val="Pres1"/>
      <sheetName val="סבירות_מימון"/>
      <sheetName val="אנליטי_רוו&quot;ה"/>
      <sheetName val="אנליטי_מאזן"/>
      <sheetName val="Consolidation_"/>
      <sheetName val="cash_flow"/>
      <sheetName val="COGS_Allocation"/>
      <sheetName val="Deferred_compensation"/>
      <sheetName val="_EPS"/>
      <sheetName val="Mkt Cap"/>
      <sheetName val="INPUT"/>
      <sheetName val="סבירות_מימון4"/>
      <sheetName val="אנליטי_רוו&quot;ה4"/>
      <sheetName val="אנליטי_מאזן4"/>
      <sheetName val="Consolidation_4"/>
      <sheetName val="cash_flow4"/>
      <sheetName val="COGS_Allocation4"/>
      <sheetName val="Deferred_compensation4"/>
      <sheetName val="_EPS4"/>
      <sheetName val="Mkt_Cap2"/>
      <sheetName val="סבירות_מימון1"/>
      <sheetName val="אנליטי_רוו&quot;ה1"/>
      <sheetName val="אנליטי_מאזן1"/>
      <sheetName val="Consolidation_1"/>
      <sheetName val="cash_flow1"/>
      <sheetName val="COGS_Allocation1"/>
      <sheetName val="Deferred_compensation1"/>
      <sheetName val="_EPS1"/>
      <sheetName val="סבירות_מימון2"/>
      <sheetName val="אנליטי_רוו&quot;ה2"/>
      <sheetName val="אנליטי_מאזן2"/>
      <sheetName val="Consolidation_2"/>
      <sheetName val="cash_flow2"/>
      <sheetName val="COGS_Allocation2"/>
      <sheetName val="Deferred_compensation2"/>
      <sheetName val="_EPS2"/>
      <sheetName val="Mkt_Cap"/>
      <sheetName val="סבירות_מימון3"/>
      <sheetName val="אנליטי_רוו&quot;ה3"/>
      <sheetName val="אנליטי_מאזן3"/>
      <sheetName val="Consolidation_3"/>
      <sheetName val="cash_flow3"/>
      <sheetName val="COGS_Allocation3"/>
      <sheetName val="Deferred_compensation3"/>
      <sheetName val="_EPS3"/>
      <sheetName val="Mkt_Cap1"/>
      <sheetName val="סבירות_מימון5"/>
      <sheetName val="אנליטי_רוו&quot;ה5"/>
      <sheetName val="אנליטי_מאזן5"/>
      <sheetName val="Consolidation_5"/>
      <sheetName val="cash_flow5"/>
      <sheetName val="COGS_Allocation5"/>
      <sheetName val="Deferred_compensation5"/>
      <sheetName val="_EPS5"/>
      <sheetName val="Mkt_Cap3"/>
      <sheetName val="סבירות_מימון6"/>
      <sheetName val="אנליטי_רוו&quot;ה6"/>
      <sheetName val="אנליטי_מאזן6"/>
      <sheetName val="Consolidation_6"/>
      <sheetName val="cash_flow6"/>
      <sheetName val="COGS_Allocation6"/>
      <sheetName val="Deferred_compensation6"/>
      <sheetName val="_EPS6"/>
      <sheetName val="Mkt_Cap4"/>
      <sheetName val="סבירות_מימון7"/>
      <sheetName val="אנליטי_רוו&quot;ה7"/>
      <sheetName val="אנליטי_מאזן7"/>
      <sheetName val="Consolidation_7"/>
      <sheetName val="cash_flow7"/>
      <sheetName val="COGS_Allocation7"/>
      <sheetName val="Deferred_compensation7"/>
      <sheetName val="_EPS7"/>
      <sheetName val="Mkt_Cap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3-2005 - printing"/>
      <sheetName val=" Monthly I &amp; E"/>
      <sheetName val="Budget Balance Sheet"/>
      <sheetName val="Budget Cash Flow"/>
      <sheetName val="HR"/>
      <sheetName val="Investments"/>
      <sheetName val="M&amp;S Exp."/>
      <sheetName val="G&amp;A Exp."/>
      <sheetName val="R&amp;D Exp."/>
      <sheetName val="Cost of Sales Exp."/>
      <sheetName val="COG Exp."/>
      <sheetName val="Rev. assumptions"/>
      <sheetName val="Revenue detailed Projection"/>
      <sheetName val="Assumptions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Setup"/>
      <sheetName val="Quarterly Supplementary info"/>
      <sheetName val="Year End Supplementary Info"/>
    </sheetNames>
    <sheetDataSet>
      <sheetData sheetId="0" refreshError="1">
        <row r="5">
          <cell r="A5" t="str">
            <v>Co. No.</v>
          </cell>
          <cell r="B5" t="str">
            <v>Company Name:</v>
          </cell>
        </row>
        <row r="6">
          <cell r="A6">
            <v>1</v>
          </cell>
          <cell r="B6" t="str">
            <v>Aladdin Germany and The German Group</v>
          </cell>
        </row>
        <row r="7">
          <cell r="A7">
            <v>2</v>
          </cell>
          <cell r="B7" t="str">
            <v>Aladdin Japan Co., Ltd</v>
          </cell>
        </row>
        <row r="8">
          <cell r="A8">
            <v>3</v>
          </cell>
          <cell r="B8" t="str">
            <v>Aladdin Knowledge Systems (UK) Ltd</v>
          </cell>
        </row>
        <row r="9">
          <cell r="A9">
            <v>4</v>
          </cell>
          <cell r="B9" t="str">
            <v>Aladdin Knowledge Systems, Inc.</v>
          </cell>
        </row>
        <row r="10">
          <cell r="A10">
            <v>5</v>
          </cell>
          <cell r="B10" t="str">
            <v>Aladdin Holland</v>
          </cell>
        </row>
        <row r="11">
          <cell r="A11">
            <v>6</v>
          </cell>
          <cell r="B11" t="str">
            <v>Athena Smartcard</v>
          </cell>
        </row>
      </sheetData>
      <sheetData sheetId="1" refreshError="1"/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S"/>
      <sheetName val="P&amp;L"/>
      <sheetName val="Shareholders equity"/>
      <sheetName val="CF"/>
      <sheetName val="NotesBS"/>
      <sheetName val="NotesP&amp;L"/>
      <sheetName val="SAP"/>
      <sheetName val="AE"/>
      <sheetName val="Index"/>
    </sheetNames>
    <sheetDataSet>
      <sheetData sheetId="0">
        <row r="13">
          <cell r="A13" t="str">
            <v>SeamBI Ltd.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S"/>
      <sheetName val="P&amp;L"/>
      <sheetName val="CF"/>
      <sheetName val="NotesBS"/>
      <sheetName val="NotesP&amp;L"/>
      <sheetName val="SAP"/>
      <sheetName val="AE"/>
      <sheetName val="Index"/>
      <sheetName val="דוח התאמה"/>
      <sheetName val="הוצאות מו&quot;פ"/>
    </sheetNames>
    <sheetDataSet>
      <sheetData sheetId="0">
        <row r="13">
          <cell r="A13" t="str">
            <v>CallApp Software LTD</v>
          </cell>
        </row>
        <row r="19">
          <cell r="D19">
            <v>41639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S"/>
      <sheetName val="P&amp;L"/>
      <sheetName val="CF"/>
      <sheetName val="NotesBS"/>
      <sheetName val="NotesP&amp;L"/>
      <sheetName val="SAP"/>
      <sheetName val="AE"/>
      <sheetName val="Index"/>
      <sheetName val="דוח התאמה למס"/>
      <sheetName val="נספח א מופ"/>
      <sheetName val="דוח תמחיר מצטבר 2015"/>
      <sheetName val="סיעף 32 (9)"/>
      <sheetName val="חישוב עודפות 2014"/>
      <sheetName val="נספח א' מופ"/>
      <sheetName val="חישוב עודפות"/>
      <sheetName val="כול נתון"/>
      <sheetName val="הכנסות זקופות"/>
      <sheetName val="סעיף 32(9)"/>
    </sheetNames>
    <sheetDataSet>
      <sheetData sheetId="0">
        <row r="13">
          <cell r="A13" t="str">
            <v>Green SQL LTD.</v>
          </cell>
        </row>
        <row r="19">
          <cell r="D19">
            <v>42369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3">
          <cell r="D3">
            <v>3000</v>
          </cell>
          <cell r="H3">
            <v>9610.15</v>
          </cell>
          <cell r="K3">
            <v>148918.53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S"/>
      <sheetName val="P&amp;L"/>
      <sheetName val="CF"/>
      <sheetName val="NotesBS"/>
      <sheetName val="NotesP&amp;L"/>
      <sheetName val="SAP"/>
      <sheetName val="AE"/>
      <sheetName val="Index"/>
    </sheetNames>
    <sheetDataSet>
      <sheetData sheetId="0" refreshError="1">
        <row r="17">
          <cell r="J17">
            <v>38411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fmx"/>
      <sheetName val="קופולק"/>
      <sheetName val="index"/>
      <sheetName val="shar"/>
      <sheetName val="ind_kofimx"/>
      <sheetName val="מחלקה"/>
      <sheetName val="גיליון2"/>
      <sheetName val="גיליון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S"/>
      <sheetName val="P&amp;L"/>
      <sheetName val="CF"/>
      <sheetName val="NotesBS"/>
      <sheetName val="NotesP&amp;L"/>
      <sheetName val="SAP"/>
      <sheetName val="AE"/>
      <sheetName val="Index"/>
    </sheetNames>
    <sheetDataSet>
      <sheetData sheetId="0" refreshError="1">
        <row r="19">
          <cell r="D19">
            <v>40298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VVVVa"/>
      <sheetName val="נסיעות לחו&quot;ל"/>
      <sheetName val="TRAVEL96"/>
      <sheetName val="תאום לצורך מס"/>
      <sheetName val="גיליון 3"/>
    </sheetNames>
    <sheetDataSet>
      <sheetData sheetId="0" refreshError="1"/>
      <sheetData sheetId="1" refreshError="1"/>
      <sheetData sheetId="2" refreshError="1">
        <row r="3">
          <cell r="C3">
            <v>178</v>
          </cell>
        </row>
        <row r="4">
          <cell r="C4">
            <v>78</v>
          </cell>
        </row>
        <row r="5">
          <cell r="C5">
            <v>134</v>
          </cell>
        </row>
        <row r="7">
          <cell r="C7">
            <v>84</v>
          </cell>
        </row>
        <row r="8">
          <cell r="C8">
            <v>50</v>
          </cell>
        </row>
      </sheetData>
      <sheetData sheetId="3" refreshError="1"/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VVVVa"/>
      <sheetName val="נסיעות לחו&quot;ל"/>
      <sheetName val="TRAVEL96"/>
      <sheetName val="תאום לצורך מס"/>
      <sheetName val="גיליון 3"/>
    </sheetNames>
    <sheetDataSet>
      <sheetData sheetId="0" refreshError="1"/>
      <sheetData sheetId="1" refreshError="1"/>
      <sheetData sheetId="2" refreshError="1">
        <row r="3">
          <cell r="C3">
            <v>178</v>
          </cell>
        </row>
        <row r="4">
          <cell r="C4">
            <v>78</v>
          </cell>
        </row>
        <row r="5">
          <cell r="C5">
            <v>134</v>
          </cell>
        </row>
        <row r="7">
          <cell r="C7">
            <v>84</v>
          </cell>
        </row>
        <row r="8">
          <cell r="C8">
            <v>50</v>
          </cell>
        </row>
      </sheetData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דונות וניירות ערך"/>
      <sheetName val="מעגל רכוש קבוע"/>
      <sheetName val="??????? ??????? ???"/>
      <sheetName val="???? ???? ????"/>
      <sheetName val="סיון הדרכה "/>
      <sheetName val="הרכבה מאוחד"/>
      <sheetName val="C.B.T "/>
      <sheetName val="משוב שיווק"/>
      <sheetName val="Allowable codes"/>
      <sheetName val="Market_Share"/>
      <sheetName val="השקעה ב- INC"/>
      <sheetName val="מעגל רכוש אחר"/>
      <sheetName val="השקעה בפריטק"/>
      <sheetName val="השקעה ב- C-ONE"/>
      <sheetName val="השקעה ב - EUROM INC"/>
      <sheetName val="השקעה ב- EUROM LTD"/>
      <sheetName val="השקעה ב- MSBV"/>
      <sheetName val="רווחי(הפסדי) אקוויטי"/>
      <sheetName val="תזרים מזומנים"/>
      <sheetName val="סה&quot;כ השקעות"/>
      <sheetName val="גיליון10"/>
      <sheetName val="גיליון11"/>
      <sheetName val="גיליון12"/>
      <sheetName val="גיליון13"/>
      <sheetName val="גיליון14"/>
      <sheetName val="גיליון15"/>
      <sheetName val="גיליון16"/>
      <sheetName val="הנה&quot;כ"/>
      <sheetName val="מכירה - 1996"/>
      <sheetName val="MAIN"/>
      <sheetName val="EDIT DATA"/>
      <sheetName val="דוחות"/>
      <sheetName val="דוחות LTD"/>
      <sheetName val="מאזן בוחן LTD"/>
      <sheetName val="נתונים לשינוי"/>
      <sheetName val="דוחות- LTD"/>
      <sheetName val="Consolidation"/>
      <sheetName val="תזרים מתואם"/>
      <sheetName val="מדדים"/>
      <sheetName val="דוחות כספיים"/>
      <sheetName val="LinkData"/>
      <sheetName val="Data"/>
      <sheetName val="Overall market"/>
      <sheetName val="Parameters "/>
      <sheetName val="פקדונות_וניירות_ערך"/>
      <sheetName val="מעגל_רכוש_קבוע"/>
      <sheetName val="???????_???????_???"/>
      <sheetName val="????_????_????"/>
      <sheetName val="Allowable_codes"/>
      <sheetName val="השקעה_ב-_INC"/>
      <sheetName val="מעגל_רכוש_אחר"/>
      <sheetName val="השקעה_בפריטק"/>
      <sheetName val="השקעה_ב-_C-ONE"/>
      <sheetName val="השקעה_ב_-_EUROM_INC"/>
      <sheetName val="השקעה_ב-_EUROM_LTD"/>
      <sheetName val="השקעה_ב-_MSBV"/>
      <sheetName val="רווחי(הפסדי)_אקוויטי"/>
      <sheetName val="תזרים_מזומנים"/>
      <sheetName val="סה&quot;כ_השקעות"/>
      <sheetName val="מכירה_-_1996"/>
      <sheetName val="Overall_market"/>
      <sheetName val="Parameters_"/>
      <sheetName val="סיון_הדרכה_"/>
      <sheetName val="הרכבה_מאוחד"/>
      <sheetName val="C_B_T_"/>
      <sheetName val="משוב_שיווק"/>
      <sheetName val="פקדונות_וניירות_ערך1"/>
      <sheetName val="מעגל_רכוש_קבוע1"/>
      <sheetName val="???????_???????_???1"/>
      <sheetName val="????_????_????1"/>
      <sheetName val="Allowable_codes1"/>
      <sheetName val="השקעה_ב-_INC1"/>
      <sheetName val="מעגל_רכוש_אחר1"/>
      <sheetName val="השקעה_בפריטק1"/>
      <sheetName val="השקעה_ב-_C-ONE1"/>
      <sheetName val="השקעה_ב_-_EUROM_INC1"/>
      <sheetName val="השקעה_ב-_EUROM_LTD1"/>
      <sheetName val="השקעה_ב-_MSBV1"/>
      <sheetName val="רווחי(הפסדי)_אקוויטי1"/>
      <sheetName val="תזרים_מזומנים1"/>
      <sheetName val="סה&quot;כ_השקעות1"/>
      <sheetName val="מכירה_-_19961"/>
      <sheetName val="Overall_market1"/>
      <sheetName val="Parameters_1"/>
      <sheetName val="סיון_הדרכה_1"/>
      <sheetName val="הרכבה_מאוחד1"/>
      <sheetName val="C_B_T_1"/>
      <sheetName val="משוב_שיווק1"/>
      <sheetName val="Sales Revenue "/>
      <sheetName val="LBOLONG"/>
      <sheetName val="פקדונות_וניירות_ערך4"/>
      <sheetName val="מעגל_רכוש_קבוע4"/>
      <sheetName val="???????_???????_???4"/>
      <sheetName val="????_????_????4"/>
      <sheetName val="סיון_הדרכה_4"/>
      <sheetName val="הרכבה_מאוחד4"/>
      <sheetName val="C_B_T_4"/>
      <sheetName val="משוב_שיווק4"/>
      <sheetName val="Allowable_codes4"/>
      <sheetName val="השקעה_ב-_INC4"/>
      <sheetName val="מעגל_רכוש_אחר4"/>
      <sheetName val="השקעה_בפריטק4"/>
      <sheetName val="השקעה_ב-_C-ONE4"/>
      <sheetName val="השקעה_ב_-_EUROM_INC4"/>
      <sheetName val="השקעה_ב-_EUROM_LTD4"/>
      <sheetName val="השקעה_ב-_MSBV4"/>
      <sheetName val="רווחי(הפסדי)_אקוויטי4"/>
      <sheetName val="תזרים_מזומנים4"/>
      <sheetName val="סה&quot;כ_השקעות4"/>
      <sheetName val="מכירה_-_19964"/>
      <sheetName val="EDIT_DATA4"/>
      <sheetName val="EDIT_DATA"/>
      <sheetName val="EDIT_DATA1"/>
      <sheetName val="פקדונות_וניירות_ערך2"/>
      <sheetName val="מעגל_רכוש_קבוע2"/>
      <sheetName val="???????_???????_???2"/>
      <sheetName val="????_????_????2"/>
      <sheetName val="סיון_הדרכה_2"/>
      <sheetName val="הרכבה_מאוחד2"/>
      <sheetName val="C_B_T_2"/>
      <sheetName val="משוב_שיווק2"/>
      <sheetName val="Allowable_codes2"/>
      <sheetName val="השקעה_ב-_INC2"/>
      <sheetName val="מעגל_רכוש_אחר2"/>
      <sheetName val="השקעה_בפריטק2"/>
      <sheetName val="השקעה_ב-_C-ONE2"/>
      <sheetName val="השקעה_ב_-_EUROM_INC2"/>
      <sheetName val="השקעה_ב-_EUROM_LTD2"/>
      <sheetName val="השקעה_ב-_MSBV2"/>
      <sheetName val="רווחי(הפסדי)_אקוויטי2"/>
      <sheetName val="תזרים_מזומנים2"/>
      <sheetName val="סה&quot;כ_השקעות2"/>
      <sheetName val="מכירה_-_19962"/>
      <sheetName val="EDIT_DATA2"/>
      <sheetName val="פקדונות_וניירות_ערך3"/>
      <sheetName val="מעגל_רכוש_קבוע3"/>
      <sheetName val="???????_???????_???3"/>
      <sheetName val="????_????_????3"/>
      <sheetName val="סיון_הדרכה_3"/>
      <sheetName val="הרכבה_מאוחד3"/>
      <sheetName val="C_B_T_3"/>
      <sheetName val="משוב_שיווק3"/>
      <sheetName val="Allowable_codes3"/>
      <sheetName val="השקעה_ב-_INC3"/>
      <sheetName val="מעגל_רכוש_אחר3"/>
      <sheetName val="השקעה_בפריטק3"/>
      <sheetName val="השקעה_ב-_C-ONE3"/>
      <sheetName val="השקעה_ב_-_EUROM_INC3"/>
      <sheetName val="השקעה_ב-_EUROM_LTD3"/>
      <sheetName val="השקעה_ב-_MSBV3"/>
      <sheetName val="רווחי(הפסדי)_אקוויטי3"/>
      <sheetName val="תזרים_מזומנים3"/>
      <sheetName val="סה&quot;כ_השקעות3"/>
      <sheetName val="מכירה_-_19963"/>
      <sheetName val="EDIT_DATA3"/>
      <sheetName val="פקדונות_וניירות_ערך5"/>
      <sheetName val="מעגל_רכוש_קבוע5"/>
      <sheetName val="???????_???????_???5"/>
      <sheetName val="????_????_????5"/>
      <sheetName val="סיון_הדרכה_5"/>
      <sheetName val="הרכבה_מאוחד5"/>
      <sheetName val="C_B_T_5"/>
      <sheetName val="משוב_שיווק5"/>
      <sheetName val="Allowable_codes5"/>
      <sheetName val="השקעה_ב-_INC5"/>
      <sheetName val="מעגל_רכוש_אחר5"/>
      <sheetName val="השקעה_בפריטק5"/>
      <sheetName val="השקעה_ב-_C-ONE5"/>
      <sheetName val="השקעה_ב_-_EUROM_INC5"/>
      <sheetName val="השקעה_ב-_EUROM_LTD5"/>
      <sheetName val="השקעה_ב-_MSBV5"/>
      <sheetName val="רווחי(הפסדי)_אקוויטי5"/>
      <sheetName val="תזרים_מזומנים5"/>
      <sheetName val="סה&quot;כ_השקעות5"/>
      <sheetName val="מכירה_-_19965"/>
      <sheetName val="EDIT_DATA5"/>
      <sheetName val="פקדונות_וניירות_ערך6"/>
      <sheetName val="מעגל_רכוש_קבוע6"/>
      <sheetName val="???????_???????_???6"/>
      <sheetName val="????_????_????6"/>
      <sheetName val="סיון_הדרכה_6"/>
      <sheetName val="הרכבה_מאוחד6"/>
      <sheetName val="C_B_T_6"/>
      <sheetName val="משוב_שיווק6"/>
      <sheetName val="Allowable_codes6"/>
      <sheetName val="השקעה_ב-_INC6"/>
      <sheetName val="מעגל_רכוש_אחר6"/>
      <sheetName val="השקעה_בפריטק6"/>
      <sheetName val="השקעה_ב-_C-ONE6"/>
      <sheetName val="השקעה_ב_-_EUROM_INC6"/>
      <sheetName val="השקעה_ב-_EUROM_LTD6"/>
      <sheetName val="השקעה_ב-_MSBV6"/>
      <sheetName val="רווחי(הפסדי)_אקוויטי6"/>
      <sheetName val="תזרים_מזומנים6"/>
      <sheetName val="סה&quot;כ_השקעות6"/>
      <sheetName val="מכירה_-_19966"/>
      <sheetName val="EDIT_DATA6"/>
      <sheetName val="פקדונות_וניירות_ערך7"/>
      <sheetName val="מעגל_רכוש_קבוע7"/>
      <sheetName val="???????_???????_???7"/>
      <sheetName val="????_????_????7"/>
      <sheetName val="סיון_הדרכה_7"/>
      <sheetName val="הרכבה_מאוחד7"/>
      <sheetName val="C_B_T_7"/>
      <sheetName val="משוב_שיווק7"/>
      <sheetName val="Allowable_codes7"/>
      <sheetName val="השקעה_ב-_INC7"/>
      <sheetName val="מעגל_רכוש_אחר7"/>
      <sheetName val="השקעה_בפריטק7"/>
      <sheetName val="השקעה_ב-_C-ONE7"/>
      <sheetName val="השקעה_ב_-_EUROM_INC7"/>
      <sheetName val="השקעה_ב-_EUROM_LTD7"/>
      <sheetName val="השקעה_ב-_MSBV7"/>
      <sheetName val="רווחי(הפסדי)_אקוויטי7"/>
      <sheetName val="תזרים_מזומנים7"/>
      <sheetName val="סה&quot;כ_השקעות7"/>
      <sheetName val="מכירה_-_19967"/>
      <sheetName val="EDIT_DATA7"/>
      <sheetName val="דוחות_LTD"/>
      <sheetName val="מאזן_בוחן_LTD"/>
      <sheetName val="נתונים_לשינוי"/>
      <sheetName val="דוחות-_LTD"/>
      <sheetName val="תזרים_מתואם"/>
      <sheetName val="דוחות_כספיים"/>
      <sheetName val="Overall_market2"/>
      <sheetName val="Parameters_2"/>
      <sheetName val="_______ _______ ___"/>
      <sheetName val="____ ____ ____"/>
      <sheetName val="Sales_Revenue_"/>
      <sheetName val="Sheet3"/>
      <sheetName val="פקדונות_וניירות_ערך8"/>
      <sheetName val="מעגל_רכוש_קבוע8"/>
      <sheetName val="???????_???????_???8"/>
      <sheetName val="????_????_????8"/>
      <sheetName val="סיון_הדרכה_8"/>
      <sheetName val="הרכבה_מאוחד8"/>
      <sheetName val="C_B_T_8"/>
      <sheetName val="משוב_שיווק8"/>
      <sheetName val="Allowable_codes8"/>
      <sheetName val="השקעה_ב-_INC8"/>
      <sheetName val="מעגל_רכוש_אחר8"/>
      <sheetName val="השקעה_בפריטק8"/>
      <sheetName val="השקעה_ב-_C-ONE8"/>
      <sheetName val="השקעה_ב_-_EUROM_INC8"/>
      <sheetName val="השקעה_ב-_EUROM_LTD8"/>
      <sheetName val="השקעה_ב-_MSBV8"/>
      <sheetName val="רווחי(הפסדי)_אקוויטי8"/>
      <sheetName val="תזרים_מזומנים8"/>
      <sheetName val="סה&quot;כ_השקעות8"/>
      <sheetName val="מכירה_-_19968"/>
      <sheetName val="EDIT_DATA8"/>
      <sheetName val="דוחות_LTD1"/>
      <sheetName val="מאזן_בוחן_LTD1"/>
      <sheetName val="נתונים_לשינוי1"/>
      <sheetName val="דוחות-_LTD1"/>
      <sheetName val="תזרים_מתואם1"/>
      <sheetName val="דוחות_כספיים1"/>
      <sheetName val="Overall_market3"/>
      <sheetName val="Parameters_3"/>
    </sheetNames>
    <sheetDataSet>
      <sheetData sheetId="0" refreshError="1">
        <row r="8">
          <cell r="F8">
            <v>1248857</v>
          </cell>
        </row>
        <row r="9">
          <cell r="N9">
            <v>921086</v>
          </cell>
        </row>
        <row r="10">
          <cell r="F10">
            <v>-1129777</v>
          </cell>
        </row>
        <row r="12">
          <cell r="F12">
            <v>23736</v>
          </cell>
          <cell r="L12">
            <v>584904</v>
          </cell>
        </row>
      </sheetData>
      <sheetData sheetId="1" refreshError="1">
        <row r="8">
          <cell r="F8">
            <v>1248857</v>
          </cell>
        </row>
        <row r="11">
          <cell r="L11">
            <v>326912</v>
          </cell>
        </row>
        <row r="13">
          <cell r="L13">
            <v>-27300</v>
          </cell>
        </row>
        <row r="15">
          <cell r="L15">
            <v>-2142</v>
          </cell>
        </row>
        <row r="17">
          <cell r="L17">
            <v>-325058</v>
          </cell>
        </row>
      </sheetData>
      <sheetData sheetId="2">
        <row r="8">
          <cell r="F8">
            <v>1248857</v>
          </cell>
        </row>
      </sheetData>
      <sheetData sheetId="3">
        <row r="11">
          <cell r="L11">
            <v>326912</v>
          </cell>
        </row>
      </sheetData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8">
          <cell r="F8">
            <v>1248857</v>
          </cell>
        </row>
      </sheetData>
      <sheetData sheetId="14">
        <row r="11">
          <cell r="L11">
            <v>326912</v>
          </cell>
        </row>
      </sheetData>
      <sheetData sheetId="15">
        <row r="8">
          <cell r="F8">
            <v>1248857</v>
          </cell>
        </row>
      </sheetData>
      <sheetData sheetId="16">
        <row r="8">
          <cell r="F8">
            <v>1248857</v>
          </cell>
        </row>
      </sheetData>
      <sheetData sheetId="17">
        <row r="8">
          <cell r="F8">
            <v>1248857</v>
          </cell>
        </row>
      </sheetData>
      <sheetData sheetId="18">
        <row r="8">
          <cell r="F8">
            <v>1248857</v>
          </cell>
        </row>
      </sheetData>
      <sheetData sheetId="19">
        <row r="8">
          <cell r="F8">
            <v>1248857</v>
          </cell>
        </row>
      </sheetData>
      <sheetData sheetId="20">
        <row r="8">
          <cell r="F8">
            <v>1248857</v>
          </cell>
        </row>
      </sheetData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8">
          <cell r="F8">
            <v>1248857</v>
          </cell>
        </row>
      </sheetData>
      <sheetData sheetId="45">
        <row r="11">
          <cell r="L11">
            <v>326912</v>
          </cell>
        </row>
      </sheetData>
      <sheetData sheetId="46"/>
      <sheetData sheetId="47">
        <row r="8">
          <cell r="F8">
            <v>1248857</v>
          </cell>
        </row>
      </sheetData>
      <sheetData sheetId="48">
        <row r="11">
          <cell r="L11">
            <v>326912</v>
          </cell>
        </row>
      </sheetData>
      <sheetData sheetId="49">
        <row r="8">
          <cell r="F8">
            <v>1248857</v>
          </cell>
        </row>
      </sheetData>
      <sheetData sheetId="50">
        <row r="8">
          <cell r="F8">
            <v>1248857</v>
          </cell>
        </row>
      </sheetData>
      <sheetData sheetId="51">
        <row r="11">
          <cell r="L11">
            <v>326912</v>
          </cell>
        </row>
      </sheetData>
      <sheetData sheetId="52">
        <row r="8">
          <cell r="F8">
            <v>1248857</v>
          </cell>
        </row>
      </sheetData>
      <sheetData sheetId="53">
        <row r="11">
          <cell r="L11">
            <v>326912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>
        <row r="8">
          <cell r="F8">
            <v>1248857</v>
          </cell>
        </row>
      </sheetData>
      <sheetData sheetId="62">
        <row r="11">
          <cell r="L11">
            <v>326912</v>
          </cell>
        </row>
      </sheetData>
      <sheetData sheetId="63">
        <row r="8">
          <cell r="F8">
            <v>1248857</v>
          </cell>
        </row>
      </sheetData>
      <sheetData sheetId="64">
        <row r="11">
          <cell r="L11">
            <v>326912</v>
          </cell>
        </row>
      </sheetData>
      <sheetData sheetId="65"/>
      <sheetData sheetId="66">
        <row r="8">
          <cell r="F8">
            <v>1248857</v>
          </cell>
        </row>
      </sheetData>
      <sheetData sheetId="67">
        <row r="11">
          <cell r="L11">
            <v>326912</v>
          </cell>
        </row>
      </sheetData>
      <sheetData sheetId="68"/>
      <sheetData sheetId="69">
        <row r="11">
          <cell r="L11">
            <v>326912</v>
          </cell>
        </row>
      </sheetData>
      <sheetData sheetId="70"/>
      <sheetData sheetId="71"/>
      <sheetData sheetId="72">
        <row r="11">
          <cell r="L11">
            <v>326912</v>
          </cell>
        </row>
      </sheetData>
      <sheetData sheetId="73"/>
      <sheetData sheetId="74"/>
      <sheetData sheetId="75"/>
      <sheetData sheetId="76"/>
      <sheetData sheetId="77">
        <row r="11">
          <cell r="L11">
            <v>326912</v>
          </cell>
        </row>
      </sheetData>
      <sheetData sheetId="78"/>
      <sheetData sheetId="79"/>
      <sheetData sheetId="80">
        <row r="11">
          <cell r="L11">
            <v>326912</v>
          </cell>
        </row>
      </sheetData>
      <sheetData sheetId="81"/>
      <sheetData sheetId="82">
        <row r="8">
          <cell r="F8">
            <v>1248857</v>
          </cell>
        </row>
      </sheetData>
      <sheetData sheetId="83">
        <row r="11">
          <cell r="L11">
            <v>326912</v>
          </cell>
        </row>
      </sheetData>
      <sheetData sheetId="84"/>
      <sheetData sheetId="85">
        <row r="11">
          <cell r="L11">
            <v>326912</v>
          </cell>
        </row>
      </sheetData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8">
          <cell r="F8">
            <v>1248857</v>
          </cell>
        </row>
      </sheetData>
      <sheetData sheetId="114">
        <row r="11">
          <cell r="L11">
            <v>326912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8">
          <cell r="F8">
            <v>1248857</v>
          </cell>
        </row>
      </sheetData>
      <sheetData sheetId="123">
        <row r="11">
          <cell r="L11">
            <v>326912</v>
          </cell>
        </row>
      </sheetData>
      <sheetData sheetId="124"/>
      <sheetData sheetId="125"/>
      <sheetData sheetId="126"/>
      <sheetData sheetId="127"/>
      <sheetData sheetId="128"/>
      <sheetData sheetId="129">
        <row r="8">
          <cell r="F8">
            <v>1248857</v>
          </cell>
        </row>
      </sheetData>
      <sheetData sheetId="130">
        <row r="11">
          <cell r="L11">
            <v>326912</v>
          </cell>
        </row>
      </sheetData>
      <sheetData sheetId="131">
        <row r="8">
          <cell r="F8">
            <v>1248857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8">
          <cell r="F8">
            <v>1248857</v>
          </cell>
        </row>
      </sheetData>
      <sheetData sheetId="168">
        <row r="11">
          <cell r="L11">
            <v>326912</v>
          </cell>
        </row>
      </sheetData>
      <sheetData sheetId="169"/>
      <sheetData sheetId="170"/>
      <sheetData sheetId="171"/>
      <sheetData sheetId="172"/>
      <sheetData sheetId="173"/>
      <sheetData sheetId="174"/>
      <sheetData sheetId="175"/>
      <sheetData sheetId="176">
        <row r="8">
          <cell r="F8">
            <v>1248857</v>
          </cell>
        </row>
      </sheetData>
      <sheetData sheetId="177">
        <row r="11">
          <cell r="L11">
            <v>326912</v>
          </cell>
        </row>
      </sheetData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>
        <row r="8">
          <cell r="F8">
            <v>1248857</v>
          </cell>
        </row>
      </sheetData>
      <sheetData sheetId="189">
        <row r="11">
          <cell r="L11">
            <v>326912</v>
          </cell>
        </row>
      </sheetData>
      <sheetData sheetId="190"/>
      <sheetData sheetId="191"/>
      <sheetData sheetId="192"/>
      <sheetData sheetId="193"/>
      <sheetData sheetId="194"/>
      <sheetData sheetId="195"/>
      <sheetData sheetId="196"/>
      <sheetData sheetId="197">
        <row r="8">
          <cell r="F8">
            <v>1248857</v>
          </cell>
        </row>
      </sheetData>
      <sheetData sheetId="198">
        <row r="11">
          <cell r="L11">
            <v>326912</v>
          </cell>
        </row>
      </sheetData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/>
      <sheetData sheetId="229" refreshError="1"/>
      <sheetData sheetId="230">
        <row r="8">
          <cell r="F8">
            <v>1248857</v>
          </cell>
        </row>
      </sheetData>
      <sheetData sheetId="231">
        <row r="11">
          <cell r="L11">
            <v>326912</v>
          </cell>
        </row>
      </sheetData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>
        <row r="8">
          <cell r="F8">
            <v>1248857</v>
          </cell>
        </row>
      </sheetData>
      <sheetData sheetId="243">
        <row r="11">
          <cell r="L11">
            <v>326912</v>
          </cell>
        </row>
      </sheetData>
      <sheetData sheetId="244">
        <row r="8">
          <cell r="F8">
            <v>1248857</v>
          </cell>
        </row>
      </sheetData>
      <sheetData sheetId="245">
        <row r="11">
          <cell r="L11">
            <v>326912</v>
          </cell>
        </row>
      </sheetData>
      <sheetData sheetId="246">
        <row r="8">
          <cell r="F8">
            <v>1248857</v>
          </cell>
        </row>
      </sheetData>
      <sheetData sheetId="247">
        <row r="11">
          <cell r="L11">
            <v>326912</v>
          </cell>
        </row>
      </sheetData>
      <sheetData sheetId="248">
        <row r="8">
          <cell r="F8">
            <v>1248857</v>
          </cell>
        </row>
      </sheetData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ALA"/>
    </sheetNames>
    <definedNames>
      <definedName name="display"/>
      <definedName name="open_file"/>
    </defined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"/>
      <sheetName val="שע&quot;ח"/>
      <sheetName val="T.B Ltd"/>
      <sheetName val="Corp Rates"/>
      <sheetName val="פקדונות וניירות ערך"/>
      <sheetName val="מעגל רכוש קבוע"/>
      <sheetName val="פקדונות_וניירות_ערך2"/>
      <sheetName val="מעגל_רכוש_קבוע2"/>
      <sheetName val="פקדונות_וניירות_ערך"/>
      <sheetName val="מעגל_רכוש_קבוע"/>
      <sheetName val="פקדונות_וניירות_ערך1"/>
      <sheetName val="מעגל_רכוש_קבוע1"/>
      <sheetName val="פקדונות_וניירות_ערך3"/>
      <sheetName val="מעגל_רכוש_קבוע3"/>
      <sheetName val="פקדונות_וניירות_ערך4"/>
      <sheetName val="מעגל_רכוש_קבוע4"/>
      <sheetName val="פקדונות_וניירות_ערך5"/>
      <sheetName val="מעגל_רכוש_קבוע5"/>
      <sheetName val="תחזית-רווהפ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 מאוחד"/>
      <sheetName val="משוב שיווק "/>
      <sheetName val="סקירה אנליטית"/>
      <sheetName val="לפי תרומה"/>
      <sheetName val="תזרים סולו"/>
      <sheetName val="תזרים "/>
      <sheetName val="קרן הון Mentor"/>
      <sheetName val="מעגלים נומינלי"/>
      <sheetName val="מעגלים מאוחד"/>
      <sheetName val="Mentor"/>
      <sheetName val="מעגלי השקעות"/>
      <sheetName val="משוב שיווק נומינלי"/>
      <sheetName val="פ.נ. משוב סולו"/>
      <sheetName val="סיון מאוחד"/>
      <sheetName val="סיון הדרכה "/>
      <sheetName val="סיון ירושלים"/>
      <sheetName val="מנטו' מערכות"/>
      <sheetName val="טלטל"/>
      <sheetName val="מדדים"/>
      <sheetName val="סבירות מימון "/>
      <sheetName val="רכוש קבוע"/>
      <sheetName val="הפרשה למס"/>
      <sheetName val="מס נדחה"/>
      <sheetName val="רווח למניה"/>
      <sheetName val="Actual Monthly I &amp; E"/>
      <sheetName val="הרכבה"/>
      <sheetName val="הרכבה_מאוחד"/>
      <sheetName val="משוב_שיווק_"/>
      <sheetName val="סקירה_אנליטית"/>
      <sheetName val="לפי_תרומה"/>
      <sheetName val="תזרים_סולו"/>
      <sheetName val="תזרים_"/>
      <sheetName val="קרן_הון_Mentor"/>
      <sheetName val="מעגלים_נומינלי"/>
      <sheetName val="מעגלים_מאוחד"/>
      <sheetName val="מעגלי_השקעות"/>
      <sheetName val="משוב_שיווק_נומינלי"/>
      <sheetName val="פ_נ__משוב_סולו"/>
      <sheetName val="סיון_מאוחד"/>
      <sheetName val="סיון_הדרכה_"/>
      <sheetName val="סיון_ירושלים"/>
      <sheetName val="מנטו'_מערכות"/>
      <sheetName val="סבירות_מימון_"/>
      <sheetName val="רכוש_קבוע"/>
      <sheetName val="הפרשה_למס"/>
      <sheetName val="מס_נדחה"/>
      <sheetName val="רווח_למניה"/>
      <sheetName val="Actual_Monthly_I_&amp;_E"/>
      <sheetName val="הרכבה_מאוחד4"/>
      <sheetName val="משוב_שיווק_4"/>
      <sheetName val="סקירה_אנליטית4"/>
      <sheetName val="לפי_תרומה4"/>
      <sheetName val="תזרים_סולו4"/>
      <sheetName val="תזרים_4"/>
      <sheetName val="קרן_הון_Mentor4"/>
      <sheetName val="מעגלים_נומינלי4"/>
      <sheetName val="מעגלים_מאוחד4"/>
      <sheetName val="מעגלי_השקעות4"/>
      <sheetName val="משוב_שיווק_נומינלי4"/>
      <sheetName val="פ_נ__משוב_סולו4"/>
      <sheetName val="סיון_מאוחד4"/>
      <sheetName val="סיון_הדרכה_4"/>
      <sheetName val="סיון_ירושלים4"/>
      <sheetName val="מנטו'_מערכות4"/>
      <sheetName val="סבירות_מימון_4"/>
      <sheetName val="רכוש_קבוע4"/>
      <sheetName val="הפרשה_למס4"/>
      <sheetName val="מס_נדחה4"/>
      <sheetName val="רווח_למניה4"/>
      <sheetName val="Actual_Monthly_I_&amp;_E4"/>
      <sheetName val="הרכבה_מאוחד1"/>
      <sheetName val="משוב_שיווק_1"/>
      <sheetName val="סקירה_אנליטית1"/>
      <sheetName val="לפי_תרומה1"/>
      <sheetName val="תזרים_סולו1"/>
      <sheetName val="תזרים_1"/>
      <sheetName val="קרן_הון_Mentor1"/>
      <sheetName val="מעגלים_נומינלי1"/>
      <sheetName val="מעגלים_מאוחד1"/>
      <sheetName val="מעגלי_השקעות1"/>
      <sheetName val="משוב_שיווק_נומינלי1"/>
      <sheetName val="פ_נ__משוב_סולו1"/>
      <sheetName val="סיון_מאוחד1"/>
      <sheetName val="סיון_הדרכה_1"/>
      <sheetName val="סיון_ירושלים1"/>
      <sheetName val="מנטו'_מערכות1"/>
      <sheetName val="סבירות_מימון_1"/>
      <sheetName val="רכוש_קבוע1"/>
      <sheetName val="הפרשה_למס1"/>
      <sheetName val="מס_נדחה1"/>
      <sheetName val="רווח_למניה1"/>
      <sheetName val="Actual_Monthly_I_&amp;_E1"/>
      <sheetName val="הרכבה_מאוחד2"/>
      <sheetName val="משוב_שיווק_2"/>
      <sheetName val="סקירה_אנליטית2"/>
      <sheetName val="לפי_תרומה2"/>
      <sheetName val="תזרים_סולו2"/>
      <sheetName val="תזרים_2"/>
      <sheetName val="קרן_הון_Mentor2"/>
      <sheetName val="מעגלים_נומינלי2"/>
      <sheetName val="מעגלים_מאוחד2"/>
      <sheetName val="מעגלי_השקעות2"/>
      <sheetName val="משוב_שיווק_נומינלי2"/>
      <sheetName val="פ_נ__משוב_סולו2"/>
      <sheetName val="סיון_מאוחד2"/>
      <sheetName val="סיון_הדרכה_2"/>
      <sheetName val="סיון_ירושלים2"/>
      <sheetName val="מנטו'_מערכות2"/>
      <sheetName val="סבירות_מימון_2"/>
      <sheetName val="רכוש_קבוע2"/>
      <sheetName val="הפרשה_למס2"/>
      <sheetName val="מס_נדחה2"/>
      <sheetName val="רווח_למניה2"/>
      <sheetName val="Actual_Monthly_I_&amp;_E2"/>
      <sheetName val="הרכבה_מאוחד3"/>
      <sheetName val="משוב_שיווק_3"/>
      <sheetName val="סקירה_אנליטית3"/>
      <sheetName val="לפי_תרומה3"/>
      <sheetName val="תזרים_סולו3"/>
      <sheetName val="תזרים_3"/>
      <sheetName val="קרן_הון_Mentor3"/>
      <sheetName val="מעגלים_נומינלי3"/>
      <sheetName val="מעגלים_מאוחד3"/>
      <sheetName val="מעגלי_השקעות3"/>
      <sheetName val="משוב_שיווק_נומינלי3"/>
      <sheetName val="פ_נ__משוב_סולו3"/>
      <sheetName val="סיון_מאוחד3"/>
      <sheetName val="סיון_הדרכה_3"/>
      <sheetName val="סיון_ירושלים3"/>
      <sheetName val="מנטו'_מערכות3"/>
      <sheetName val="סבירות_מימון_3"/>
      <sheetName val="רכוש_קבוע3"/>
      <sheetName val="הפרשה_למס3"/>
      <sheetName val="מס_נדחה3"/>
      <sheetName val="רווח_למניה3"/>
      <sheetName val="Actual_Monthly_I_&amp;_E3"/>
      <sheetName val="הרכבה_מאוחד5"/>
      <sheetName val="משוב_שיווק_5"/>
      <sheetName val="סקירה_אנליטית5"/>
      <sheetName val="לפי_תרומה5"/>
      <sheetName val="תזרים_סולו5"/>
      <sheetName val="תזרים_5"/>
      <sheetName val="קרן_הון_Mentor5"/>
      <sheetName val="מעגלים_נומינלי5"/>
      <sheetName val="מעגלים_מאוחד5"/>
      <sheetName val="מעגלי_השקעות5"/>
      <sheetName val="משוב_שיווק_נומינלי5"/>
      <sheetName val="פ_נ__משוב_סולו5"/>
      <sheetName val="סיון_מאוחד5"/>
      <sheetName val="סיון_הדרכה_5"/>
      <sheetName val="סיון_ירושלים5"/>
      <sheetName val="מנטו'_מערכות5"/>
      <sheetName val="סבירות_מימון_5"/>
      <sheetName val="רכוש_קבוע5"/>
      <sheetName val="הפרשה_למס5"/>
      <sheetName val="מס_נדחה5"/>
      <sheetName val="רווח_למניה5"/>
      <sheetName val="Actual_Monthly_I_&amp;_E5"/>
      <sheetName val="הרכבה_מאוחד6"/>
      <sheetName val="משוב_שיווק_6"/>
      <sheetName val="סקירה_אנליטית6"/>
      <sheetName val="לפי_תרומה6"/>
      <sheetName val="תזרים_סולו6"/>
      <sheetName val="תזרים_6"/>
      <sheetName val="קרן_הון_Mentor6"/>
      <sheetName val="מעגלים_נומינלי6"/>
      <sheetName val="מעגלים_מאוחד6"/>
      <sheetName val="מעגלי_השקעות6"/>
      <sheetName val="משוב_שיווק_נומינלי6"/>
      <sheetName val="פ_נ__משוב_סולו6"/>
      <sheetName val="סיון_מאוחד6"/>
      <sheetName val="סיון_הדרכה_6"/>
      <sheetName val="סיון_ירושלים6"/>
      <sheetName val="מנטו'_מערכות6"/>
      <sheetName val="סבירות_מימון_6"/>
      <sheetName val="רכוש_קבוע6"/>
      <sheetName val="הפרשה_למס6"/>
      <sheetName val="מס_נדחה6"/>
      <sheetName val="רווח_למניה6"/>
      <sheetName val="Actual_Monthly_I_&amp;_E6"/>
      <sheetName val="הרכבה_מאוחד7"/>
      <sheetName val="משוב_שיווק_7"/>
      <sheetName val="סקירה_אנליטית7"/>
      <sheetName val="לפי_תרומה7"/>
      <sheetName val="תזרים_סולו7"/>
      <sheetName val="תזרים_7"/>
      <sheetName val="קרן_הון_Mentor7"/>
      <sheetName val="מעגלים_נומינלי7"/>
      <sheetName val="מעגלים_מאוחד7"/>
      <sheetName val="מעגלי_השקעות7"/>
      <sheetName val="משוב_שיווק_נומינלי7"/>
      <sheetName val="פ_נ__משוב_סולו7"/>
      <sheetName val="סיון_מאוחד7"/>
      <sheetName val="סיון_הדרכה_7"/>
      <sheetName val="סיון_ירושלים7"/>
      <sheetName val="מנטו'_מערכות7"/>
      <sheetName val="סבירות_מימון_7"/>
      <sheetName val="רכוש_קבוע7"/>
      <sheetName val="הפרשה_למס7"/>
      <sheetName val="מס_נדחה7"/>
      <sheetName val="רווח_למניה7"/>
      <sheetName val="Actual_Monthly_I_&amp;_E7"/>
      <sheetName val="תחזית-רווהפ"/>
      <sheetName val="הרכבה_מאוחד8"/>
      <sheetName val="משוב_שיווק_8"/>
      <sheetName val="סקירה_אנליטית8"/>
      <sheetName val="לפי_תרומה8"/>
      <sheetName val="תזרים_סולו8"/>
      <sheetName val="תזרים_8"/>
      <sheetName val="קרן_הון_Mentor8"/>
      <sheetName val="מעגלים_נומינלי8"/>
      <sheetName val="מעגלים_מאוחד8"/>
      <sheetName val="מעגלי_השקעות8"/>
      <sheetName val="משוב_שיווק_נומינלי8"/>
      <sheetName val="פ_נ__משוב_סולו8"/>
      <sheetName val="סיון_מאוחד8"/>
      <sheetName val="סיון_הדרכה_8"/>
      <sheetName val="סיון_ירושלים8"/>
      <sheetName val="מנטו'_מערכות8"/>
      <sheetName val="סבירות_מימון_8"/>
      <sheetName val="רכוש_קבוע8"/>
      <sheetName val="הפרשה_למס8"/>
      <sheetName val="מס_נדחה8"/>
      <sheetName val="רווח_למניה8"/>
      <sheetName val="Actual_Monthly_I_&amp;_E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>
        <row r="29">
          <cell r="E29">
            <v>3.8450000000000002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company"/>
      <sheetName val="nv"/>
      <sheetName val="finance"/>
      <sheetName val="contingent liabilities"/>
      <sheetName val="fixed assets"/>
      <sheetName val="פ&quot;נ"/>
      <sheetName val="תזרים"/>
      <sheetName val="cash 99"/>
      <sheetName val="con12-99"/>
      <sheetName val="con98"/>
      <sheetName val="Balance Sheet"/>
      <sheetName val="Income Statement"/>
      <sheetName val="HON 96"/>
      <sheetName val="hon"/>
      <sheetName val="מדדים"/>
      <sheetName val="contingent_liabilities"/>
      <sheetName val="fixed_assets"/>
      <sheetName val="cash_99"/>
      <sheetName val="Balance_Sheet"/>
      <sheetName val="Income_Statement"/>
      <sheetName val="HON_96"/>
      <sheetName val="International Employee List"/>
      <sheetName val="contingent_liabilities4"/>
      <sheetName val="fixed_assets4"/>
      <sheetName val="cash_994"/>
      <sheetName val="Balance_Sheet4"/>
      <sheetName val="Income_Statement4"/>
      <sheetName val="HON_964"/>
      <sheetName val="contingent_liabilities1"/>
      <sheetName val="fixed_assets1"/>
      <sheetName val="cash_991"/>
      <sheetName val="Balance_Sheet1"/>
      <sheetName val="Income_Statement1"/>
      <sheetName val="HON_961"/>
      <sheetName val="contingent_liabilities2"/>
      <sheetName val="fixed_assets2"/>
      <sheetName val="cash_992"/>
      <sheetName val="Balance_Sheet2"/>
      <sheetName val="Income_Statement2"/>
      <sheetName val="HON_962"/>
      <sheetName val="contingent_liabilities3"/>
      <sheetName val="fixed_assets3"/>
      <sheetName val="cash_993"/>
      <sheetName val="Balance_Sheet3"/>
      <sheetName val="Income_Statement3"/>
      <sheetName val="HON_963"/>
      <sheetName val="contingent_liabilities5"/>
      <sheetName val="fixed_assets5"/>
      <sheetName val="cash_995"/>
      <sheetName val="Balance_Sheet5"/>
      <sheetName val="Income_Statement5"/>
      <sheetName val="HON_965"/>
      <sheetName val="contingent_liabilities6"/>
      <sheetName val="fixed_assets6"/>
      <sheetName val="cash_996"/>
      <sheetName val="Balance_Sheet6"/>
      <sheetName val="Income_Statement6"/>
      <sheetName val="HON_966"/>
      <sheetName val="contingent_liabilities7"/>
      <sheetName val="fixed_assets7"/>
      <sheetName val="cash_997"/>
      <sheetName val="Balance_Sheet7"/>
      <sheetName val="Income_Statement7"/>
      <sheetName val="HON_96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5">
          <cell r="C25">
            <v>3.0764999999999998</v>
          </cell>
          <cell r="G25">
            <v>3.1924999999999999</v>
          </cell>
        </row>
      </sheetData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>
        <row r="25">
          <cell r="C25">
            <v>3.0764999999999998</v>
          </cell>
        </row>
      </sheetData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25">
          <cell r="C25">
            <v>3.0764999999999998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5">
          <cell r="C25">
            <v>3.0764999999999998</v>
          </cell>
        </row>
      </sheetData>
      <sheetData sheetId="57"/>
      <sheetData sheetId="58"/>
      <sheetData sheetId="59"/>
      <sheetData sheetId="60"/>
      <sheetData sheetId="61"/>
      <sheetData sheetId="62">
        <row r="25">
          <cell r="C25">
            <v>3.0764999999999998</v>
          </cell>
        </row>
      </sheetData>
      <sheetData sheetId="6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ירוטים"/>
      <sheetName val="מנטורטק רבעון"/>
      <sheetName val="מנטורטק משולב"/>
      <sheetName val="PC מאוחד"/>
      <sheetName val="סיון משולב"/>
      <sheetName val="מאזנים משולב"/>
      <sheetName val="סיון מאוחד"/>
      <sheetName val="יחסים אנליטים"/>
      <sheetName val="אנליטי "/>
      <sheetName val="סיון פתרונות -cbt "/>
      <sheetName val="סיון פיתוח - TBT"/>
      <sheetName val="סיון קום"/>
      <sheetName val="מדדים"/>
      <sheetName val="פקודות נוספות"/>
      <sheetName val="סיון הדרכה "/>
      <sheetName val="תרומה נומינלית"/>
      <sheetName val="סבירות מימון"/>
      <sheetName val="השקעה בסיון קום"/>
      <sheetName val="מוניטין"/>
      <sheetName val="הכנסות מראש"/>
      <sheetName val="Income Statement"/>
      <sheetName val="אלדור"/>
      <sheetName val="קבוצת טלדור"/>
      <sheetName val="טנדם"/>
      <sheetName val="מנטורטק_רבעון"/>
      <sheetName val="מנטורטק_משולב"/>
      <sheetName val="PC_מאוחד"/>
      <sheetName val="סיון_משולב"/>
      <sheetName val="מאזנים_משולב"/>
      <sheetName val="סיון_מאוחד"/>
      <sheetName val="יחסים_אנליטים"/>
      <sheetName val="אנליטי_"/>
      <sheetName val="סיון_פתרונות_-cbt_"/>
      <sheetName val="סיון_פיתוח_-_TBT"/>
      <sheetName val="סיון_קום"/>
      <sheetName val="פקודות_נוספות"/>
      <sheetName val="סיון_הדרכה_"/>
      <sheetName val="תרומה_נומינלית"/>
      <sheetName val="סבירות_מימון"/>
      <sheetName val="השקעה_בסיון_קום"/>
      <sheetName val="הכנסות_מראש"/>
      <sheetName val="Income_Statement"/>
      <sheetName val="קבוצת_טלדור"/>
      <sheetName val="International Employee List"/>
      <sheetName val="מנטורטק_רבעון4"/>
      <sheetName val="מנטורטק_משולב4"/>
      <sheetName val="PC_מאוחד4"/>
      <sheetName val="סיון_משולב4"/>
      <sheetName val="מאזנים_משולב4"/>
      <sheetName val="סיון_מאוחד4"/>
      <sheetName val="יחסים_אנליטים4"/>
      <sheetName val="אנליטי_4"/>
      <sheetName val="סיון_פתרונות_-cbt_4"/>
      <sheetName val="סיון_פיתוח_-_TBT4"/>
      <sheetName val="סיון_קום4"/>
      <sheetName val="פקודות_נוספות4"/>
      <sheetName val="סיון_הדרכה_4"/>
      <sheetName val="תרומה_נומינלית4"/>
      <sheetName val="סבירות_מימון4"/>
      <sheetName val="השקעה_בסיון_קום4"/>
      <sheetName val="הכנסות_מראש4"/>
      <sheetName val="Income_Statement4"/>
      <sheetName val="קבוצת_טלדור4"/>
      <sheetName val="מנטורטק_רבעון1"/>
      <sheetName val="מנטורטק_משולב1"/>
      <sheetName val="PC_מאוחד1"/>
      <sheetName val="סיון_משולב1"/>
      <sheetName val="מאזנים_משולב1"/>
      <sheetName val="סיון_מאוחד1"/>
      <sheetName val="יחסים_אנליטים1"/>
      <sheetName val="אנליטי_1"/>
      <sheetName val="סיון_פתרונות_-cbt_1"/>
      <sheetName val="סיון_פיתוח_-_TBT1"/>
      <sheetName val="סיון_קום1"/>
      <sheetName val="פקודות_נוספות1"/>
      <sheetName val="סיון_הדרכה_1"/>
      <sheetName val="תרומה_נומינלית1"/>
      <sheetName val="סבירות_מימון1"/>
      <sheetName val="השקעה_בסיון_קום1"/>
      <sheetName val="הכנסות_מראש1"/>
      <sheetName val="Income_Statement1"/>
      <sheetName val="קבוצת_טלדור1"/>
      <sheetName val="מנטורטק_רבעון2"/>
      <sheetName val="מנטורטק_משולב2"/>
      <sheetName val="PC_מאוחד2"/>
      <sheetName val="סיון_משולב2"/>
      <sheetName val="מאזנים_משולב2"/>
      <sheetName val="סיון_מאוחד2"/>
      <sheetName val="יחסים_אנליטים2"/>
      <sheetName val="אנליטי_2"/>
      <sheetName val="סיון_פתרונות_-cbt_2"/>
      <sheetName val="סיון_פיתוח_-_TBT2"/>
      <sheetName val="סיון_קום2"/>
      <sheetName val="פקודות_נוספות2"/>
      <sheetName val="סיון_הדרכה_2"/>
      <sheetName val="תרומה_נומינלית2"/>
      <sheetName val="סבירות_מימון2"/>
      <sheetName val="השקעה_בסיון_קום2"/>
      <sheetName val="הכנסות_מראש2"/>
      <sheetName val="Income_Statement2"/>
      <sheetName val="קבוצת_טלדור2"/>
      <sheetName val="מנטורטק_רבעון3"/>
      <sheetName val="מנטורטק_משולב3"/>
      <sheetName val="PC_מאוחד3"/>
      <sheetName val="סיון_משולב3"/>
      <sheetName val="מאזנים_משולב3"/>
      <sheetName val="סיון_מאוחד3"/>
      <sheetName val="יחסים_אנליטים3"/>
      <sheetName val="אנליטי_3"/>
      <sheetName val="סיון_פתרונות_-cbt_3"/>
      <sheetName val="סיון_פיתוח_-_TBT3"/>
      <sheetName val="סיון_קום3"/>
      <sheetName val="פקודות_נוספות3"/>
      <sheetName val="סיון_הדרכה_3"/>
      <sheetName val="תרומה_נומינלית3"/>
      <sheetName val="סבירות_מימון3"/>
      <sheetName val="השקעה_בסיון_קום3"/>
      <sheetName val="הכנסות_מראש3"/>
      <sheetName val="Income_Statement3"/>
      <sheetName val="קבוצת_טלדור3"/>
      <sheetName val="מנטורטק_רבעון5"/>
      <sheetName val="מנטורטק_משולב5"/>
      <sheetName val="PC_מאוחד5"/>
      <sheetName val="סיון_משולב5"/>
      <sheetName val="מאזנים_משולב5"/>
      <sheetName val="סיון_מאוחד5"/>
      <sheetName val="יחסים_אנליטים5"/>
      <sheetName val="אנליטי_5"/>
      <sheetName val="סיון_פתרונות_-cbt_5"/>
      <sheetName val="סיון_פיתוח_-_TBT5"/>
      <sheetName val="סיון_קום5"/>
      <sheetName val="פקודות_נוספות5"/>
      <sheetName val="סיון_הדרכה_5"/>
      <sheetName val="תרומה_נומינלית5"/>
      <sheetName val="סבירות_מימון5"/>
      <sheetName val="השקעה_בסיון_קום5"/>
      <sheetName val="הכנסות_מראש5"/>
      <sheetName val="Income_Statement5"/>
      <sheetName val="קבוצת_טלדור5"/>
      <sheetName val="מנטורטק_רבעון6"/>
      <sheetName val="מנטורטק_משולב6"/>
      <sheetName val="PC_מאוחד6"/>
      <sheetName val="סיון_משולב6"/>
      <sheetName val="מאזנים_משולב6"/>
      <sheetName val="סיון_מאוחד6"/>
      <sheetName val="יחסים_אנליטים6"/>
      <sheetName val="אנליטי_6"/>
      <sheetName val="סיון_פתרונות_-cbt_6"/>
      <sheetName val="סיון_פיתוח_-_TBT6"/>
      <sheetName val="סיון_קום6"/>
      <sheetName val="פקודות_נוספות6"/>
      <sheetName val="סיון_הדרכה_6"/>
      <sheetName val="תרומה_נומינלית6"/>
      <sheetName val="סבירות_מימון6"/>
      <sheetName val="השקעה_בסיון_קום6"/>
      <sheetName val="הכנסות_מראש6"/>
      <sheetName val="Income_Statement6"/>
      <sheetName val="קבוצת_טלדור6"/>
      <sheetName val="מנטורטק_רבעון7"/>
      <sheetName val="מנטורטק_משולב7"/>
      <sheetName val="PC_מאוחד7"/>
      <sheetName val="סיון_משולב7"/>
      <sheetName val="מאזנים_משולב7"/>
      <sheetName val="סיון_מאוחד7"/>
      <sheetName val="יחסים_אנליטים7"/>
      <sheetName val="אנליטי_7"/>
      <sheetName val="סיון_פתרונות_-cbt_7"/>
      <sheetName val="סיון_פיתוח_-_TBT7"/>
      <sheetName val="סיון_קום7"/>
      <sheetName val="פקודות_נוספות7"/>
      <sheetName val="סיון_הדרכה_7"/>
      <sheetName val="תרומה_נומינלית7"/>
      <sheetName val="סבירות_מימון7"/>
      <sheetName val="השקעה_בסיון_קום7"/>
      <sheetName val="הכנסות_מראש7"/>
      <sheetName val="Income_Statement7"/>
      <sheetName val="קבוצת_טלדור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41">
          <cell r="C41">
            <v>4.024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זרים מזומנים"/>
      <sheetName val="Drop-Down Menu"/>
      <sheetName val="מדדים"/>
      <sheetName val="TPE9507"/>
      <sheetName val="Variables"/>
      <sheetName val="Parameters"/>
      <sheetName val="אלעד גינון"/>
      <sheetName val="ב גאון רשויות (2)"/>
      <sheetName val="ב גאון רשויות"/>
      <sheetName val="הספק מאור"/>
      <sheetName val="מאור ערים"/>
      <sheetName val="מרחבים ירוקים גאון"/>
      <sheetName val="מרחב-שש חניון"/>
      <sheetName val="גאון תשתיות לאומי"/>
      <sheetName val="גאון תשתיות פועלים"/>
      <sheetName val="A02 Summary of Audit Differenc"/>
      <sheetName val="תזרים_מזומנים"/>
      <sheetName val="Drop-Down_Menu"/>
      <sheetName val="רווח למניה-פרופורמה"/>
      <sheetName val="תזרים_מזומנים4"/>
      <sheetName val="Drop-Down_Menu4"/>
      <sheetName val="תזרים_מזומנים1"/>
      <sheetName val="Drop-Down_Menu1"/>
      <sheetName val="תזרים_מזומנים2"/>
      <sheetName val="Drop-Down_Menu2"/>
      <sheetName val="תזרים_מזומנים3"/>
      <sheetName val="Drop-Down_Menu3"/>
      <sheetName val="תזרים_מזומנים5"/>
      <sheetName val="Drop-Down_Menu5"/>
      <sheetName val="תזרים_מזומנים6"/>
      <sheetName val="Drop-Down_Menu6"/>
      <sheetName val="תזרים_מזומנים7"/>
      <sheetName val="Drop-Down_Menu7"/>
      <sheetName val="H5 (3)"/>
      <sheetName val="General"/>
      <sheetName val="unpaid"/>
      <sheetName val="Intro"/>
      <sheetName val="תזרים_מזומנים8"/>
      <sheetName val="Drop-Down_Menu8"/>
      <sheetName val="אלעד_גינון"/>
      <sheetName val="ב_גאון_רשויות_(2)"/>
      <sheetName val="ב_גאון_רשויות"/>
      <sheetName val="הספק_מאור"/>
      <sheetName val="מאור_ערים"/>
      <sheetName val="מרחבים_ירוקים_גאון"/>
      <sheetName val="מרחב-שש_חניון"/>
      <sheetName val="גאון_תשתיות_לאומי"/>
      <sheetName val="גאון_תשתיות_פועלים"/>
    </sheetNames>
    <sheetDataSet>
      <sheetData sheetId="0" refreshError="1">
        <row r="4">
          <cell r="L4">
            <v>1.6998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4">
          <cell r="L4">
            <v>1.6998</v>
          </cell>
        </row>
      </sheetData>
      <sheetData sheetId="17"/>
      <sheetData sheetId="18" refreshError="1"/>
      <sheetData sheetId="19"/>
      <sheetData sheetId="20"/>
      <sheetData sheetId="21">
        <row r="4">
          <cell r="L4">
            <v>1.6998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>
        <row r="4">
          <cell r="L4">
            <v>1.6998</v>
          </cell>
        </row>
      </sheetData>
      <sheetData sheetId="30"/>
      <sheetData sheetId="31">
        <row r="4">
          <cell r="L4">
            <v>1.6998</v>
          </cell>
        </row>
      </sheetData>
      <sheetData sheetId="32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טמ בגין רווח הון"/>
      <sheetName val="pp"/>
      <sheetName val="prs"/>
      <sheetName val="np"/>
      <sheetName val="stor_next"/>
      <sheetName val="tradenet"/>
      <sheetName val="orlan"/>
      <sheetName val="kohav"/>
      <sheetName val="sa_israel"/>
      <sheetName val="tamar "/>
      <sheetName val="uk"/>
      <sheetName val="Australia"/>
      <sheetName val="holdings"/>
      <sheetName val="DemandX"/>
      <sheetName val="השקעות"/>
      <sheetName val="הסבר NP ו SA"/>
      <sheetName val="מספרי השוואה"/>
      <sheetName val="רכוש אחר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1">
          <cell r="W21">
            <v>4052</v>
          </cell>
          <cell r="Z21">
            <v>397338</v>
          </cell>
          <cell r="AA21">
            <v>57306</v>
          </cell>
          <cell r="AC21">
            <v>253884.55319999999</v>
          </cell>
          <cell r="AF21">
            <v>5514486</v>
          </cell>
          <cell r="AG21">
            <v>1715964</v>
          </cell>
          <cell r="AI21">
            <v>60334</v>
          </cell>
          <cell r="AJ21">
            <v>1204777.1578363772</v>
          </cell>
        </row>
        <row r="22">
          <cell r="W22">
            <v>162041.76470000006</v>
          </cell>
          <cell r="Z22">
            <v>15672</v>
          </cell>
          <cell r="AC22">
            <v>221419.81920000003</v>
          </cell>
          <cell r="AF22">
            <v>13208</v>
          </cell>
          <cell r="AG22">
            <v>20407</v>
          </cell>
          <cell r="AH22">
            <v>1013340.4803169102</v>
          </cell>
        </row>
        <row r="23">
          <cell r="W23">
            <v>148601.73040049989</v>
          </cell>
          <cell r="AC23">
            <v>46909.014913335152</v>
          </cell>
          <cell r="AG23">
            <v>97837</v>
          </cell>
        </row>
        <row r="24">
          <cell r="AC24">
            <v>25102.576274082414</v>
          </cell>
        </row>
        <row r="25">
          <cell r="AC25">
            <v>39288.853910209284</v>
          </cell>
        </row>
        <row r="26">
          <cell r="AC26">
            <v>88722.164119331457</v>
          </cell>
        </row>
        <row r="27">
          <cell r="W27">
            <v>-140798.53125018749</v>
          </cell>
          <cell r="Z27">
            <v>-80010.125</v>
          </cell>
          <cell r="AA27">
            <v>-17908.125</v>
          </cell>
          <cell r="AC27">
            <v>-269971.45971338049</v>
          </cell>
          <cell r="AF27">
            <v>-954693.85714285716</v>
          </cell>
          <cell r="AG27">
            <v>-654207.75</v>
          </cell>
          <cell r="AH27">
            <v>-272305</v>
          </cell>
          <cell r="AI27">
            <v>-28894</v>
          </cell>
          <cell r="AJ27">
            <v>29568.733088959591</v>
          </cell>
        </row>
        <row r="30">
          <cell r="Z30">
            <v>-56000</v>
          </cell>
          <cell r="AF30">
            <v>-148000</v>
          </cell>
          <cell r="AG30">
            <v>156000</v>
          </cell>
          <cell r="AJ30">
            <v>-188000</v>
          </cell>
        </row>
        <row r="31">
          <cell r="Z31">
            <v>-56000</v>
          </cell>
          <cell r="AF31">
            <v>-148000</v>
          </cell>
          <cell r="AG31">
            <v>156000</v>
          </cell>
          <cell r="AJ31">
            <v>-188000</v>
          </cell>
        </row>
        <row r="36">
          <cell r="AH36">
            <v>-361133.38800000004</v>
          </cell>
          <cell r="AI36">
            <v>-4667.3975764570132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200000"/>
      <sheetName val="סבירות מימון"/>
      <sheetName val="אנליטי רוו&quot;ה"/>
      <sheetName val="אנליטי מאזן"/>
      <sheetName val="Consolidation "/>
      <sheetName val="INC"/>
      <sheetName val="BS"/>
      <sheetName val="P&amp;L"/>
      <sheetName val="cash flow"/>
      <sheetName val="Capital"/>
      <sheetName val="AE"/>
      <sheetName val="COGS Allocation"/>
      <sheetName val="Deferred compensation"/>
      <sheetName val=" EPS"/>
      <sheetName val="סבירות_מימון"/>
      <sheetName val="אנליטי_רוו&quot;ה"/>
      <sheetName val="אנליטי_מאזן"/>
      <sheetName val="Consolidation_"/>
      <sheetName val="cash_flow"/>
      <sheetName val="COGS_Allocation"/>
      <sheetName val="Deferred_compensation"/>
      <sheetName val="_EPS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ערות לדוח"/>
      <sheetName val="Pivot table"/>
      <sheetName val="General ledger"/>
      <sheetName val="דוח מתכונת הגשה סולו ישראל"/>
      <sheetName val="דוח מתכונת הגשה מאוחד"/>
      <sheetName val="פקודות נוספות"/>
      <sheetName val="דוח מתכונת הגשה ארה&quot;ב"/>
      <sheetName val="העמסת הוצאות משותפות"/>
      <sheetName val="מזומנים"/>
      <sheetName val="הון מניות וצדדים קשורים"/>
      <sheetName val="פיצויים"/>
      <sheetName val="ניתוח ריווחיות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tend Budget code table"/>
      <sheetName val="Xtend 8dig Budget Code"/>
      <sheetName val="Xtend 8dig Budget Code (Short)"/>
      <sheetName val="Xtend 8dig Budget Code (Long)"/>
      <sheetName val="Xtend 8dig Budget Code (tool)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.ב."/>
      <sheetName val="פ.נ."/>
      <sheetName val="מאזן"/>
      <sheetName val="פ.נ.ב"/>
    </sheetNames>
    <sheetDataSet>
      <sheetData sheetId="0">
        <row r="3">
          <cell r="A3" t="str">
            <v>מס' חשבון</v>
          </cell>
          <cell r="B3" t="str">
            <v>שם חשבון</v>
          </cell>
          <cell r="C3" t="str">
            <v>מס' סעיף</v>
          </cell>
          <cell r="D3" t="str">
            <v>יתרה מוגשת</v>
          </cell>
          <cell r="E3" t="str">
            <v>פק' נוספות</v>
          </cell>
          <cell r="F3" t="str">
            <v>מאזן</v>
          </cell>
          <cell r="G3" t="str">
            <v>פק' נוספות 2</v>
          </cell>
          <cell r="H3" t="str">
            <v>סופי</v>
          </cell>
        </row>
        <row r="4">
          <cell r="A4">
            <v>120001</v>
          </cell>
          <cell r="B4" t="str">
            <v>בנק לאומי בע"מ - שיקלי</v>
          </cell>
          <cell r="C4">
            <v>120</v>
          </cell>
          <cell r="D4">
            <v>-645858.96</v>
          </cell>
          <cell r="E4">
            <v>249779</v>
          </cell>
          <cell r="F4">
            <v>-396079.95999999996</v>
          </cell>
          <cell r="G4">
            <v>396080</v>
          </cell>
          <cell r="H4">
            <v>4.0000000037252903E-2</v>
          </cell>
        </row>
        <row r="5">
          <cell r="A5">
            <v>120002</v>
          </cell>
          <cell r="B5" t="str">
            <v>בנק לאומי בע"מ - מט"ח</v>
          </cell>
          <cell r="C5">
            <v>120</v>
          </cell>
          <cell r="D5">
            <v>3834668.03</v>
          </cell>
          <cell r="E5">
            <v>481836</v>
          </cell>
          <cell r="F5">
            <v>4316504.0299999993</v>
          </cell>
          <cell r="G5">
            <v>-4316504</v>
          </cell>
          <cell r="H5">
            <v>2.9999999329447746E-2</v>
          </cell>
        </row>
        <row r="6">
          <cell r="A6">
            <v>120099</v>
          </cell>
          <cell r="B6" t="str">
            <v>קופה קטנה</v>
          </cell>
          <cell r="C6">
            <v>120</v>
          </cell>
          <cell r="D6">
            <v>-1760.37</v>
          </cell>
          <cell r="E6">
            <v>0</v>
          </cell>
          <cell r="F6">
            <v>-1760.37</v>
          </cell>
          <cell r="G6">
            <v>1760</v>
          </cell>
          <cell r="H6">
            <v>-0.36999999999989086</v>
          </cell>
        </row>
        <row r="7">
          <cell r="A7">
            <v>130001</v>
          </cell>
          <cell r="B7" t="str">
            <v>החברה ישראל</v>
          </cell>
          <cell r="C7">
            <v>130</v>
          </cell>
          <cell r="D7">
            <v>706235</v>
          </cell>
          <cell r="E7">
            <v>-183300</v>
          </cell>
          <cell r="F7">
            <v>522935</v>
          </cell>
          <cell r="G7">
            <v>-522935</v>
          </cell>
          <cell r="H7">
            <v>0</v>
          </cell>
        </row>
        <row r="8">
          <cell r="A8">
            <v>130998</v>
          </cell>
          <cell r="B8" t="str">
            <v>החברה ארה"ב</v>
          </cell>
          <cell r="C8">
            <v>130</v>
          </cell>
          <cell r="E8">
            <v>-547940</v>
          </cell>
          <cell r="F8">
            <v>-547940</v>
          </cell>
          <cell r="G8">
            <v>-3311976</v>
          </cell>
          <cell r="H8">
            <v>-3859916</v>
          </cell>
        </row>
        <row r="9">
          <cell r="A9">
            <v>130999</v>
          </cell>
          <cell r="B9" t="str">
            <v>חב'-בת</v>
          </cell>
          <cell r="C9">
            <v>130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A10">
            <v>150001</v>
          </cell>
          <cell r="B10" t="str">
            <v>ערד נווה</v>
          </cell>
          <cell r="C10">
            <v>150</v>
          </cell>
          <cell r="D10">
            <v>65.44</v>
          </cell>
          <cell r="E10">
            <v>0</v>
          </cell>
          <cell r="F10">
            <v>65.44</v>
          </cell>
          <cell r="G10">
            <v>-65</v>
          </cell>
          <cell r="H10">
            <v>0.43999999999999773</v>
          </cell>
        </row>
        <row r="11">
          <cell r="A11">
            <v>150002</v>
          </cell>
          <cell r="B11" t="str">
            <v>יונדב פרי</v>
          </cell>
          <cell r="C11">
            <v>150</v>
          </cell>
          <cell r="D11">
            <v>201.89</v>
          </cell>
          <cell r="E11">
            <v>0</v>
          </cell>
          <cell r="F11">
            <v>201.89</v>
          </cell>
          <cell r="G11">
            <v>-202</v>
          </cell>
          <cell r="H11">
            <v>-0.11000000000001364</v>
          </cell>
        </row>
        <row r="12">
          <cell r="A12">
            <v>150003</v>
          </cell>
          <cell r="B12" t="str">
            <v>זלוטקין גלעד</v>
          </cell>
          <cell r="C12">
            <v>150</v>
          </cell>
          <cell r="D12">
            <v>108270</v>
          </cell>
          <cell r="E12">
            <v>0</v>
          </cell>
          <cell r="F12">
            <v>108270</v>
          </cell>
          <cell r="G12">
            <v>-108270</v>
          </cell>
          <cell r="H12">
            <v>0</v>
          </cell>
        </row>
        <row r="13">
          <cell r="A13">
            <v>310001</v>
          </cell>
          <cell r="B13" t="str">
            <v>מטול שקפים</v>
          </cell>
          <cell r="C13">
            <v>310</v>
          </cell>
          <cell r="D13">
            <v>1195</v>
          </cell>
          <cell r="E13">
            <v>0</v>
          </cell>
          <cell r="F13">
            <v>1195</v>
          </cell>
          <cell r="G13">
            <v>0</v>
          </cell>
          <cell r="H13">
            <v>1195</v>
          </cell>
        </row>
        <row r="14">
          <cell r="A14">
            <v>310002</v>
          </cell>
          <cell r="B14" t="str">
            <v>תוכנות</v>
          </cell>
          <cell r="C14">
            <v>310</v>
          </cell>
          <cell r="D14">
            <v>101075.35</v>
          </cell>
          <cell r="E14">
            <v>0</v>
          </cell>
          <cell r="F14">
            <v>101075.35</v>
          </cell>
          <cell r="G14">
            <v>0</v>
          </cell>
          <cell r="H14">
            <v>101075.35</v>
          </cell>
        </row>
        <row r="15">
          <cell r="A15">
            <v>310003</v>
          </cell>
          <cell r="B15" t="str">
            <v>ריהוט</v>
          </cell>
          <cell r="C15">
            <v>310</v>
          </cell>
          <cell r="D15">
            <v>82151.199999999997</v>
          </cell>
          <cell r="E15">
            <v>0</v>
          </cell>
          <cell r="F15">
            <v>82151.199999999997</v>
          </cell>
          <cell r="G15">
            <v>0</v>
          </cell>
          <cell r="H15">
            <v>82151.199999999997</v>
          </cell>
        </row>
        <row r="16">
          <cell r="A16">
            <v>310004</v>
          </cell>
          <cell r="B16" t="str">
            <v>ציוד משרדי</v>
          </cell>
          <cell r="C16">
            <v>310</v>
          </cell>
          <cell r="D16">
            <v>44448.79</v>
          </cell>
          <cell r="E16">
            <v>0</v>
          </cell>
          <cell r="F16">
            <v>44448.79</v>
          </cell>
          <cell r="G16">
            <v>0</v>
          </cell>
          <cell r="H16">
            <v>44448.79</v>
          </cell>
        </row>
        <row r="17">
          <cell r="A17">
            <v>310010</v>
          </cell>
          <cell r="B17" t="str">
            <v>טלפון ותקשורת</v>
          </cell>
          <cell r="C17">
            <v>310</v>
          </cell>
          <cell r="D17">
            <v>35414.839999999997</v>
          </cell>
          <cell r="E17">
            <v>0</v>
          </cell>
          <cell r="F17">
            <v>35414.839999999997</v>
          </cell>
          <cell r="G17">
            <v>0</v>
          </cell>
          <cell r="H17">
            <v>35414.839999999997</v>
          </cell>
        </row>
        <row r="18">
          <cell r="A18">
            <v>310025</v>
          </cell>
          <cell r="B18" t="str">
            <v>מחשבים</v>
          </cell>
          <cell r="C18">
            <v>310</v>
          </cell>
          <cell r="D18">
            <v>575591.80000000005</v>
          </cell>
          <cell r="E18">
            <v>0</v>
          </cell>
          <cell r="F18">
            <v>575591.80000000005</v>
          </cell>
          <cell r="G18">
            <v>0</v>
          </cell>
          <cell r="H18">
            <v>575591.80000000005</v>
          </cell>
        </row>
        <row r="19">
          <cell r="A19">
            <v>310030</v>
          </cell>
          <cell r="B19" t="str">
            <v>שיפורים במושכר</v>
          </cell>
          <cell r="C19">
            <v>310</v>
          </cell>
          <cell r="D19">
            <v>6000</v>
          </cell>
          <cell r="E19">
            <v>0</v>
          </cell>
          <cell r="F19">
            <v>6000</v>
          </cell>
          <cell r="G19">
            <v>0</v>
          </cell>
          <cell r="H19">
            <v>6000</v>
          </cell>
        </row>
        <row r="20">
          <cell r="A20">
            <v>310050</v>
          </cell>
          <cell r="B20" t="str">
            <v>מכירת רכוש קבוע</v>
          </cell>
          <cell r="C20">
            <v>310</v>
          </cell>
          <cell r="D20">
            <v>-603620</v>
          </cell>
          <cell r="E20">
            <v>0</v>
          </cell>
          <cell r="F20">
            <v>-603620</v>
          </cell>
          <cell r="G20">
            <v>0</v>
          </cell>
          <cell r="H20">
            <v>-603620</v>
          </cell>
        </row>
        <row r="21">
          <cell r="A21">
            <v>310100</v>
          </cell>
          <cell r="B21" t="str">
            <v>פחת שנצבר</v>
          </cell>
          <cell r="C21">
            <v>310</v>
          </cell>
          <cell r="D21">
            <v>-242256.98</v>
          </cell>
          <cell r="E21">
            <v>0</v>
          </cell>
          <cell r="F21">
            <v>-242256.98</v>
          </cell>
          <cell r="G21">
            <v>0</v>
          </cell>
          <cell r="H21">
            <v>-242256.98</v>
          </cell>
        </row>
        <row r="22">
          <cell r="A22">
            <v>320001</v>
          </cell>
          <cell r="B22" t="str">
            <v>השקעה בחברה בארה"ב</v>
          </cell>
          <cell r="C22">
            <v>320</v>
          </cell>
          <cell r="D22">
            <v>428136</v>
          </cell>
          <cell r="E22">
            <v>-428136</v>
          </cell>
          <cell r="F22">
            <v>0</v>
          </cell>
          <cell r="G22">
            <v>0</v>
          </cell>
          <cell r="H22">
            <v>0</v>
          </cell>
        </row>
        <row r="23">
          <cell r="A23">
            <v>440001</v>
          </cell>
          <cell r="B23" t="str">
            <v>ספקים שונים</v>
          </cell>
          <cell r="C23">
            <v>440</v>
          </cell>
          <cell r="D23">
            <v>53254.44</v>
          </cell>
          <cell r="E23">
            <v>-53255</v>
          </cell>
          <cell r="F23">
            <v>-0.55999999999767169</v>
          </cell>
          <cell r="G23">
            <v>0</v>
          </cell>
          <cell r="H23">
            <v>-0.55999999999767169</v>
          </cell>
        </row>
        <row r="24">
          <cell r="A24">
            <v>440004</v>
          </cell>
          <cell r="B24" t="str">
            <v>קלינהנדלר את הלוי</v>
          </cell>
          <cell r="C24">
            <v>440</v>
          </cell>
          <cell r="D24">
            <v>-11314</v>
          </cell>
          <cell r="E24">
            <v>11314</v>
          </cell>
          <cell r="F24">
            <v>0</v>
          </cell>
          <cell r="G24">
            <v>0</v>
          </cell>
          <cell r="H24">
            <v>0</v>
          </cell>
        </row>
        <row r="25">
          <cell r="A25">
            <v>440005</v>
          </cell>
          <cell r="B25" t="str">
            <v>ברייטמן</v>
          </cell>
          <cell r="C25">
            <v>440</v>
          </cell>
          <cell r="D25">
            <v>22008.29</v>
          </cell>
          <cell r="E25">
            <v>0</v>
          </cell>
          <cell r="F25">
            <v>22008.29</v>
          </cell>
          <cell r="G25">
            <v>0</v>
          </cell>
          <cell r="H25">
            <v>22008.29</v>
          </cell>
        </row>
        <row r="26">
          <cell r="A26">
            <v>460001</v>
          </cell>
          <cell r="B26" t="str">
            <v>מעמ תשומות</v>
          </cell>
          <cell r="C26">
            <v>460</v>
          </cell>
          <cell r="D26">
            <v>5538.88</v>
          </cell>
          <cell r="E26">
            <v>75263</v>
          </cell>
          <cell r="F26">
            <v>80801.88</v>
          </cell>
          <cell r="G26">
            <v>-80801</v>
          </cell>
          <cell r="H26">
            <v>0.88000000000465661</v>
          </cell>
        </row>
        <row r="27">
          <cell r="A27">
            <v>460003</v>
          </cell>
          <cell r="B27" t="str">
            <v>מקדמות הוצ' עודפות ומס במקור</v>
          </cell>
          <cell r="C27">
            <v>460</v>
          </cell>
          <cell r="D27">
            <v>45513.54</v>
          </cell>
          <cell r="E27">
            <v>-45513.54</v>
          </cell>
          <cell r="F27">
            <v>0</v>
          </cell>
          <cell r="G27">
            <v>0</v>
          </cell>
          <cell r="H27">
            <v>0</v>
          </cell>
        </row>
        <row r="28">
          <cell r="A28">
            <v>460010</v>
          </cell>
          <cell r="B28" t="str">
            <v>ביטוח לאומי</v>
          </cell>
          <cell r="C28">
            <v>460</v>
          </cell>
          <cell r="D28">
            <v>-70467</v>
          </cell>
          <cell r="E28">
            <v>0</v>
          </cell>
          <cell r="F28">
            <v>-70467</v>
          </cell>
          <cell r="G28">
            <v>70467</v>
          </cell>
          <cell r="H28">
            <v>0</v>
          </cell>
        </row>
        <row r="29">
          <cell r="A29">
            <v>460015</v>
          </cell>
          <cell r="B29" t="str">
            <v>מס הכנסה</v>
          </cell>
          <cell r="C29">
            <v>460</v>
          </cell>
          <cell r="D29">
            <v>-267040</v>
          </cell>
          <cell r="E29">
            <v>0</v>
          </cell>
          <cell r="F29">
            <v>-267040</v>
          </cell>
          <cell r="G29">
            <v>267040</v>
          </cell>
          <cell r="H29">
            <v>0</v>
          </cell>
        </row>
        <row r="30">
          <cell r="A30">
            <v>460020</v>
          </cell>
          <cell r="B30" t="str">
            <v>מע"מ</v>
          </cell>
          <cell r="C30">
            <v>460</v>
          </cell>
          <cell r="D30">
            <v>30779</v>
          </cell>
          <cell r="E30">
            <v>0</v>
          </cell>
          <cell r="F30">
            <v>30779</v>
          </cell>
          <cell r="G30">
            <v>-30779</v>
          </cell>
          <cell r="H30">
            <v>0</v>
          </cell>
        </row>
        <row r="31">
          <cell r="A31">
            <v>460021</v>
          </cell>
          <cell r="B31" t="str">
            <v>הוצ' לשלם</v>
          </cell>
          <cell r="C31">
            <v>460</v>
          </cell>
          <cell r="D31">
            <v>18244.54</v>
          </cell>
          <cell r="E31">
            <v>-18244</v>
          </cell>
          <cell r="F31">
            <v>0.54000000000087311</v>
          </cell>
          <cell r="G31">
            <v>0</v>
          </cell>
          <cell r="H31">
            <v>0.54000000000087311</v>
          </cell>
        </row>
        <row r="32">
          <cell r="A32">
            <v>460026</v>
          </cell>
          <cell r="B32" t="str">
            <v>הוצ' מראש</v>
          </cell>
          <cell r="C32">
            <v>460</v>
          </cell>
          <cell r="D32">
            <v>-8066.93</v>
          </cell>
          <cell r="E32">
            <v>18244</v>
          </cell>
          <cell r="F32">
            <v>10177.07</v>
          </cell>
          <cell r="G32">
            <v>-10177</v>
          </cell>
          <cell r="H32">
            <v>6.9999999999708962E-2</v>
          </cell>
        </row>
        <row r="33">
          <cell r="A33">
            <v>460031</v>
          </cell>
          <cell r="B33" t="str">
            <v>קלע ביטוחים</v>
          </cell>
          <cell r="C33">
            <v>460</v>
          </cell>
          <cell r="D33">
            <v>-58676.98</v>
          </cell>
          <cell r="E33">
            <v>0</v>
          </cell>
          <cell r="F33">
            <v>-58676.98</v>
          </cell>
          <cell r="G33">
            <v>58677</v>
          </cell>
          <cell r="H33">
            <v>1.9999999996798579E-2</v>
          </cell>
        </row>
        <row r="34">
          <cell r="A34">
            <v>460035</v>
          </cell>
          <cell r="B34" t="str">
            <v>קרן השתלמות</v>
          </cell>
          <cell r="C34">
            <v>460</v>
          </cell>
          <cell r="D34">
            <v>-110901.43</v>
          </cell>
          <cell r="E34">
            <v>0</v>
          </cell>
          <cell r="F34">
            <v>-110901.43</v>
          </cell>
          <cell r="G34">
            <v>110901</v>
          </cell>
          <cell r="H34">
            <v>-0.42999999999301508</v>
          </cell>
        </row>
        <row r="35">
          <cell r="A35">
            <v>460099</v>
          </cell>
          <cell r="B35" t="str">
            <v>מקבלי משכורות</v>
          </cell>
          <cell r="C35">
            <v>460</v>
          </cell>
          <cell r="D35">
            <v>-51506.58</v>
          </cell>
          <cell r="E35">
            <v>0</v>
          </cell>
          <cell r="F35">
            <v>-51506.58</v>
          </cell>
          <cell r="G35">
            <v>51507</v>
          </cell>
          <cell r="H35">
            <v>0.41999999999825377</v>
          </cell>
        </row>
        <row r="36">
          <cell r="A36">
            <v>460998</v>
          </cell>
          <cell r="B36" t="str">
            <v>חב' בת</v>
          </cell>
          <cell r="C36">
            <v>460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>
            <v>460999</v>
          </cell>
          <cell r="B37" t="str">
            <v>הכנסות מראש</v>
          </cell>
          <cell r="C37">
            <v>460</v>
          </cell>
          <cell r="E37">
            <v>-733000</v>
          </cell>
          <cell r="F37">
            <v>-733000</v>
          </cell>
          <cell r="G37">
            <v>733000</v>
          </cell>
          <cell r="H37">
            <v>0</v>
          </cell>
        </row>
        <row r="38">
          <cell r="A38">
            <v>610001</v>
          </cell>
          <cell r="B38" t="str">
            <v>הקצאת מניות</v>
          </cell>
          <cell r="C38">
            <v>610</v>
          </cell>
          <cell r="D38">
            <v>1302</v>
          </cell>
          <cell r="E38">
            <v>0</v>
          </cell>
          <cell r="F38">
            <v>1302</v>
          </cell>
          <cell r="G38">
            <v>0</v>
          </cell>
          <cell r="H38">
            <v>1302</v>
          </cell>
        </row>
        <row r="39">
          <cell r="A39">
            <v>610005</v>
          </cell>
          <cell r="B39" t="str">
            <v>תקבולים ע"ח הון מניות</v>
          </cell>
          <cell r="C39">
            <v>610</v>
          </cell>
          <cell r="D39">
            <v>-15889550</v>
          </cell>
          <cell r="E39">
            <v>5688300</v>
          </cell>
          <cell r="F39">
            <v>-10201250</v>
          </cell>
          <cell r="G39">
            <v>0</v>
          </cell>
          <cell r="H39">
            <v>-10201250</v>
          </cell>
        </row>
        <row r="40">
          <cell r="A40">
            <v>610010</v>
          </cell>
          <cell r="B40" t="str">
            <v>הוצאות הקצאת מניות</v>
          </cell>
          <cell r="C40">
            <v>610</v>
          </cell>
          <cell r="D40">
            <v>121052.5</v>
          </cell>
          <cell r="E40">
            <v>0</v>
          </cell>
          <cell r="F40">
            <v>121052.5</v>
          </cell>
          <cell r="G40">
            <v>0</v>
          </cell>
          <cell r="H40">
            <v>121052.5</v>
          </cell>
        </row>
        <row r="41">
          <cell r="A41">
            <v>610025</v>
          </cell>
          <cell r="B41" t="str">
            <v>עתודה לחופשה</v>
          </cell>
          <cell r="C41">
            <v>610</v>
          </cell>
          <cell r="D41">
            <v>-94404</v>
          </cell>
          <cell r="E41">
            <v>-146292</v>
          </cell>
          <cell r="F41">
            <v>-240696</v>
          </cell>
          <cell r="G41">
            <v>240696</v>
          </cell>
          <cell r="H41">
            <v>0</v>
          </cell>
        </row>
        <row r="42">
          <cell r="A42">
            <v>610026</v>
          </cell>
          <cell r="B42" t="str">
            <v>עתודה לפיצויים</v>
          </cell>
          <cell r="C42">
            <v>610</v>
          </cell>
          <cell r="D42">
            <v>-71000</v>
          </cell>
          <cell r="E42">
            <v>31419</v>
          </cell>
          <cell r="F42">
            <v>-39581</v>
          </cell>
          <cell r="G42">
            <v>39581</v>
          </cell>
          <cell r="H42">
            <v>0</v>
          </cell>
        </row>
        <row r="43">
          <cell r="A43">
            <v>610050</v>
          </cell>
          <cell r="B43" t="str">
            <v>י.פ. עודפים</v>
          </cell>
          <cell r="C43">
            <v>610</v>
          </cell>
          <cell r="D43">
            <v>6302684.0999999996</v>
          </cell>
          <cell r="E43">
            <v>0</v>
          </cell>
          <cell r="F43">
            <v>6302684.0999999996</v>
          </cell>
          <cell r="G43">
            <v>0</v>
          </cell>
          <cell r="H43">
            <v>6302684.0999999996</v>
          </cell>
        </row>
        <row r="44">
          <cell r="A44">
            <v>710001</v>
          </cell>
          <cell r="B44" t="str">
            <v>מכירות</v>
          </cell>
          <cell r="C44">
            <v>710</v>
          </cell>
          <cell r="D44">
            <v>-1800000</v>
          </cell>
          <cell r="E44">
            <v>-4772000</v>
          </cell>
          <cell r="F44">
            <v>-6572000</v>
          </cell>
          <cell r="G44">
            <v>0</v>
          </cell>
          <cell r="H44">
            <v>-6572000</v>
          </cell>
        </row>
        <row r="45">
          <cell r="A45">
            <v>720001</v>
          </cell>
          <cell r="B45" t="str">
            <v>הכנסות מריבית</v>
          </cell>
          <cell r="C45">
            <v>720</v>
          </cell>
          <cell r="D45">
            <v>-53882.55</v>
          </cell>
          <cell r="E45">
            <v>0</v>
          </cell>
          <cell r="F45">
            <v>-53882.55</v>
          </cell>
          <cell r="G45">
            <v>0</v>
          </cell>
          <cell r="H45">
            <v>-53882.55</v>
          </cell>
        </row>
        <row r="46">
          <cell r="A46">
            <v>820001</v>
          </cell>
          <cell r="B46" t="str">
            <v>משכורות</v>
          </cell>
          <cell r="C46">
            <v>820</v>
          </cell>
          <cell r="D46">
            <v>2308650.4700000002</v>
          </cell>
          <cell r="E46">
            <v>0</v>
          </cell>
          <cell r="F46">
            <v>2308650.4700000002</v>
          </cell>
          <cell r="G46">
            <v>5477000</v>
          </cell>
          <cell r="H46">
            <v>7785650.4700000007</v>
          </cell>
        </row>
        <row r="47">
          <cell r="A47">
            <v>820002</v>
          </cell>
          <cell r="B47" t="str">
            <v>אחזקת רכב ונסיעות</v>
          </cell>
          <cell r="C47">
            <v>820</v>
          </cell>
          <cell r="D47">
            <v>10958.1</v>
          </cell>
          <cell r="E47">
            <v>0</v>
          </cell>
          <cell r="F47">
            <v>10958.1</v>
          </cell>
          <cell r="G47">
            <v>0</v>
          </cell>
          <cell r="H47">
            <v>10958.1</v>
          </cell>
        </row>
        <row r="48">
          <cell r="A48">
            <v>820003</v>
          </cell>
          <cell r="B48" t="str">
            <v>תוספות</v>
          </cell>
          <cell r="C48">
            <v>820</v>
          </cell>
          <cell r="D48">
            <v>171358.63</v>
          </cell>
          <cell r="E48">
            <v>0</v>
          </cell>
          <cell r="F48">
            <v>171358.63</v>
          </cell>
          <cell r="G48">
            <v>0</v>
          </cell>
          <cell r="H48">
            <v>171358.63</v>
          </cell>
        </row>
        <row r="49">
          <cell r="A49">
            <v>820004</v>
          </cell>
          <cell r="B49" t="str">
            <v>דמי הבראה</v>
          </cell>
          <cell r="C49">
            <v>820</v>
          </cell>
          <cell r="D49">
            <v>50715</v>
          </cell>
          <cell r="E49">
            <v>0</v>
          </cell>
          <cell r="F49">
            <v>50715</v>
          </cell>
          <cell r="G49">
            <v>0</v>
          </cell>
          <cell r="H49">
            <v>50715</v>
          </cell>
        </row>
        <row r="50">
          <cell r="A50">
            <v>820005</v>
          </cell>
          <cell r="B50" t="str">
            <v>ביטוח לאומי הוצ</v>
          </cell>
          <cell r="C50">
            <v>820</v>
          </cell>
          <cell r="D50">
            <v>86905.91</v>
          </cell>
          <cell r="E50">
            <v>0</v>
          </cell>
          <cell r="F50">
            <v>86905.91</v>
          </cell>
          <cell r="G50">
            <v>0</v>
          </cell>
          <cell r="H50">
            <v>86905.91</v>
          </cell>
        </row>
        <row r="51">
          <cell r="A51">
            <v>820006</v>
          </cell>
          <cell r="B51" t="str">
            <v>הפרשות לגמל וא.כ.ע</v>
          </cell>
          <cell r="C51">
            <v>820</v>
          </cell>
          <cell r="D51">
            <v>98016.91</v>
          </cell>
          <cell r="E51">
            <v>0</v>
          </cell>
          <cell r="F51">
            <v>98016.91</v>
          </cell>
          <cell r="G51">
            <v>0</v>
          </cell>
          <cell r="H51">
            <v>98016.91</v>
          </cell>
        </row>
        <row r="52">
          <cell r="A52">
            <v>820007</v>
          </cell>
          <cell r="B52" t="str">
            <v>הפרשות לקרן השתלמות</v>
          </cell>
          <cell r="C52">
            <v>820</v>
          </cell>
          <cell r="D52">
            <v>169964.21</v>
          </cell>
          <cell r="E52">
            <v>0</v>
          </cell>
          <cell r="F52">
            <v>169964.21</v>
          </cell>
          <cell r="G52">
            <v>0</v>
          </cell>
          <cell r="H52">
            <v>169964.21</v>
          </cell>
        </row>
        <row r="53">
          <cell r="A53">
            <v>820008</v>
          </cell>
          <cell r="B53" t="str">
            <v>הפרשות לפיצויים</v>
          </cell>
          <cell r="C53">
            <v>820</v>
          </cell>
          <cell r="D53">
            <v>145179.26</v>
          </cell>
          <cell r="E53">
            <v>-31419</v>
          </cell>
          <cell r="F53">
            <v>113760.26000000001</v>
          </cell>
          <cell r="G53">
            <v>0</v>
          </cell>
          <cell r="H53">
            <v>113760.26000000001</v>
          </cell>
        </row>
        <row r="54">
          <cell r="A54">
            <v>820019</v>
          </cell>
          <cell r="B54" t="str">
            <v>ארוחות לעובדים</v>
          </cell>
          <cell r="C54">
            <v>820</v>
          </cell>
          <cell r="D54">
            <v>16760.939999999999</v>
          </cell>
          <cell r="E54">
            <v>0</v>
          </cell>
          <cell r="F54">
            <v>16760.939999999999</v>
          </cell>
          <cell r="G54">
            <v>0</v>
          </cell>
          <cell r="H54">
            <v>16760.939999999999</v>
          </cell>
        </row>
        <row r="55">
          <cell r="A55">
            <v>820020</v>
          </cell>
          <cell r="B55" t="str">
            <v>שווי זקיפות הכנסה</v>
          </cell>
          <cell r="C55">
            <v>820</v>
          </cell>
          <cell r="D55">
            <v>57400.17</v>
          </cell>
          <cell r="E55">
            <v>0</v>
          </cell>
          <cell r="F55">
            <v>57400.17</v>
          </cell>
          <cell r="G55">
            <v>0</v>
          </cell>
          <cell r="H55">
            <v>57400.17</v>
          </cell>
        </row>
        <row r="56">
          <cell r="A56">
            <v>820021</v>
          </cell>
          <cell r="B56" t="str">
            <v>שווי זקיפות הכנסה - חש.נגדי</v>
          </cell>
          <cell r="C56">
            <v>820</v>
          </cell>
          <cell r="D56">
            <v>-16775.169999999998</v>
          </cell>
          <cell r="E56">
            <v>0</v>
          </cell>
          <cell r="F56">
            <v>-16775.169999999998</v>
          </cell>
          <cell r="G56">
            <v>0</v>
          </cell>
          <cell r="H56">
            <v>-16775.169999999998</v>
          </cell>
        </row>
        <row r="57">
          <cell r="A57">
            <v>820998</v>
          </cell>
          <cell r="B57" t="str">
            <v>הפרשות לחופשה</v>
          </cell>
          <cell r="C57">
            <v>820</v>
          </cell>
          <cell r="E57">
            <v>146292</v>
          </cell>
          <cell r="F57">
            <v>146292</v>
          </cell>
          <cell r="G57">
            <v>0</v>
          </cell>
          <cell r="H57">
            <v>146292</v>
          </cell>
        </row>
        <row r="58">
          <cell r="A58">
            <v>820999</v>
          </cell>
          <cell r="B58" t="str">
            <v>הוצ' מחיקת מק' על עודפות</v>
          </cell>
          <cell r="C58">
            <v>820</v>
          </cell>
          <cell r="E58">
            <v>45513.54</v>
          </cell>
          <cell r="F58">
            <v>45513.54</v>
          </cell>
          <cell r="G58">
            <v>0</v>
          </cell>
          <cell r="H58">
            <v>45513.54</v>
          </cell>
        </row>
        <row r="59">
          <cell r="A59">
            <v>850001</v>
          </cell>
          <cell r="B59" t="str">
            <v>חומרים כלים וחלקים</v>
          </cell>
          <cell r="C59">
            <v>850</v>
          </cell>
          <cell r="D59">
            <v>8356.24</v>
          </cell>
          <cell r="E59">
            <v>0</v>
          </cell>
          <cell r="F59">
            <v>8356.24</v>
          </cell>
          <cell r="G59">
            <v>0</v>
          </cell>
          <cell r="H59">
            <v>8356.24</v>
          </cell>
        </row>
        <row r="60">
          <cell r="A60">
            <v>850002</v>
          </cell>
          <cell r="B60" t="str">
            <v>תשלום שרותים וקבלני משנה</v>
          </cell>
          <cell r="C60">
            <v>850</v>
          </cell>
          <cell r="D60">
            <v>72404.479999999996</v>
          </cell>
          <cell r="E60">
            <v>0</v>
          </cell>
          <cell r="F60">
            <v>72404.479999999996</v>
          </cell>
          <cell r="G60">
            <v>0</v>
          </cell>
          <cell r="H60">
            <v>72404.479999999996</v>
          </cell>
        </row>
        <row r="61">
          <cell r="A61">
            <v>850003</v>
          </cell>
          <cell r="B61" t="str">
            <v>אחזקה ותיקון הציוד</v>
          </cell>
          <cell r="C61">
            <v>850</v>
          </cell>
          <cell r="D61">
            <v>7713.5</v>
          </cell>
          <cell r="E61">
            <v>0</v>
          </cell>
          <cell r="F61">
            <v>7713.5</v>
          </cell>
          <cell r="G61">
            <v>0</v>
          </cell>
          <cell r="H61">
            <v>7713.5</v>
          </cell>
        </row>
        <row r="62">
          <cell r="A62">
            <v>850005</v>
          </cell>
          <cell r="B62" t="str">
            <v>שרותי תוכנה</v>
          </cell>
          <cell r="C62">
            <v>850</v>
          </cell>
          <cell r="D62">
            <v>199291.81</v>
          </cell>
          <cell r="E62">
            <v>0</v>
          </cell>
          <cell r="F62">
            <v>199291.81</v>
          </cell>
          <cell r="G62">
            <v>0</v>
          </cell>
          <cell r="H62">
            <v>199291.81</v>
          </cell>
        </row>
        <row r="63">
          <cell r="A63">
            <v>850100</v>
          </cell>
          <cell r="B63" t="str">
            <v>פחת ציוד ומכשירים</v>
          </cell>
          <cell r="C63">
            <v>850</v>
          </cell>
          <cell r="D63">
            <v>105956.98</v>
          </cell>
          <cell r="E63">
            <v>0</v>
          </cell>
          <cell r="F63">
            <v>105956.98</v>
          </cell>
          <cell r="G63">
            <v>0</v>
          </cell>
          <cell r="H63">
            <v>105956.98</v>
          </cell>
        </row>
        <row r="64">
          <cell r="A64">
            <v>910001</v>
          </cell>
          <cell r="B64" t="str">
            <v>משרדיות</v>
          </cell>
          <cell r="C64">
            <v>910</v>
          </cell>
          <cell r="D64">
            <v>71986.25</v>
          </cell>
          <cell r="E64">
            <v>0</v>
          </cell>
          <cell r="F64">
            <v>71986.25</v>
          </cell>
          <cell r="G64">
            <v>507000</v>
          </cell>
          <cell r="H64">
            <v>578986.25</v>
          </cell>
        </row>
        <row r="65">
          <cell r="A65">
            <v>910002</v>
          </cell>
          <cell r="B65" t="str">
            <v>דואר וטלפון</v>
          </cell>
          <cell r="C65">
            <v>910</v>
          </cell>
          <cell r="D65">
            <v>77148.55</v>
          </cell>
          <cell r="E65">
            <v>0</v>
          </cell>
          <cell r="F65">
            <v>77148.55</v>
          </cell>
          <cell r="G65">
            <v>0</v>
          </cell>
          <cell r="H65">
            <v>77148.55</v>
          </cell>
        </row>
        <row r="66">
          <cell r="A66">
            <v>910003</v>
          </cell>
          <cell r="B66" t="str">
            <v>שליחויות ונסיעות בתפקיד</v>
          </cell>
          <cell r="C66">
            <v>910</v>
          </cell>
          <cell r="D66">
            <v>20227.63</v>
          </cell>
          <cell r="E66">
            <v>0</v>
          </cell>
          <cell r="F66">
            <v>20227.63</v>
          </cell>
          <cell r="G66">
            <v>0</v>
          </cell>
          <cell r="H66">
            <v>20227.63</v>
          </cell>
        </row>
        <row r="67">
          <cell r="A67">
            <v>910004</v>
          </cell>
          <cell r="B67" t="str">
            <v>ארו וכיבוד במשרד</v>
          </cell>
          <cell r="C67">
            <v>910</v>
          </cell>
          <cell r="D67">
            <v>17501.849999999999</v>
          </cell>
          <cell r="E67">
            <v>0</v>
          </cell>
          <cell r="F67">
            <v>17501.849999999999</v>
          </cell>
          <cell r="G67">
            <v>0</v>
          </cell>
          <cell r="H67">
            <v>17501.849999999999</v>
          </cell>
        </row>
        <row r="68">
          <cell r="A68">
            <v>910005</v>
          </cell>
          <cell r="B68" t="str">
            <v>ארוח וכיבוד אורחים</v>
          </cell>
          <cell r="C68">
            <v>910</v>
          </cell>
          <cell r="D68">
            <v>1702.1</v>
          </cell>
          <cell r="E68">
            <v>0</v>
          </cell>
          <cell r="F68">
            <v>1702.1</v>
          </cell>
          <cell r="G68">
            <v>0</v>
          </cell>
          <cell r="H68">
            <v>1702.1</v>
          </cell>
        </row>
        <row r="69">
          <cell r="A69">
            <v>910010</v>
          </cell>
          <cell r="B69" t="str">
            <v>שכר דירה ואחזקת המשרד</v>
          </cell>
          <cell r="C69">
            <v>910</v>
          </cell>
          <cell r="D69">
            <v>110238.11</v>
          </cell>
          <cell r="E69">
            <v>0</v>
          </cell>
          <cell r="F69">
            <v>110238.11</v>
          </cell>
          <cell r="G69">
            <v>0</v>
          </cell>
          <cell r="H69">
            <v>110238.11</v>
          </cell>
        </row>
        <row r="70">
          <cell r="A70">
            <v>910015</v>
          </cell>
          <cell r="B70" t="str">
            <v>ביטוחים</v>
          </cell>
          <cell r="C70">
            <v>910</v>
          </cell>
          <cell r="D70">
            <v>93415.84</v>
          </cell>
          <cell r="E70">
            <v>-79200</v>
          </cell>
          <cell r="F70">
            <v>14215.839999999997</v>
          </cell>
          <cell r="G70">
            <v>0</v>
          </cell>
          <cell r="H70">
            <v>14215.839999999997</v>
          </cell>
        </row>
        <row r="71">
          <cell r="A71">
            <v>910016</v>
          </cell>
          <cell r="B71" t="str">
            <v>ביקורת חשבונות</v>
          </cell>
          <cell r="C71">
            <v>910</v>
          </cell>
          <cell r="D71">
            <v>137582</v>
          </cell>
          <cell r="E71">
            <v>0</v>
          </cell>
          <cell r="F71">
            <v>137582</v>
          </cell>
          <cell r="G71">
            <v>0</v>
          </cell>
          <cell r="H71">
            <v>137582</v>
          </cell>
        </row>
        <row r="72">
          <cell r="A72">
            <v>910017</v>
          </cell>
          <cell r="B72" t="str">
            <v>יעוץ משפטי</v>
          </cell>
          <cell r="C72">
            <v>910</v>
          </cell>
          <cell r="D72">
            <v>552070.76</v>
          </cell>
          <cell r="E72">
            <v>-11314</v>
          </cell>
          <cell r="F72">
            <v>540756.76</v>
          </cell>
          <cell r="G72">
            <v>0</v>
          </cell>
          <cell r="H72">
            <v>540756.76</v>
          </cell>
        </row>
        <row r="73">
          <cell r="A73">
            <v>910020</v>
          </cell>
          <cell r="B73" t="str">
            <v>ספרות מקצועית והשתלמויות</v>
          </cell>
          <cell r="C73">
            <v>910</v>
          </cell>
          <cell r="D73">
            <v>19979.7</v>
          </cell>
          <cell r="E73">
            <v>0</v>
          </cell>
          <cell r="F73">
            <v>19979.7</v>
          </cell>
          <cell r="G73">
            <v>0</v>
          </cell>
          <cell r="H73">
            <v>19979.7</v>
          </cell>
        </row>
        <row r="74">
          <cell r="A74">
            <v>910025</v>
          </cell>
          <cell r="B74" t="str">
            <v>השתתפות בתערוכות וירידים</v>
          </cell>
          <cell r="C74">
            <v>910</v>
          </cell>
          <cell r="D74">
            <v>156795.62</v>
          </cell>
          <cell r="E74">
            <v>79200</v>
          </cell>
          <cell r="F74">
            <v>235995.62</v>
          </cell>
          <cell r="G74">
            <v>0</v>
          </cell>
          <cell r="H74">
            <v>235995.62</v>
          </cell>
        </row>
        <row r="75">
          <cell r="A75">
            <v>910026</v>
          </cell>
          <cell r="B75" t="str">
            <v>פרסום יחסי ציבור ושווק</v>
          </cell>
          <cell r="C75">
            <v>910</v>
          </cell>
          <cell r="D75">
            <v>26305.98</v>
          </cell>
          <cell r="E75">
            <v>0</v>
          </cell>
          <cell r="F75">
            <v>26305.98</v>
          </cell>
          <cell r="G75">
            <v>0</v>
          </cell>
          <cell r="H75">
            <v>26305.98</v>
          </cell>
        </row>
        <row r="76">
          <cell r="A76">
            <v>910030</v>
          </cell>
          <cell r="B76" t="str">
            <v>אחזקת רכב שכור</v>
          </cell>
          <cell r="C76">
            <v>910</v>
          </cell>
          <cell r="D76">
            <v>154160.1</v>
          </cell>
          <cell r="E76">
            <v>0</v>
          </cell>
          <cell r="F76">
            <v>154160.1</v>
          </cell>
          <cell r="G76">
            <v>0</v>
          </cell>
          <cell r="H76">
            <v>154160.1</v>
          </cell>
        </row>
        <row r="77">
          <cell r="A77">
            <v>910035</v>
          </cell>
          <cell r="B77" t="str">
            <v>ארועים משרדיים</v>
          </cell>
          <cell r="C77">
            <v>910</v>
          </cell>
          <cell r="D77">
            <v>110525.8</v>
          </cell>
          <cell r="E77">
            <v>0</v>
          </cell>
          <cell r="F77">
            <v>110525.8</v>
          </cell>
          <cell r="G77">
            <v>0</v>
          </cell>
          <cell r="H77">
            <v>110525.8</v>
          </cell>
        </row>
        <row r="78">
          <cell r="A78">
            <v>910050</v>
          </cell>
          <cell r="B78" t="str">
            <v>נסיעות לחו"ל - ש. דהן</v>
          </cell>
          <cell r="C78">
            <v>910</v>
          </cell>
          <cell r="D78">
            <v>71236.33</v>
          </cell>
          <cell r="E78">
            <v>0</v>
          </cell>
          <cell r="F78">
            <v>71236.33</v>
          </cell>
          <cell r="G78">
            <v>39000</v>
          </cell>
          <cell r="H78">
            <v>110236.33</v>
          </cell>
        </row>
        <row r="79">
          <cell r="A79">
            <v>910051</v>
          </cell>
          <cell r="B79" t="str">
            <v>נסיעות לחו"ל - אריק הדס</v>
          </cell>
          <cell r="C79">
            <v>910</v>
          </cell>
          <cell r="D79">
            <v>10200</v>
          </cell>
          <cell r="E79">
            <v>0</v>
          </cell>
          <cell r="F79">
            <v>10200</v>
          </cell>
          <cell r="G79">
            <v>0</v>
          </cell>
          <cell r="H79">
            <v>10200</v>
          </cell>
        </row>
        <row r="80">
          <cell r="A80">
            <v>910052</v>
          </cell>
          <cell r="B80" t="str">
            <v>נסיעות לחו"ל - אמיר אייל</v>
          </cell>
          <cell r="C80">
            <v>910</v>
          </cell>
          <cell r="D80">
            <v>10101.27</v>
          </cell>
          <cell r="E80">
            <v>0</v>
          </cell>
          <cell r="F80">
            <v>10101.27</v>
          </cell>
          <cell r="G80">
            <v>0</v>
          </cell>
          <cell r="H80">
            <v>10101.27</v>
          </cell>
        </row>
        <row r="81">
          <cell r="A81">
            <v>910053</v>
          </cell>
          <cell r="B81" t="str">
            <v>נסיעות לחו"ל - אייל הרצוג</v>
          </cell>
          <cell r="C81">
            <v>910</v>
          </cell>
          <cell r="D81">
            <v>100350.87</v>
          </cell>
          <cell r="E81">
            <v>0</v>
          </cell>
          <cell r="F81">
            <v>100350.87</v>
          </cell>
          <cell r="G81">
            <v>0</v>
          </cell>
          <cell r="H81">
            <v>100350.87</v>
          </cell>
        </row>
        <row r="82">
          <cell r="A82">
            <v>910054</v>
          </cell>
          <cell r="B82" t="str">
            <v>נסיעות לחו"ל - ערד נווה</v>
          </cell>
          <cell r="C82">
            <v>910</v>
          </cell>
          <cell r="D82">
            <v>158454.54999999999</v>
          </cell>
          <cell r="E82">
            <v>-1836</v>
          </cell>
          <cell r="F82">
            <v>156618.54999999999</v>
          </cell>
          <cell r="G82">
            <v>0</v>
          </cell>
          <cell r="H82">
            <v>156618.54999999999</v>
          </cell>
        </row>
        <row r="83">
          <cell r="A83">
            <v>910055</v>
          </cell>
          <cell r="B83" t="str">
            <v>נסיעות לחו"ל - פרנפס איציק</v>
          </cell>
          <cell r="C83">
            <v>910</v>
          </cell>
          <cell r="D83">
            <v>35703.629999999997</v>
          </cell>
          <cell r="E83">
            <v>0</v>
          </cell>
          <cell r="F83">
            <v>35703.629999999997</v>
          </cell>
          <cell r="G83">
            <v>0</v>
          </cell>
          <cell r="H83">
            <v>35703.629999999997</v>
          </cell>
        </row>
        <row r="84">
          <cell r="A84">
            <v>910056</v>
          </cell>
          <cell r="B84" t="str">
            <v>נסיעות לחו"ל - שי מוהבן</v>
          </cell>
          <cell r="C84">
            <v>910</v>
          </cell>
          <cell r="D84">
            <v>27057.200000000001</v>
          </cell>
          <cell r="E84">
            <v>0</v>
          </cell>
          <cell r="F84">
            <v>27057.200000000001</v>
          </cell>
          <cell r="G84">
            <v>0</v>
          </cell>
          <cell r="H84">
            <v>27057.200000000001</v>
          </cell>
        </row>
        <row r="85">
          <cell r="A85">
            <v>910057</v>
          </cell>
          <cell r="B85" t="str">
            <v>נסיעות לחו"ל - גלעד זלוטקין</v>
          </cell>
          <cell r="C85">
            <v>910</v>
          </cell>
          <cell r="D85">
            <v>25340.639999999999</v>
          </cell>
          <cell r="E85">
            <v>0</v>
          </cell>
          <cell r="F85">
            <v>25340.639999999999</v>
          </cell>
          <cell r="G85">
            <v>0</v>
          </cell>
          <cell r="H85">
            <v>25340.639999999999</v>
          </cell>
        </row>
        <row r="86">
          <cell r="A86">
            <v>910058</v>
          </cell>
          <cell r="B86" t="str">
            <v>נסיעות לחו"ל - כהן רון</v>
          </cell>
          <cell r="C86">
            <v>910</v>
          </cell>
          <cell r="D86">
            <v>38137.74</v>
          </cell>
          <cell r="E86">
            <v>0</v>
          </cell>
          <cell r="F86">
            <v>38137.74</v>
          </cell>
          <cell r="G86">
            <v>0</v>
          </cell>
          <cell r="H86">
            <v>38137.74</v>
          </cell>
        </row>
        <row r="87">
          <cell r="A87">
            <v>910059</v>
          </cell>
          <cell r="B87" t="str">
            <v>נסיעות לחו"ל - ארתור</v>
          </cell>
          <cell r="C87">
            <v>910</v>
          </cell>
          <cell r="D87">
            <v>7775.96</v>
          </cell>
          <cell r="E87">
            <v>0</v>
          </cell>
          <cell r="F87">
            <v>7775.96</v>
          </cell>
          <cell r="G87">
            <v>0</v>
          </cell>
          <cell r="H87">
            <v>7775.96</v>
          </cell>
        </row>
        <row r="88">
          <cell r="A88">
            <v>910060</v>
          </cell>
          <cell r="B88" t="str">
            <v>נסיעות לחו"ל - ניצן</v>
          </cell>
          <cell r="C88">
            <v>910</v>
          </cell>
          <cell r="D88">
            <v>7538</v>
          </cell>
          <cell r="E88">
            <v>0</v>
          </cell>
          <cell r="F88">
            <v>7538</v>
          </cell>
          <cell r="G88">
            <v>0</v>
          </cell>
          <cell r="H88">
            <v>7538</v>
          </cell>
        </row>
        <row r="89">
          <cell r="A89">
            <v>910075</v>
          </cell>
          <cell r="B89" t="str">
            <v>אחזקת המשרד בקליפורניה</v>
          </cell>
          <cell r="C89">
            <v>910</v>
          </cell>
          <cell r="D89">
            <v>1954969</v>
          </cell>
          <cell r="E89">
            <v>119384</v>
          </cell>
          <cell r="F89">
            <v>2074353</v>
          </cell>
          <cell r="G89">
            <v>0</v>
          </cell>
          <cell r="H89">
            <v>2074353</v>
          </cell>
        </row>
        <row r="90">
          <cell r="A90">
            <v>910200</v>
          </cell>
          <cell r="B90" t="str">
            <v>פחת ריהוט וציוד משרדי</v>
          </cell>
          <cell r="C90">
            <v>910</v>
          </cell>
          <cell r="D90">
            <v>5666</v>
          </cell>
          <cell r="E90">
            <v>0</v>
          </cell>
          <cell r="F90">
            <v>5666</v>
          </cell>
          <cell r="G90">
            <v>0</v>
          </cell>
          <cell r="H90">
            <v>5666</v>
          </cell>
        </row>
        <row r="91">
          <cell r="A91">
            <v>911050</v>
          </cell>
          <cell r="B91" t="str">
            <v>נסיעות שי מוהבן 1/98</v>
          </cell>
          <cell r="C91">
            <v>911</v>
          </cell>
          <cell r="D91">
            <v>14806.95</v>
          </cell>
          <cell r="E91">
            <v>0</v>
          </cell>
          <cell r="F91">
            <v>14806.95</v>
          </cell>
          <cell r="G91">
            <v>0</v>
          </cell>
          <cell r="H91">
            <v>14806.95</v>
          </cell>
        </row>
        <row r="92">
          <cell r="A92">
            <v>920001</v>
          </cell>
          <cell r="B92" t="str">
            <v>ריבית ועמלות בנק</v>
          </cell>
          <cell r="C92">
            <v>920</v>
          </cell>
          <cell r="D92">
            <v>-53360.72</v>
          </cell>
          <cell r="E92">
            <v>0</v>
          </cell>
          <cell r="F92">
            <v>-53360.72</v>
          </cell>
          <cell r="G92">
            <v>389000</v>
          </cell>
          <cell r="H92">
            <v>335639.28</v>
          </cell>
        </row>
        <row r="93">
          <cell r="A93">
            <v>930999</v>
          </cell>
          <cell r="B93" t="str">
            <v>רווחי אקוויטי</v>
          </cell>
          <cell r="C93">
            <v>930</v>
          </cell>
          <cell r="E93">
            <v>126913</v>
          </cell>
          <cell r="F93">
            <v>126913</v>
          </cell>
          <cell r="G93">
            <v>0</v>
          </cell>
          <cell r="H93">
            <v>126913</v>
          </cell>
        </row>
      </sheetData>
      <sheetData sheetId="1"/>
      <sheetData sheetId="2"/>
      <sheetData sheetId="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DC"/>
      <sheetName val="RSA"/>
      <sheetName val="TB 2012"/>
      <sheetName val="GL2012"/>
      <sheetName val="בדיקות"/>
      <sheetName val="שווי"/>
      <sheetName val="Vouchers"/>
      <sheetName val="PS"/>
      <sheetName val="Concur-meals"/>
      <sheetName val="Gifts"/>
      <sheetName val="Tuition"/>
      <sheetName val="Sheet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שכר החודש"/>
      <sheetName val="פיצויים "/>
      <sheetName val="Vacation"/>
      <sheetName val="חופשה"/>
      <sheetName val="הוצאות רכב"/>
      <sheetName val="הוצ' לשלם"/>
      <sheetName val="הוצ'  מראש"/>
      <sheetName val="לקוחות"/>
      <sheetName val="העמסת נסיעות לחול"/>
      <sheetName val="העמסת רכב"/>
      <sheetName val="העמסות שכר inc"/>
      <sheetName val="הוצאות שכר להעמסה"/>
      <sheetName val="העמסת עלויות"/>
      <sheetName val="העמסת מילואים"/>
      <sheetName val="גיליון1"/>
      <sheetName val="גיליון2"/>
      <sheetName val="גיליון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ט1392ד"/>
      <sheetName val="נ'4"/>
      <sheetName val="נ'6"/>
      <sheetName val="נ'7"/>
      <sheetName val="ר'7(1)"/>
      <sheetName val="ר'7(2)"/>
      <sheetName val="ר'7(3)"/>
      <sheetName val="ר'7(4)"/>
      <sheetName val="index"/>
      <sheetName val="סייג מסים+מס ביתר"/>
      <sheetName val="תעודה א"/>
      <sheetName val="פרופורמת מס אלפא"/>
      <sheetName val="פרופורמת מס מדריכי פנאי"/>
      <sheetName val="נסיעות לחו&quot;ל"/>
      <sheetName val=" עודפות"/>
      <sheetName val="חוז מס "/>
      <sheetName val="ניתוח המיסי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5">
          <cell r="B5">
            <v>169.23</v>
          </cell>
        </row>
        <row r="8">
          <cell r="B8">
            <v>171.08</v>
          </cell>
        </row>
        <row r="9">
          <cell r="B9">
            <v>171.58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קבוצת טלדור"/>
      <sheetName val="אלדור"/>
      <sheetName val="טנדם"/>
      <sheetName val="הרכבה מאוחד"/>
      <sheetName val="אינדקס"/>
      <sheetName val="הרכבה"/>
      <sheetName val="מאזן בוחן"/>
      <sheetName val="איחוד"/>
      <sheetName val="תזרים"/>
      <sheetName val="פרוטים"/>
      <sheetName val="TAL397"/>
      <sheetName val="נתונים"/>
      <sheetName val="28.2.02"/>
      <sheetName val="index"/>
      <sheetName val="קבוצת_טלדור"/>
      <sheetName val="הרכבה_מאוחד"/>
      <sheetName val="מאזן_בוחן"/>
      <sheetName val="לוח מפתחות העמסה"/>
      <sheetName val="טבלאות"/>
      <sheetName val="תעודה א"/>
      <sheetName val="קבוצת_טלדור4"/>
      <sheetName val="הרכבה_מאוחד4"/>
      <sheetName val="מאזן_בוחן4"/>
      <sheetName val="קבוצת_טלדור1"/>
      <sheetName val="הרכבה_מאוחד1"/>
      <sheetName val="מאזן_בוחן1"/>
      <sheetName val="קבוצת_טלדור2"/>
      <sheetName val="הרכבה_מאוחד2"/>
      <sheetName val="מאזן_בוחן2"/>
      <sheetName val="קבוצת_טלדור3"/>
      <sheetName val="הרכבה_מאוחד3"/>
      <sheetName val="מאזן_בוחן3"/>
      <sheetName val="קבוצת_טלדור6"/>
      <sheetName val="הרכבה_מאוחד6"/>
      <sheetName val="מאזן_בוחן6"/>
      <sheetName val="קבוצת_טלדור5"/>
      <sheetName val="הרכבה_מאוחד5"/>
      <sheetName val="מאזן_בוחן5"/>
      <sheetName val="קבוצת_טלדור7"/>
      <sheetName val="הרכבה_מאוחד7"/>
      <sheetName val="מאזן_בוחן7"/>
      <sheetName val="קבוצת_טלדור8"/>
      <sheetName val="הרכבה_מאוחד8"/>
      <sheetName val="מאזן_בוחן8"/>
      <sheetName val="Graph_Detail"/>
    </sheetNames>
    <sheetDataSet>
      <sheetData sheetId="0" refreshError="1">
        <row r="6">
          <cell r="C6">
            <v>488</v>
          </cell>
          <cell r="D6">
            <v>327</v>
          </cell>
          <cell r="E6">
            <v>2</v>
          </cell>
          <cell r="F6">
            <v>817</v>
          </cell>
          <cell r="K6">
            <v>817</v>
          </cell>
          <cell r="N6">
            <v>87</v>
          </cell>
          <cell r="O6">
            <v>2</v>
          </cell>
          <cell r="P6">
            <v>401</v>
          </cell>
          <cell r="S6">
            <v>488</v>
          </cell>
          <cell r="T6">
            <v>488</v>
          </cell>
          <cell r="W6">
            <v>-1316</v>
          </cell>
          <cell r="X6">
            <v>2</v>
          </cell>
          <cell r="Y6">
            <v>1643</v>
          </cell>
          <cell r="AB6">
            <v>327</v>
          </cell>
          <cell r="AC6">
            <v>327</v>
          </cell>
          <cell r="AF6">
            <v>2</v>
          </cell>
          <cell r="AK6">
            <v>2</v>
          </cell>
          <cell r="AL6">
            <v>2</v>
          </cell>
        </row>
        <row r="8">
          <cell r="C8">
            <v>0</v>
          </cell>
          <cell r="D8">
            <v>4957</v>
          </cell>
          <cell r="E8">
            <v>0</v>
          </cell>
          <cell r="F8">
            <v>4957</v>
          </cell>
          <cell r="K8">
            <v>4957</v>
          </cell>
          <cell r="N8">
            <v>0</v>
          </cell>
          <cell r="S8">
            <v>0</v>
          </cell>
          <cell r="T8">
            <v>0</v>
          </cell>
          <cell r="W8">
            <v>4957</v>
          </cell>
          <cell r="AB8">
            <v>4957</v>
          </cell>
          <cell r="AC8">
            <v>4957</v>
          </cell>
          <cell r="AF8">
            <v>0</v>
          </cell>
          <cell r="AK8">
            <v>0</v>
          </cell>
          <cell r="AL8">
            <v>0</v>
          </cell>
        </row>
        <row r="10">
          <cell r="C10">
            <v>6352</v>
          </cell>
          <cell r="D10">
            <v>2609</v>
          </cell>
          <cell r="E10">
            <v>188</v>
          </cell>
          <cell r="F10">
            <v>9149</v>
          </cell>
          <cell r="K10">
            <v>9149</v>
          </cell>
          <cell r="N10">
            <v>6352</v>
          </cell>
          <cell r="S10">
            <v>6352</v>
          </cell>
          <cell r="T10">
            <v>6352</v>
          </cell>
          <cell r="W10">
            <v>2609</v>
          </cell>
          <cell r="AB10">
            <v>2609</v>
          </cell>
          <cell r="AC10">
            <v>2609</v>
          </cell>
          <cell r="AF10">
            <v>188</v>
          </cell>
          <cell r="AK10">
            <v>188</v>
          </cell>
          <cell r="AL10">
            <v>188</v>
          </cell>
        </row>
        <row r="12">
          <cell r="C12">
            <v>49</v>
          </cell>
          <cell r="D12">
            <v>10</v>
          </cell>
          <cell r="E12">
            <v>23</v>
          </cell>
          <cell r="F12">
            <v>82</v>
          </cell>
          <cell r="K12">
            <v>82</v>
          </cell>
          <cell r="N12">
            <v>49</v>
          </cell>
          <cell r="S12">
            <v>49</v>
          </cell>
          <cell r="T12">
            <v>49</v>
          </cell>
          <cell r="W12">
            <v>10</v>
          </cell>
          <cell r="AB12">
            <v>10</v>
          </cell>
          <cell r="AC12">
            <v>10</v>
          </cell>
          <cell r="AF12">
            <v>23</v>
          </cell>
          <cell r="AK12">
            <v>23</v>
          </cell>
          <cell r="AL12">
            <v>23</v>
          </cell>
        </row>
        <row r="14">
          <cell r="C14">
            <v>3018</v>
          </cell>
          <cell r="D14">
            <v>4282</v>
          </cell>
          <cell r="E14">
            <v>-15</v>
          </cell>
          <cell r="F14">
            <v>7285</v>
          </cell>
          <cell r="K14">
            <v>7285</v>
          </cell>
          <cell r="N14">
            <v>3018</v>
          </cell>
          <cell r="S14">
            <v>3018</v>
          </cell>
          <cell r="T14">
            <v>3018</v>
          </cell>
          <cell r="W14">
            <v>4282</v>
          </cell>
          <cell r="AB14">
            <v>4282</v>
          </cell>
          <cell r="AC14">
            <v>4282</v>
          </cell>
          <cell r="AF14">
            <v>-15</v>
          </cell>
          <cell r="AK14">
            <v>-15</v>
          </cell>
          <cell r="AL14">
            <v>-15</v>
          </cell>
        </row>
        <row r="16">
          <cell r="C16">
            <v>77</v>
          </cell>
          <cell r="D16">
            <v>0</v>
          </cell>
          <cell r="E16">
            <v>0</v>
          </cell>
          <cell r="F16">
            <v>77</v>
          </cell>
          <cell r="K16">
            <v>77</v>
          </cell>
          <cell r="N16">
            <v>77</v>
          </cell>
          <cell r="S16">
            <v>77</v>
          </cell>
          <cell r="T16">
            <v>77</v>
          </cell>
          <cell r="AB16">
            <v>0</v>
          </cell>
          <cell r="AC16">
            <v>0</v>
          </cell>
          <cell r="AF16">
            <v>0</v>
          </cell>
          <cell r="AK16">
            <v>0</v>
          </cell>
          <cell r="AL16">
            <v>0</v>
          </cell>
        </row>
        <row r="18">
          <cell r="C18">
            <v>6</v>
          </cell>
          <cell r="D18">
            <v>0</v>
          </cell>
          <cell r="E18">
            <v>0</v>
          </cell>
          <cell r="F18">
            <v>6</v>
          </cell>
          <cell r="K18">
            <v>6</v>
          </cell>
          <cell r="N18">
            <v>6</v>
          </cell>
          <cell r="S18">
            <v>6</v>
          </cell>
          <cell r="T18">
            <v>6</v>
          </cell>
          <cell r="AB18">
            <v>0</v>
          </cell>
          <cell r="AC18">
            <v>0</v>
          </cell>
          <cell r="AF18">
            <v>0</v>
          </cell>
          <cell r="AK18">
            <v>0</v>
          </cell>
          <cell r="AL18">
            <v>0</v>
          </cell>
        </row>
        <row r="20">
          <cell r="C20">
            <v>303</v>
          </cell>
          <cell r="D20">
            <v>0</v>
          </cell>
          <cell r="E20">
            <v>0</v>
          </cell>
          <cell r="F20">
            <v>303</v>
          </cell>
          <cell r="K20">
            <v>303</v>
          </cell>
          <cell r="N20">
            <v>303</v>
          </cell>
          <cell r="S20">
            <v>303</v>
          </cell>
          <cell r="T20">
            <v>303</v>
          </cell>
          <cell r="AB20">
            <v>0</v>
          </cell>
          <cell r="AC20">
            <v>0</v>
          </cell>
          <cell r="AF20">
            <v>0</v>
          </cell>
          <cell r="AK20">
            <v>0</v>
          </cell>
          <cell r="AL20">
            <v>0</v>
          </cell>
        </row>
        <row r="22">
          <cell r="C22">
            <v>427</v>
          </cell>
          <cell r="D22">
            <v>0</v>
          </cell>
          <cell r="E22">
            <v>0</v>
          </cell>
          <cell r="F22">
            <v>427</v>
          </cell>
          <cell r="K22">
            <v>427</v>
          </cell>
          <cell r="N22">
            <v>427</v>
          </cell>
          <cell r="S22">
            <v>427</v>
          </cell>
          <cell r="T22">
            <v>427</v>
          </cell>
          <cell r="AB22">
            <v>0</v>
          </cell>
          <cell r="AC22">
            <v>0</v>
          </cell>
          <cell r="AF22">
            <v>0</v>
          </cell>
          <cell r="AK22">
            <v>0</v>
          </cell>
          <cell r="AL22">
            <v>0</v>
          </cell>
        </row>
        <row r="24">
          <cell r="C24">
            <v>36</v>
          </cell>
          <cell r="D24">
            <v>0</v>
          </cell>
          <cell r="E24">
            <v>-35</v>
          </cell>
          <cell r="F24">
            <v>1</v>
          </cell>
          <cell r="K24">
            <v>1</v>
          </cell>
          <cell r="N24">
            <v>36</v>
          </cell>
          <cell r="S24">
            <v>36</v>
          </cell>
          <cell r="T24">
            <v>36</v>
          </cell>
          <cell r="AB24">
            <v>0</v>
          </cell>
          <cell r="AC24">
            <v>0</v>
          </cell>
          <cell r="AF24">
            <v>-35</v>
          </cell>
          <cell r="AK24">
            <v>-35</v>
          </cell>
          <cell r="AL24">
            <v>-35</v>
          </cell>
        </row>
        <row r="26">
          <cell r="C26">
            <v>162</v>
          </cell>
          <cell r="D26">
            <v>126</v>
          </cell>
          <cell r="E26">
            <v>0</v>
          </cell>
          <cell r="F26">
            <v>288</v>
          </cell>
          <cell r="K26">
            <v>288</v>
          </cell>
          <cell r="N26">
            <v>354</v>
          </cell>
          <cell r="Q26">
            <v>1</v>
          </cell>
          <cell r="R26">
            <v>100</v>
          </cell>
          <cell r="S26">
            <v>162</v>
          </cell>
          <cell r="T26">
            <v>162</v>
          </cell>
          <cell r="W26">
            <v>126</v>
          </cell>
          <cell r="AB26">
            <v>126</v>
          </cell>
          <cell r="AC26">
            <v>126</v>
          </cell>
          <cell r="AF26">
            <v>0</v>
          </cell>
          <cell r="AK26">
            <v>0</v>
          </cell>
          <cell r="AL26">
            <v>0</v>
          </cell>
        </row>
        <row r="27">
          <cell r="Q27">
            <v>9</v>
          </cell>
          <cell r="R27">
            <v>92</v>
          </cell>
        </row>
        <row r="28">
          <cell r="C28">
            <v>1110</v>
          </cell>
          <cell r="D28">
            <v>52</v>
          </cell>
          <cell r="E28">
            <v>0</v>
          </cell>
          <cell r="F28">
            <v>1162</v>
          </cell>
          <cell r="K28">
            <v>1162</v>
          </cell>
          <cell r="N28">
            <v>1110</v>
          </cell>
          <cell r="S28">
            <v>1110</v>
          </cell>
          <cell r="T28">
            <v>1110</v>
          </cell>
          <cell r="W28">
            <v>52</v>
          </cell>
          <cell r="AB28">
            <v>52</v>
          </cell>
          <cell r="AC28">
            <v>52</v>
          </cell>
          <cell r="AF28">
            <v>0</v>
          </cell>
          <cell r="AK28">
            <v>0</v>
          </cell>
          <cell r="AL28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K30">
            <v>0</v>
          </cell>
          <cell r="N30">
            <v>0</v>
          </cell>
          <cell r="S30">
            <v>0</v>
          </cell>
          <cell r="T30">
            <v>0</v>
          </cell>
          <cell r="AB30">
            <v>0</v>
          </cell>
          <cell r="AC30">
            <v>0</v>
          </cell>
          <cell r="AF30">
            <v>0</v>
          </cell>
          <cell r="AK30">
            <v>0</v>
          </cell>
          <cell r="AL30">
            <v>0</v>
          </cell>
        </row>
        <row r="32">
          <cell r="C32">
            <v>272</v>
          </cell>
          <cell r="D32">
            <v>400</v>
          </cell>
          <cell r="E32">
            <v>0</v>
          </cell>
          <cell r="F32">
            <v>672</v>
          </cell>
          <cell r="K32">
            <v>672</v>
          </cell>
          <cell r="N32">
            <v>149</v>
          </cell>
          <cell r="O32">
            <v>1</v>
          </cell>
          <cell r="P32">
            <v>500</v>
          </cell>
          <cell r="S32">
            <v>649</v>
          </cell>
          <cell r="T32">
            <v>272</v>
          </cell>
          <cell r="W32">
            <v>400</v>
          </cell>
          <cell r="AB32">
            <v>400</v>
          </cell>
          <cell r="AC32">
            <v>400</v>
          </cell>
          <cell r="AF32">
            <v>0</v>
          </cell>
          <cell r="AK32">
            <v>0</v>
          </cell>
          <cell r="AL32">
            <v>0</v>
          </cell>
        </row>
        <row r="34">
          <cell r="C34">
            <v>208</v>
          </cell>
          <cell r="D34">
            <v>192</v>
          </cell>
          <cell r="E34">
            <v>0</v>
          </cell>
          <cell r="F34">
            <v>400</v>
          </cell>
          <cell r="K34">
            <v>400</v>
          </cell>
          <cell r="N34">
            <v>208</v>
          </cell>
          <cell r="S34">
            <v>208</v>
          </cell>
          <cell r="T34">
            <v>208</v>
          </cell>
          <cell r="W34">
            <v>862</v>
          </cell>
          <cell r="Z34">
            <v>1</v>
          </cell>
          <cell r="AA34">
            <v>670</v>
          </cell>
          <cell r="AB34">
            <v>192</v>
          </cell>
          <cell r="AC34">
            <v>192</v>
          </cell>
          <cell r="AF34">
            <v>0</v>
          </cell>
          <cell r="AK34">
            <v>0</v>
          </cell>
          <cell r="AL34">
            <v>0</v>
          </cell>
        </row>
        <row r="36">
          <cell r="C36">
            <v>15</v>
          </cell>
          <cell r="D36">
            <v>0</v>
          </cell>
          <cell r="E36">
            <v>1</v>
          </cell>
          <cell r="F36">
            <v>16</v>
          </cell>
          <cell r="K36">
            <v>16</v>
          </cell>
          <cell r="N36">
            <v>15</v>
          </cell>
          <cell r="S36">
            <v>15</v>
          </cell>
          <cell r="T36">
            <v>15</v>
          </cell>
          <cell r="AB36">
            <v>0</v>
          </cell>
          <cell r="AC36">
            <v>0</v>
          </cell>
          <cell r="AF36">
            <v>1</v>
          </cell>
          <cell r="AK36">
            <v>1</v>
          </cell>
          <cell r="AL36">
            <v>1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K38">
            <v>0</v>
          </cell>
          <cell r="N38">
            <v>0</v>
          </cell>
          <cell r="S38">
            <v>0</v>
          </cell>
          <cell r="T38">
            <v>0</v>
          </cell>
          <cell r="AB38">
            <v>0</v>
          </cell>
          <cell r="AC38">
            <v>0</v>
          </cell>
          <cell r="AF38">
            <v>0</v>
          </cell>
          <cell r="AK38">
            <v>0</v>
          </cell>
          <cell r="AL38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K40">
            <v>0</v>
          </cell>
          <cell r="N40">
            <v>0</v>
          </cell>
          <cell r="S40">
            <v>0</v>
          </cell>
          <cell r="T40">
            <v>0</v>
          </cell>
          <cell r="AB40">
            <v>0</v>
          </cell>
          <cell r="AC40">
            <v>0</v>
          </cell>
          <cell r="AF40">
            <v>0</v>
          </cell>
          <cell r="AK40">
            <v>0</v>
          </cell>
          <cell r="AL40">
            <v>0</v>
          </cell>
        </row>
        <row r="42">
          <cell r="C42">
            <v>121</v>
          </cell>
          <cell r="D42">
            <v>0</v>
          </cell>
          <cell r="E42">
            <v>0</v>
          </cell>
          <cell r="F42">
            <v>121</v>
          </cell>
          <cell r="K42">
            <v>121</v>
          </cell>
          <cell r="N42">
            <v>121</v>
          </cell>
          <cell r="S42">
            <v>121</v>
          </cell>
          <cell r="T42">
            <v>121</v>
          </cell>
          <cell r="AB42">
            <v>0</v>
          </cell>
          <cell r="AC42">
            <v>0</v>
          </cell>
          <cell r="AF42">
            <v>0</v>
          </cell>
          <cell r="AK42">
            <v>0</v>
          </cell>
          <cell r="AL42">
            <v>0</v>
          </cell>
        </row>
        <row r="44">
          <cell r="C44">
            <v>480</v>
          </cell>
          <cell r="D44">
            <v>0</v>
          </cell>
          <cell r="E44">
            <v>0</v>
          </cell>
          <cell r="F44">
            <v>480</v>
          </cell>
          <cell r="K44">
            <v>480</v>
          </cell>
          <cell r="N44">
            <v>640</v>
          </cell>
          <cell r="Q44">
            <v>8</v>
          </cell>
          <cell r="R44">
            <v>160</v>
          </cell>
          <cell r="S44">
            <v>480</v>
          </cell>
          <cell r="T44">
            <v>480</v>
          </cell>
          <cell r="AB44">
            <v>0</v>
          </cell>
          <cell r="AC44">
            <v>0</v>
          </cell>
          <cell r="AF44">
            <v>0</v>
          </cell>
          <cell r="AK44">
            <v>0</v>
          </cell>
          <cell r="AL44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K46">
            <v>0</v>
          </cell>
          <cell r="N46">
            <v>0</v>
          </cell>
          <cell r="S46">
            <v>0</v>
          </cell>
          <cell r="T46">
            <v>0</v>
          </cell>
          <cell r="AB46">
            <v>0</v>
          </cell>
          <cell r="AC46">
            <v>0</v>
          </cell>
          <cell r="AF46">
            <v>0</v>
          </cell>
          <cell r="AK46">
            <v>0</v>
          </cell>
          <cell r="AL46">
            <v>0</v>
          </cell>
        </row>
        <row r="48">
          <cell r="C48">
            <v>-2878</v>
          </cell>
          <cell r="D48">
            <v>0</v>
          </cell>
          <cell r="E48">
            <v>0</v>
          </cell>
          <cell r="F48">
            <v>-2878</v>
          </cell>
          <cell r="K48">
            <v>-2878</v>
          </cell>
          <cell r="N48">
            <v>-3918</v>
          </cell>
          <cell r="Q48">
            <v>6</v>
          </cell>
          <cell r="R48">
            <v>428</v>
          </cell>
          <cell r="S48">
            <v>-4346</v>
          </cell>
          <cell r="T48">
            <v>-2878</v>
          </cell>
          <cell r="AB48">
            <v>0</v>
          </cell>
          <cell r="AC48">
            <v>0</v>
          </cell>
          <cell r="AF48">
            <v>0</v>
          </cell>
          <cell r="AK48">
            <v>0</v>
          </cell>
          <cell r="AL48">
            <v>0</v>
          </cell>
        </row>
        <row r="50">
          <cell r="C50">
            <v>19942</v>
          </cell>
          <cell r="D50">
            <v>0</v>
          </cell>
          <cell r="E50">
            <v>0</v>
          </cell>
          <cell r="F50">
            <v>19942</v>
          </cell>
          <cell r="K50">
            <v>19942</v>
          </cell>
          <cell r="N50">
            <v>19942</v>
          </cell>
          <cell r="S50">
            <v>19942</v>
          </cell>
          <cell r="T50">
            <v>19942</v>
          </cell>
          <cell r="AB50">
            <v>0</v>
          </cell>
          <cell r="AC50">
            <v>0</v>
          </cell>
          <cell r="AF50">
            <v>0</v>
          </cell>
          <cell r="AK50">
            <v>0</v>
          </cell>
          <cell r="AL50">
            <v>0</v>
          </cell>
        </row>
        <row r="52">
          <cell r="C52">
            <v>10851</v>
          </cell>
          <cell r="D52">
            <v>0</v>
          </cell>
          <cell r="E52">
            <v>0</v>
          </cell>
          <cell r="F52">
            <v>10851</v>
          </cell>
          <cell r="I52">
            <v>2</v>
          </cell>
          <cell r="J52">
            <v>10851</v>
          </cell>
          <cell r="K52">
            <v>0</v>
          </cell>
          <cell r="N52">
            <v>9379</v>
          </cell>
          <cell r="O52">
            <v>4</v>
          </cell>
          <cell r="P52">
            <v>2226</v>
          </cell>
          <cell r="Q52">
            <v>1</v>
          </cell>
          <cell r="R52">
            <v>400</v>
          </cell>
          <cell r="S52">
            <v>10535</v>
          </cell>
          <cell r="T52">
            <v>10851</v>
          </cell>
          <cell r="AB52">
            <v>0</v>
          </cell>
          <cell r="AC52">
            <v>0</v>
          </cell>
          <cell r="AF52">
            <v>0</v>
          </cell>
          <cell r="AK52">
            <v>0</v>
          </cell>
          <cell r="AL52">
            <v>0</v>
          </cell>
        </row>
        <row r="53">
          <cell r="Q53">
            <v>3</v>
          </cell>
          <cell r="R53">
            <v>670</v>
          </cell>
        </row>
        <row r="54">
          <cell r="C54">
            <v>-399</v>
          </cell>
          <cell r="D54">
            <v>0</v>
          </cell>
          <cell r="E54">
            <v>0</v>
          </cell>
          <cell r="F54">
            <v>-399</v>
          </cell>
          <cell r="G54">
            <v>3</v>
          </cell>
          <cell r="H54">
            <v>399</v>
          </cell>
          <cell r="K54">
            <v>0</v>
          </cell>
          <cell r="N54">
            <v>-566</v>
          </cell>
          <cell r="O54">
            <v>5</v>
          </cell>
          <cell r="P54">
            <v>35</v>
          </cell>
          <cell r="S54">
            <v>-531</v>
          </cell>
          <cell r="T54">
            <v>-399</v>
          </cell>
          <cell r="AB54">
            <v>0</v>
          </cell>
          <cell r="AC54">
            <v>0</v>
          </cell>
          <cell r="AF54">
            <v>0</v>
          </cell>
          <cell r="AK54">
            <v>0</v>
          </cell>
          <cell r="AL54">
            <v>0</v>
          </cell>
        </row>
        <row r="56">
          <cell r="C56">
            <v>1114</v>
          </cell>
          <cell r="D56">
            <v>0</v>
          </cell>
          <cell r="E56">
            <v>-1114</v>
          </cell>
          <cell r="F56">
            <v>0</v>
          </cell>
          <cell r="K56">
            <v>0</v>
          </cell>
          <cell r="N56">
            <v>1114</v>
          </cell>
          <cell r="S56">
            <v>1114</v>
          </cell>
          <cell r="T56">
            <v>1114</v>
          </cell>
          <cell r="AB56">
            <v>0</v>
          </cell>
          <cell r="AC56">
            <v>0</v>
          </cell>
          <cell r="AF56">
            <v>-1114</v>
          </cell>
          <cell r="AK56">
            <v>-1114</v>
          </cell>
          <cell r="AL56">
            <v>-1114</v>
          </cell>
        </row>
        <row r="58">
          <cell r="C58">
            <v>59</v>
          </cell>
          <cell r="D58">
            <v>0</v>
          </cell>
          <cell r="E58">
            <v>0</v>
          </cell>
          <cell r="F58">
            <v>59</v>
          </cell>
          <cell r="K58">
            <v>59</v>
          </cell>
          <cell r="N58">
            <v>-203</v>
          </cell>
          <cell r="O58">
            <v>7</v>
          </cell>
          <cell r="P58">
            <v>252</v>
          </cell>
          <cell r="S58">
            <v>49</v>
          </cell>
          <cell r="T58">
            <v>59</v>
          </cell>
        </row>
        <row r="60">
          <cell r="C60">
            <v>5856</v>
          </cell>
          <cell r="D60">
            <v>792</v>
          </cell>
          <cell r="E60">
            <v>304</v>
          </cell>
          <cell r="F60">
            <v>6952</v>
          </cell>
          <cell r="K60">
            <v>6952</v>
          </cell>
          <cell r="N60">
            <v>4535</v>
          </cell>
          <cell r="S60">
            <v>4535</v>
          </cell>
          <cell r="T60">
            <v>5856</v>
          </cell>
          <cell r="W60">
            <v>682</v>
          </cell>
          <cell r="AB60">
            <v>682</v>
          </cell>
          <cell r="AC60">
            <v>792</v>
          </cell>
          <cell r="AF60">
            <v>252</v>
          </cell>
          <cell r="AK60">
            <v>252</v>
          </cell>
          <cell r="AL60">
            <v>304</v>
          </cell>
        </row>
        <row r="62">
          <cell r="C62">
            <v>-2389</v>
          </cell>
          <cell r="D62">
            <v>-234</v>
          </cell>
          <cell r="E62">
            <v>-120</v>
          </cell>
          <cell r="F62">
            <v>-2743</v>
          </cell>
          <cell r="K62">
            <v>-2743</v>
          </cell>
          <cell r="N62">
            <v>-1727</v>
          </cell>
          <cell r="S62">
            <v>-1727</v>
          </cell>
          <cell r="T62">
            <v>-2389</v>
          </cell>
          <cell r="W62">
            <v>-182</v>
          </cell>
          <cell r="AB62">
            <v>-182</v>
          </cell>
          <cell r="AC62">
            <v>-234</v>
          </cell>
          <cell r="AF62">
            <v>-97</v>
          </cell>
          <cell r="AK62">
            <v>-97</v>
          </cell>
          <cell r="AL62">
            <v>-120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2</v>
          </cell>
          <cell r="H64">
            <v>603</v>
          </cell>
          <cell r="K64">
            <v>603</v>
          </cell>
          <cell r="N64">
            <v>0</v>
          </cell>
          <cell r="S64">
            <v>0</v>
          </cell>
          <cell r="T64">
            <v>0</v>
          </cell>
          <cell r="AB64">
            <v>0</v>
          </cell>
          <cell r="AC64">
            <v>0</v>
          </cell>
          <cell r="AF64">
            <v>0</v>
          </cell>
          <cell r="AK64">
            <v>0</v>
          </cell>
          <cell r="AL64">
            <v>0</v>
          </cell>
        </row>
        <row r="66">
          <cell r="C66">
            <v>0</v>
          </cell>
          <cell r="D66">
            <v>0</v>
          </cell>
          <cell r="E66">
            <v>433</v>
          </cell>
          <cell r="F66">
            <v>433</v>
          </cell>
          <cell r="K66">
            <v>433</v>
          </cell>
          <cell r="N66">
            <v>0</v>
          </cell>
          <cell r="S66">
            <v>0</v>
          </cell>
          <cell r="T66">
            <v>0</v>
          </cell>
          <cell r="AB66">
            <v>0</v>
          </cell>
          <cell r="AC66">
            <v>0</v>
          </cell>
          <cell r="AF66">
            <v>330</v>
          </cell>
          <cell r="AK66">
            <v>330</v>
          </cell>
          <cell r="AL66">
            <v>433</v>
          </cell>
        </row>
        <row r="68">
          <cell r="C68">
            <v>394</v>
          </cell>
          <cell r="D68">
            <v>0</v>
          </cell>
          <cell r="E68">
            <v>0</v>
          </cell>
          <cell r="F68">
            <v>394</v>
          </cell>
          <cell r="K68">
            <v>394</v>
          </cell>
          <cell r="N68">
            <v>0</v>
          </cell>
          <cell r="S68">
            <v>0</v>
          </cell>
          <cell r="T68">
            <v>394</v>
          </cell>
          <cell r="AB68">
            <v>0</v>
          </cell>
          <cell r="AC68">
            <v>0</v>
          </cell>
          <cell r="AF68">
            <v>0</v>
          </cell>
          <cell r="AK68">
            <v>0</v>
          </cell>
          <cell r="AL68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K70">
            <v>0</v>
          </cell>
          <cell r="N70">
            <v>0</v>
          </cell>
          <cell r="S70">
            <v>0</v>
          </cell>
          <cell r="T70">
            <v>0</v>
          </cell>
          <cell r="W70">
            <v>0</v>
          </cell>
          <cell r="AB70">
            <v>0</v>
          </cell>
          <cell r="AC70">
            <v>0</v>
          </cell>
          <cell r="AF70">
            <v>0</v>
          </cell>
          <cell r="AK70">
            <v>0</v>
          </cell>
          <cell r="AL70">
            <v>0</v>
          </cell>
        </row>
        <row r="72">
          <cell r="C72">
            <v>-771</v>
          </cell>
          <cell r="D72">
            <v>-1778</v>
          </cell>
          <cell r="E72">
            <v>-1</v>
          </cell>
          <cell r="F72">
            <v>-2550</v>
          </cell>
          <cell r="K72">
            <v>-2550</v>
          </cell>
          <cell r="N72">
            <v>-370</v>
          </cell>
          <cell r="Q72">
            <v>2</v>
          </cell>
          <cell r="R72">
            <v>401</v>
          </cell>
          <cell r="S72">
            <v>-771</v>
          </cell>
          <cell r="T72">
            <v>-771</v>
          </cell>
          <cell r="W72">
            <v>-135</v>
          </cell>
          <cell r="Z72">
            <v>2</v>
          </cell>
          <cell r="AA72">
            <v>1643</v>
          </cell>
          <cell r="AB72">
            <v>-1778</v>
          </cell>
          <cell r="AC72">
            <v>-1778</v>
          </cell>
          <cell r="AF72">
            <v>-1</v>
          </cell>
          <cell r="AK72">
            <v>-1</v>
          </cell>
          <cell r="AL72">
            <v>-1</v>
          </cell>
        </row>
        <row r="74">
          <cell r="C74">
            <v>-2728</v>
          </cell>
          <cell r="D74">
            <v>2728</v>
          </cell>
          <cell r="E74">
            <v>0</v>
          </cell>
          <cell r="F74">
            <v>0</v>
          </cell>
          <cell r="K74">
            <v>0</v>
          </cell>
          <cell r="N74">
            <v>-2728</v>
          </cell>
          <cell r="S74">
            <v>-2728</v>
          </cell>
          <cell r="T74">
            <v>-2728</v>
          </cell>
          <cell r="W74">
            <v>2728</v>
          </cell>
          <cell r="AB74">
            <v>2728</v>
          </cell>
          <cell r="AC74">
            <v>2728</v>
          </cell>
          <cell r="AF74">
            <v>0</v>
          </cell>
          <cell r="AK74">
            <v>0</v>
          </cell>
          <cell r="AL74">
            <v>0</v>
          </cell>
        </row>
        <row r="76">
          <cell r="C76">
            <v>-2110</v>
          </cell>
          <cell r="D76">
            <v>-3338</v>
          </cell>
          <cell r="E76">
            <v>-28</v>
          </cell>
          <cell r="F76">
            <v>-5476</v>
          </cell>
          <cell r="K76">
            <v>-5476</v>
          </cell>
          <cell r="N76">
            <v>-2110</v>
          </cell>
          <cell r="S76">
            <v>-2110</v>
          </cell>
          <cell r="T76">
            <v>-2110</v>
          </cell>
          <cell r="W76">
            <v>-3338</v>
          </cell>
          <cell r="AB76">
            <v>-3338</v>
          </cell>
          <cell r="AC76">
            <v>-3338</v>
          </cell>
          <cell r="AF76">
            <v>-28</v>
          </cell>
          <cell r="AK76">
            <v>-28</v>
          </cell>
          <cell r="AL76">
            <v>-28</v>
          </cell>
        </row>
        <row r="78">
          <cell r="C78">
            <v>-838</v>
          </cell>
          <cell r="D78">
            <v>-307</v>
          </cell>
          <cell r="E78">
            <v>0</v>
          </cell>
          <cell r="F78">
            <v>-1145</v>
          </cell>
          <cell r="K78">
            <v>-1145</v>
          </cell>
          <cell r="N78">
            <v>-838</v>
          </cell>
          <cell r="S78">
            <v>-838</v>
          </cell>
          <cell r="T78">
            <v>-838</v>
          </cell>
          <cell r="W78">
            <v>-307</v>
          </cell>
          <cell r="AB78">
            <v>-307</v>
          </cell>
          <cell r="AC78">
            <v>-307</v>
          </cell>
          <cell r="AF78">
            <v>0</v>
          </cell>
          <cell r="AK78">
            <v>0</v>
          </cell>
          <cell r="AL78">
            <v>0</v>
          </cell>
        </row>
        <row r="80">
          <cell r="C80">
            <v>-493</v>
          </cell>
          <cell r="D80">
            <v>-4</v>
          </cell>
          <cell r="E80">
            <v>0</v>
          </cell>
          <cell r="F80">
            <v>-497</v>
          </cell>
          <cell r="K80">
            <v>-497</v>
          </cell>
          <cell r="N80">
            <v>-493</v>
          </cell>
          <cell r="S80">
            <v>-493</v>
          </cell>
          <cell r="T80">
            <v>-493</v>
          </cell>
          <cell r="W80">
            <v>-4</v>
          </cell>
          <cell r="AB80">
            <v>-4</v>
          </cell>
          <cell r="AC80">
            <v>-4</v>
          </cell>
          <cell r="AF80">
            <v>0</v>
          </cell>
          <cell r="AK80">
            <v>0</v>
          </cell>
          <cell r="AL80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K82">
            <v>0</v>
          </cell>
          <cell r="N82">
            <v>0</v>
          </cell>
          <cell r="S82">
            <v>0</v>
          </cell>
          <cell r="T82">
            <v>0</v>
          </cell>
          <cell r="AB82">
            <v>0</v>
          </cell>
          <cell r="AC82">
            <v>0</v>
          </cell>
          <cell r="AF82">
            <v>0</v>
          </cell>
          <cell r="AK82">
            <v>0</v>
          </cell>
          <cell r="AL82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K84">
            <v>0</v>
          </cell>
          <cell r="N84">
            <v>0</v>
          </cell>
          <cell r="S84">
            <v>0</v>
          </cell>
          <cell r="T84">
            <v>0</v>
          </cell>
          <cell r="AB84">
            <v>0</v>
          </cell>
          <cell r="AC84">
            <v>0</v>
          </cell>
          <cell r="AF84">
            <v>0</v>
          </cell>
          <cell r="AK84">
            <v>0</v>
          </cell>
          <cell r="AL84">
            <v>0</v>
          </cell>
        </row>
        <row r="86">
          <cell r="C86">
            <v>-280</v>
          </cell>
          <cell r="D86">
            <v>-130</v>
          </cell>
          <cell r="E86">
            <v>-21</v>
          </cell>
          <cell r="F86">
            <v>-431</v>
          </cell>
          <cell r="K86">
            <v>-431</v>
          </cell>
          <cell r="N86">
            <v>-280</v>
          </cell>
          <cell r="S86">
            <v>-280</v>
          </cell>
          <cell r="T86">
            <v>-280</v>
          </cell>
          <cell r="W86">
            <v>-130</v>
          </cell>
          <cell r="AB86">
            <v>-130</v>
          </cell>
          <cell r="AC86">
            <v>-130</v>
          </cell>
          <cell r="AF86">
            <v>-21</v>
          </cell>
          <cell r="AK86">
            <v>-21</v>
          </cell>
          <cell r="AL86">
            <v>-21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K88">
            <v>0</v>
          </cell>
          <cell r="N88">
            <v>0</v>
          </cell>
          <cell r="S88">
            <v>0</v>
          </cell>
          <cell r="T88">
            <v>0</v>
          </cell>
          <cell r="AB88">
            <v>0</v>
          </cell>
          <cell r="AC88">
            <v>0</v>
          </cell>
          <cell r="AF88">
            <v>0</v>
          </cell>
          <cell r="AK88">
            <v>0</v>
          </cell>
          <cell r="AL88">
            <v>0</v>
          </cell>
        </row>
        <row r="90">
          <cell r="C90">
            <v>-1348</v>
          </cell>
          <cell r="D90">
            <v>-436</v>
          </cell>
          <cell r="E90">
            <v>-16</v>
          </cell>
          <cell r="F90">
            <v>-1800</v>
          </cell>
          <cell r="K90">
            <v>-1800</v>
          </cell>
          <cell r="N90">
            <v>-1348</v>
          </cell>
          <cell r="S90">
            <v>-1348</v>
          </cell>
          <cell r="T90">
            <v>-1348</v>
          </cell>
          <cell r="W90">
            <v>-436</v>
          </cell>
          <cell r="AB90">
            <v>-436</v>
          </cell>
          <cell r="AC90">
            <v>-436</v>
          </cell>
          <cell r="AF90">
            <v>-16</v>
          </cell>
          <cell r="AK90">
            <v>-16</v>
          </cell>
          <cell r="AL90">
            <v>-16</v>
          </cell>
        </row>
        <row r="92">
          <cell r="C92">
            <v>19</v>
          </cell>
          <cell r="D92">
            <v>0</v>
          </cell>
          <cell r="E92">
            <v>0</v>
          </cell>
          <cell r="F92">
            <v>19</v>
          </cell>
          <cell r="K92">
            <v>19</v>
          </cell>
          <cell r="N92">
            <v>19</v>
          </cell>
          <cell r="S92">
            <v>19</v>
          </cell>
          <cell r="T92">
            <v>19</v>
          </cell>
          <cell r="W92">
            <v>0</v>
          </cell>
          <cell r="AB92">
            <v>0</v>
          </cell>
          <cell r="AC92">
            <v>0</v>
          </cell>
          <cell r="AF92">
            <v>0</v>
          </cell>
          <cell r="AK92">
            <v>0</v>
          </cell>
          <cell r="AL92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K94">
            <v>0</v>
          </cell>
          <cell r="N94">
            <v>0</v>
          </cell>
          <cell r="S94">
            <v>0</v>
          </cell>
          <cell r="T94">
            <v>0</v>
          </cell>
          <cell r="W94">
            <v>0</v>
          </cell>
          <cell r="AB94">
            <v>0</v>
          </cell>
          <cell r="AC94">
            <v>0</v>
          </cell>
          <cell r="AF94">
            <v>0</v>
          </cell>
          <cell r="AK94">
            <v>0</v>
          </cell>
          <cell r="AL94">
            <v>0</v>
          </cell>
        </row>
        <row r="96">
          <cell r="C96">
            <v>0</v>
          </cell>
          <cell r="D96">
            <v>-5300</v>
          </cell>
          <cell r="E96">
            <v>0</v>
          </cell>
          <cell r="F96">
            <v>-5300</v>
          </cell>
          <cell r="G96">
            <v>2</v>
          </cell>
          <cell r="H96">
            <v>5300</v>
          </cell>
          <cell r="K96">
            <v>0</v>
          </cell>
          <cell r="N96">
            <v>0</v>
          </cell>
          <cell r="S96">
            <v>0</v>
          </cell>
          <cell r="T96">
            <v>0</v>
          </cell>
          <cell r="W96">
            <v>-5300</v>
          </cell>
          <cell r="AB96">
            <v>-5300</v>
          </cell>
          <cell r="AC96">
            <v>-5300</v>
          </cell>
          <cell r="AF96">
            <v>0</v>
          </cell>
          <cell r="AK96">
            <v>0</v>
          </cell>
          <cell r="AL96">
            <v>0</v>
          </cell>
        </row>
        <row r="98">
          <cell r="C98">
            <v>-12346</v>
          </cell>
          <cell r="D98">
            <v>0</v>
          </cell>
          <cell r="E98">
            <v>0</v>
          </cell>
          <cell r="F98">
            <v>-12346</v>
          </cell>
          <cell r="K98">
            <v>-12346</v>
          </cell>
          <cell r="N98">
            <v>0</v>
          </cell>
          <cell r="S98">
            <v>0</v>
          </cell>
          <cell r="T98">
            <v>-12346</v>
          </cell>
          <cell r="W98">
            <v>0</v>
          </cell>
          <cell r="AB98">
            <v>0</v>
          </cell>
          <cell r="AC98">
            <v>0</v>
          </cell>
          <cell r="AF98">
            <v>0</v>
          </cell>
          <cell r="AK98">
            <v>0</v>
          </cell>
          <cell r="AL98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K100">
            <v>0</v>
          </cell>
          <cell r="N100">
            <v>0</v>
          </cell>
          <cell r="S100">
            <v>0</v>
          </cell>
          <cell r="T100">
            <v>0</v>
          </cell>
          <cell r="W100">
            <v>0</v>
          </cell>
          <cell r="AB100">
            <v>0</v>
          </cell>
          <cell r="AC100">
            <v>0</v>
          </cell>
          <cell r="AF100">
            <v>0</v>
          </cell>
          <cell r="AK100">
            <v>0</v>
          </cell>
          <cell r="AL100">
            <v>0</v>
          </cell>
        </row>
        <row r="102">
          <cell r="C102">
            <v>-24218</v>
          </cell>
          <cell r="D102">
            <v>-5103</v>
          </cell>
          <cell r="E102">
            <v>0</v>
          </cell>
          <cell r="F102">
            <v>-29321</v>
          </cell>
          <cell r="G102">
            <v>2</v>
          </cell>
          <cell r="H102">
            <v>5103</v>
          </cell>
          <cell r="K102">
            <v>-24218</v>
          </cell>
          <cell r="N102">
            <v>-27986</v>
          </cell>
          <cell r="O102">
            <v>3</v>
          </cell>
          <cell r="P102">
            <v>670</v>
          </cell>
          <cell r="S102">
            <v>-27316</v>
          </cell>
          <cell r="T102">
            <v>-24218</v>
          </cell>
          <cell r="W102">
            <v>-20</v>
          </cell>
          <cell r="X102">
            <v>1</v>
          </cell>
          <cell r="Y102">
            <v>670</v>
          </cell>
          <cell r="AB102">
            <v>650</v>
          </cell>
          <cell r="AC102">
            <v>-5103</v>
          </cell>
          <cell r="AF102">
            <v>0</v>
          </cell>
          <cell r="AK102">
            <v>0</v>
          </cell>
          <cell r="AL102">
            <v>0</v>
          </cell>
        </row>
        <row r="104">
          <cell r="C104">
            <v>897</v>
          </cell>
          <cell r="D104">
            <v>2167</v>
          </cell>
          <cell r="E104">
            <v>448</v>
          </cell>
          <cell r="F104">
            <v>3512</v>
          </cell>
          <cell r="I104">
            <v>2</v>
          </cell>
          <cell r="J104">
            <v>2167</v>
          </cell>
          <cell r="K104">
            <v>897</v>
          </cell>
          <cell r="N104">
            <v>-5293</v>
          </cell>
          <cell r="S104">
            <v>-5293</v>
          </cell>
          <cell r="T104">
            <v>897</v>
          </cell>
          <cell r="W104">
            <v>-3314</v>
          </cell>
          <cell r="AB104">
            <v>-3314</v>
          </cell>
          <cell r="AC104">
            <v>2167</v>
          </cell>
          <cell r="AF104">
            <v>566</v>
          </cell>
          <cell r="AK104">
            <v>566</v>
          </cell>
          <cell r="AL104">
            <v>448</v>
          </cell>
        </row>
        <row r="105">
          <cell r="I105">
            <v>3</v>
          </cell>
          <cell r="J105">
            <v>448</v>
          </cell>
        </row>
        <row r="106">
          <cell r="C106">
            <v>-1458</v>
          </cell>
          <cell r="D106">
            <v>-2012</v>
          </cell>
          <cell r="E106">
            <v>-49</v>
          </cell>
          <cell r="F106">
            <v>-3519</v>
          </cell>
          <cell r="K106">
            <v>-1458</v>
          </cell>
          <cell r="N106">
            <v>-81</v>
          </cell>
          <cell r="S106">
            <v>-1909</v>
          </cell>
          <cell r="T106">
            <v>-1458</v>
          </cell>
          <cell r="W106">
            <v>-2226</v>
          </cell>
          <cell r="AB106">
            <v>-2226</v>
          </cell>
          <cell r="AC106">
            <v>-2012</v>
          </cell>
          <cell r="AF106">
            <v>-35</v>
          </cell>
          <cell r="AK106">
            <v>-35</v>
          </cell>
          <cell r="AL106">
            <v>-49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K108">
            <v>0</v>
          </cell>
          <cell r="N108">
            <v>0</v>
          </cell>
          <cell r="S108">
            <v>5</v>
          </cell>
          <cell r="T108">
            <v>0</v>
          </cell>
          <cell r="W108">
            <v>0</v>
          </cell>
          <cell r="AB108">
            <v>0</v>
          </cell>
          <cell r="AC108">
            <v>0</v>
          </cell>
          <cell r="AF108">
            <v>0</v>
          </cell>
          <cell r="AK108">
            <v>0</v>
          </cell>
          <cell r="AL108">
            <v>0</v>
          </cell>
        </row>
        <row r="113">
          <cell r="C113">
            <v>-7286</v>
          </cell>
          <cell r="D113">
            <v>-6926</v>
          </cell>
          <cell r="E113">
            <v>-215</v>
          </cell>
          <cell r="F113">
            <v>-14427</v>
          </cell>
          <cell r="G113">
            <v>1</v>
          </cell>
          <cell r="H113">
            <v>17</v>
          </cell>
          <cell r="K113">
            <v>-14410</v>
          </cell>
          <cell r="N113">
            <v>-7211</v>
          </cell>
          <cell r="S113">
            <v>-7211</v>
          </cell>
          <cell r="T113">
            <v>-7286</v>
          </cell>
          <cell r="W113">
            <v>-6857</v>
          </cell>
          <cell r="AB113">
            <v>-6857</v>
          </cell>
          <cell r="AC113">
            <v>-6926</v>
          </cell>
          <cell r="AF113">
            <v>-213</v>
          </cell>
          <cell r="AK113">
            <v>-213</v>
          </cell>
          <cell r="AL113">
            <v>-215</v>
          </cell>
        </row>
        <row r="115"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K115">
            <v>0</v>
          </cell>
          <cell r="N115">
            <v>0</v>
          </cell>
          <cell r="S115">
            <v>0</v>
          </cell>
          <cell r="T115">
            <v>0</v>
          </cell>
          <cell r="AB115">
            <v>0</v>
          </cell>
          <cell r="AC115">
            <v>0</v>
          </cell>
          <cell r="AF115">
            <v>0</v>
          </cell>
          <cell r="AK115">
            <v>0</v>
          </cell>
          <cell r="AL115">
            <v>0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K117">
            <v>0</v>
          </cell>
          <cell r="N117">
            <v>0</v>
          </cell>
          <cell r="S117">
            <v>0</v>
          </cell>
          <cell r="T117">
            <v>0</v>
          </cell>
          <cell r="AB117">
            <v>0</v>
          </cell>
          <cell r="AC117">
            <v>0</v>
          </cell>
          <cell r="AF117">
            <v>0</v>
          </cell>
          <cell r="AK117">
            <v>0</v>
          </cell>
          <cell r="AL117">
            <v>0</v>
          </cell>
        </row>
        <row r="119">
          <cell r="C119">
            <v>6575</v>
          </cell>
          <cell r="D119">
            <v>4778</v>
          </cell>
          <cell r="E119">
            <v>130</v>
          </cell>
          <cell r="F119">
            <v>11483</v>
          </cell>
          <cell r="I119">
            <v>1</v>
          </cell>
          <cell r="J119">
            <v>17</v>
          </cell>
          <cell r="K119">
            <v>11466</v>
          </cell>
          <cell r="N119">
            <v>6510</v>
          </cell>
          <cell r="S119">
            <v>6510</v>
          </cell>
          <cell r="T119">
            <v>6575</v>
          </cell>
          <cell r="W119">
            <v>4731</v>
          </cell>
          <cell r="AB119">
            <v>4731</v>
          </cell>
          <cell r="AC119">
            <v>4778</v>
          </cell>
          <cell r="AF119">
            <v>129</v>
          </cell>
          <cell r="AK119">
            <v>129</v>
          </cell>
          <cell r="AL119">
            <v>130</v>
          </cell>
        </row>
        <row r="121">
          <cell r="C121">
            <v>173</v>
          </cell>
          <cell r="D121">
            <v>39</v>
          </cell>
          <cell r="E121">
            <v>63</v>
          </cell>
          <cell r="F121">
            <v>275</v>
          </cell>
          <cell r="K121">
            <v>275</v>
          </cell>
          <cell r="N121">
            <v>131</v>
          </cell>
          <cell r="S121">
            <v>131</v>
          </cell>
          <cell r="T121">
            <v>173</v>
          </cell>
          <cell r="W121">
            <v>34</v>
          </cell>
          <cell r="AB121">
            <v>34</v>
          </cell>
          <cell r="AC121">
            <v>39</v>
          </cell>
          <cell r="AF121">
            <v>49</v>
          </cell>
          <cell r="AK121">
            <v>49</v>
          </cell>
          <cell r="AL121">
            <v>63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K123">
            <v>0</v>
          </cell>
          <cell r="N123">
            <v>0</v>
          </cell>
          <cell r="S123">
            <v>0</v>
          </cell>
          <cell r="T123">
            <v>0</v>
          </cell>
          <cell r="AB123">
            <v>0</v>
          </cell>
          <cell r="AC123">
            <v>0</v>
          </cell>
          <cell r="AF123">
            <v>0</v>
          </cell>
          <cell r="AK123">
            <v>0</v>
          </cell>
          <cell r="AL123">
            <v>0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K125">
            <v>0</v>
          </cell>
          <cell r="N125">
            <v>0</v>
          </cell>
          <cell r="S125">
            <v>0</v>
          </cell>
          <cell r="T125">
            <v>0</v>
          </cell>
          <cell r="AB125">
            <v>0</v>
          </cell>
          <cell r="AC125">
            <v>0</v>
          </cell>
          <cell r="AF125">
            <v>0</v>
          </cell>
          <cell r="AK125">
            <v>0</v>
          </cell>
          <cell r="AL125">
            <v>0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K127">
            <v>0</v>
          </cell>
          <cell r="N127">
            <v>0</v>
          </cell>
          <cell r="S127">
            <v>0</v>
          </cell>
          <cell r="T127">
            <v>0</v>
          </cell>
          <cell r="AB127">
            <v>0</v>
          </cell>
          <cell r="AC127">
            <v>0</v>
          </cell>
          <cell r="AF127">
            <v>0</v>
          </cell>
          <cell r="AK127">
            <v>0</v>
          </cell>
          <cell r="AL127">
            <v>0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K129">
            <v>0</v>
          </cell>
          <cell r="N129">
            <v>0</v>
          </cell>
          <cell r="S129">
            <v>0</v>
          </cell>
          <cell r="T129">
            <v>0</v>
          </cell>
          <cell r="AB129">
            <v>0</v>
          </cell>
          <cell r="AC129">
            <v>0</v>
          </cell>
          <cell r="AF129">
            <v>0</v>
          </cell>
          <cell r="AK129">
            <v>0</v>
          </cell>
          <cell r="AL129">
            <v>0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K131">
            <v>0</v>
          </cell>
          <cell r="N131">
            <v>0</v>
          </cell>
          <cell r="S131">
            <v>0</v>
          </cell>
          <cell r="T131">
            <v>0</v>
          </cell>
          <cell r="AB131">
            <v>0</v>
          </cell>
          <cell r="AC131">
            <v>0</v>
          </cell>
          <cell r="AF131">
            <v>0</v>
          </cell>
          <cell r="AK131">
            <v>0</v>
          </cell>
          <cell r="AL131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K133">
            <v>0</v>
          </cell>
          <cell r="S133">
            <v>0</v>
          </cell>
          <cell r="T133">
            <v>0</v>
          </cell>
          <cell r="AB133">
            <v>0</v>
          </cell>
          <cell r="AC133">
            <v>0</v>
          </cell>
          <cell r="AK133">
            <v>0</v>
          </cell>
          <cell r="AL133">
            <v>0</v>
          </cell>
        </row>
        <row r="135">
          <cell r="C135">
            <v>1046</v>
          </cell>
          <cell r="D135">
            <v>62</v>
          </cell>
          <cell r="E135">
            <v>0</v>
          </cell>
          <cell r="F135">
            <v>1108</v>
          </cell>
          <cell r="K135">
            <v>1108</v>
          </cell>
          <cell r="N135">
            <v>1035</v>
          </cell>
          <cell r="S135">
            <v>1035</v>
          </cell>
          <cell r="T135">
            <v>1046</v>
          </cell>
          <cell r="W135">
            <v>61</v>
          </cell>
          <cell r="AB135">
            <v>61</v>
          </cell>
          <cell r="AC135">
            <v>62</v>
          </cell>
          <cell r="AF135">
            <v>0</v>
          </cell>
          <cell r="AK135">
            <v>0</v>
          </cell>
          <cell r="AL135">
            <v>0</v>
          </cell>
        </row>
        <row r="137">
          <cell r="C137">
            <v>336</v>
          </cell>
          <cell r="D137">
            <v>0</v>
          </cell>
          <cell r="E137">
            <v>0</v>
          </cell>
          <cell r="F137">
            <v>336</v>
          </cell>
          <cell r="K137">
            <v>336</v>
          </cell>
          <cell r="N137">
            <v>316</v>
          </cell>
          <cell r="S137">
            <v>316</v>
          </cell>
          <cell r="T137">
            <v>336</v>
          </cell>
          <cell r="AB137">
            <v>0</v>
          </cell>
          <cell r="AC137">
            <v>0</v>
          </cell>
          <cell r="AF137">
            <v>0</v>
          </cell>
          <cell r="AK137">
            <v>0</v>
          </cell>
          <cell r="AL137">
            <v>0</v>
          </cell>
        </row>
        <row r="139">
          <cell r="C139">
            <v>-191</v>
          </cell>
          <cell r="D139">
            <v>35</v>
          </cell>
          <cell r="E139">
            <v>-27</v>
          </cell>
          <cell r="F139">
            <v>-183</v>
          </cell>
          <cell r="K139">
            <v>-183</v>
          </cell>
          <cell r="N139">
            <v>-796</v>
          </cell>
          <cell r="S139">
            <v>-796</v>
          </cell>
          <cell r="T139">
            <v>-191</v>
          </cell>
          <cell r="W139">
            <v>-195</v>
          </cell>
          <cell r="AB139">
            <v>-195</v>
          </cell>
          <cell r="AC139">
            <v>35</v>
          </cell>
          <cell r="AF139">
            <v>0</v>
          </cell>
          <cell r="AK139">
            <v>0</v>
          </cell>
          <cell r="AL139">
            <v>-27</v>
          </cell>
        </row>
        <row r="141">
          <cell r="C141">
            <v>-2</v>
          </cell>
          <cell r="D141">
            <v>0</v>
          </cell>
          <cell r="E141">
            <v>0</v>
          </cell>
          <cell r="F141">
            <v>-2</v>
          </cell>
          <cell r="K141">
            <v>-2</v>
          </cell>
          <cell r="N141">
            <v>-29</v>
          </cell>
          <cell r="S141">
            <v>-29</v>
          </cell>
          <cell r="T141">
            <v>-2</v>
          </cell>
          <cell r="AB141">
            <v>0</v>
          </cell>
          <cell r="AF141">
            <v>0</v>
          </cell>
          <cell r="AK141">
            <v>0</v>
          </cell>
          <cell r="AL141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K143">
            <v>0</v>
          </cell>
          <cell r="N143">
            <v>0</v>
          </cell>
          <cell r="S143">
            <v>0</v>
          </cell>
        </row>
        <row r="145">
          <cell r="C145">
            <v>-2164</v>
          </cell>
          <cell r="D145">
            <v>0</v>
          </cell>
          <cell r="E145">
            <v>0</v>
          </cell>
          <cell r="F145">
            <v>-2164</v>
          </cell>
          <cell r="G145">
            <v>2</v>
          </cell>
          <cell r="H145">
            <v>2012</v>
          </cell>
          <cell r="K145">
            <v>-103</v>
          </cell>
          <cell r="N145">
            <v>0</v>
          </cell>
          <cell r="O145">
            <v>6</v>
          </cell>
          <cell r="P145">
            <v>428</v>
          </cell>
          <cell r="Q145">
            <v>4</v>
          </cell>
          <cell r="R145">
            <v>2226</v>
          </cell>
          <cell r="S145">
            <v>-1920</v>
          </cell>
          <cell r="T145">
            <v>-2164</v>
          </cell>
          <cell r="AB145">
            <v>0</v>
          </cell>
          <cell r="AC145">
            <v>0</v>
          </cell>
          <cell r="AF145">
            <v>0</v>
          </cell>
          <cell r="AK145">
            <v>0</v>
          </cell>
          <cell r="AL145">
            <v>0</v>
          </cell>
        </row>
        <row r="146">
          <cell r="O146">
            <v>8</v>
          </cell>
          <cell r="P146">
            <v>160</v>
          </cell>
          <cell r="Q146">
            <v>7</v>
          </cell>
          <cell r="R146">
            <v>247</v>
          </cell>
        </row>
        <row r="147">
          <cell r="G147">
            <v>3</v>
          </cell>
          <cell r="H147">
            <v>49</v>
          </cell>
          <cell r="Q147">
            <v>5</v>
          </cell>
          <cell r="R147">
            <v>35</v>
          </cell>
        </row>
        <row r="148">
          <cell r="C148">
            <v>-216</v>
          </cell>
          <cell r="D148">
            <v>0</v>
          </cell>
          <cell r="E148">
            <v>0</v>
          </cell>
          <cell r="F148">
            <v>-216</v>
          </cell>
          <cell r="K148">
            <v>-216</v>
          </cell>
          <cell r="N148">
            <v>0</v>
          </cell>
          <cell r="O148">
            <v>9</v>
          </cell>
          <cell r="P148">
            <v>92</v>
          </cell>
          <cell r="S148">
            <v>92</v>
          </cell>
          <cell r="T148">
            <v>-216</v>
          </cell>
          <cell r="AB148">
            <v>0</v>
          </cell>
          <cell r="AC148">
            <v>0</v>
          </cell>
          <cell r="AF148">
            <v>0</v>
          </cell>
          <cell r="AK148">
            <v>0</v>
          </cell>
          <cell r="AL148">
            <v>0</v>
          </cell>
        </row>
        <row r="150">
          <cell r="C150">
            <v>-37</v>
          </cell>
          <cell r="D150">
            <v>0</v>
          </cell>
          <cell r="E150">
            <v>0</v>
          </cell>
          <cell r="F150">
            <v>-37</v>
          </cell>
          <cell r="K150">
            <v>-37</v>
          </cell>
          <cell r="N150">
            <v>-37</v>
          </cell>
          <cell r="S150">
            <v>-37</v>
          </cell>
          <cell r="T150">
            <v>-37</v>
          </cell>
          <cell r="AB150">
            <v>0</v>
          </cell>
          <cell r="AC150">
            <v>0</v>
          </cell>
          <cell r="AF150">
            <v>0</v>
          </cell>
          <cell r="AK150">
            <v>0</v>
          </cell>
          <cell r="AL150">
            <v>0</v>
          </cell>
        </row>
        <row r="152">
          <cell r="C152">
            <v>308</v>
          </cell>
          <cell r="D152">
            <v>0</v>
          </cell>
          <cell r="E152">
            <v>0</v>
          </cell>
          <cell r="F152">
            <v>308</v>
          </cell>
          <cell r="K152">
            <v>308</v>
          </cell>
          <cell r="N152">
            <v>0</v>
          </cell>
          <cell r="S152">
            <v>0</v>
          </cell>
          <cell r="T152">
            <v>308</v>
          </cell>
          <cell r="AB152">
            <v>0</v>
          </cell>
          <cell r="AC152">
            <v>0</v>
          </cell>
          <cell r="AF152">
            <v>0</v>
          </cell>
          <cell r="AK152">
            <v>0</v>
          </cell>
          <cell r="AL152">
            <v>0</v>
          </cell>
        </row>
        <row r="154">
          <cell r="C154">
            <v>-1458</v>
          </cell>
          <cell r="D154">
            <v>-2012</v>
          </cell>
          <cell r="E154">
            <v>-49</v>
          </cell>
          <cell r="F154">
            <v>-3519</v>
          </cell>
          <cell r="H154">
            <v>13483</v>
          </cell>
          <cell r="J154">
            <v>13483</v>
          </cell>
          <cell r="K154">
            <v>-1458</v>
          </cell>
          <cell r="N154">
            <v>-81</v>
          </cell>
          <cell r="S154">
            <v>-1909</v>
          </cell>
          <cell r="T154">
            <v>-1458</v>
          </cell>
          <cell r="W154">
            <v>-2226</v>
          </cell>
          <cell r="AB154">
            <v>-2226</v>
          </cell>
          <cell r="AC154">
            <v>-2012</v>
          </cell>
          <cell r="AF154">
            <v>-35</v>
          </cell>
          <cell r="AK154">
            <v>-35</v>
          </cell>
          <cell r="AL154">
            <v>-49</v>
          </cell>
        </row>
      </sheetData>
      <sheetData sheetId="1" refreshError="1">
        <row r="6">
          <cell r="C6">
            <v>609</v>
          </cell>
          <cell r="H6">
            <v>609</v>
          </cell>
          <cell r="I6">
            <v>609</v>
          </cell>
        </row>
        <row r="8">
          <cell r="C8">
            <v>0</v>
          </cell>
          <cell r="H8">
            <v>0</v>
          </cell>
          <cell r="I8">
            <v>0</v>
          </cell>
        </row>
        <row r="10">
          <cell r="C10">
            <v>26547</v>
          </cell>
          <cell r="D10">
            <v>1</v>
          </cell>
          <cell r="E10">
            <v>11</v>
          </cell>
          <cell r="F10">
            <v>11</v>
          </cell>
          <cell r="G10">
            <v>147</v>
          </cell>
          <cell r="H10">
            <v>26397</v>
          </cell>
          <cell r="I10">
            <v>26397</v>
          </cell>
        </row>
        <row r="11">
          <cell r="D11">
            <v>16</v>
          </cell>
          <cell r="E11">
            <v>36</v>
          </cell>
          <cell r="F11">
            <v>14</v>
          </cell>
          <cell r="G11">
            <v>50</v>
          </cell>
        </row>
        <row r="12">
          <cell r="C12">
            <v>1322</v>
          </cell>
          <cell r="H12">
            <v>1322</v>
          </cell>
          <cell r="I12">
            <v>1322</v>
          </cell>
        </row>
        <row r="14">
          <cell r="C14">
            <v>1475</v>
          </cell>
          <cell r="D14">
            <v>9</v>
          </cell>
          <cell r="E14">
            <v>34</v>
          </cell>
          <cell r="F14">
            <v>24</v>
          </cell>
          <cell r="G14">
            <v>-449</v>
          </cell>
          <cell r="H14">
            <v>1992</v>
          </cell>
          <cell r="I14">
            <v>1992</v>
          </cell>
        </row>
        <row r="15">
          <cell r="D15">
            <v>17</v>
          </cell>
          <cell r="E15">
            <v>34</v>
          </cell>
        </row>
        <row r="16">
          <cell r="C16">
            <v>0</v>
          </cell>
          <cell r="H16">
            <v>0</v>
          </cell>
          <cell r="I16">
            <v>0</v>
          </cell>
        </row>
        <row r="18">
          <cell r="C18">
            <v>0</v>
          </cell>
          <cell r="H18">
            <v>0</v>
          </cell>
          <cell r="I18">
            <v>0</v>
          </cell>
        </row>
        <row r="20">
          <cell r="C20">
            <v>854</v>
          </cell>
          <cell r="D20">
            <v>11</v>
          </cell>
          <cell r="E20">
            <v>147</v>
          </cell>
          <cell r="F20">
            <v>5</v>
          </cell>
          <cell r="G20">
            <v>1020</v>
          </cell>
          <cell r="H20">
            <v>1</v>
          </cell>
          <cell r="I20">
            <v>1</v>
          </cell>
        </row>
        <row r="21">
          <cell r="D21">
            <v>21</v>
          </cell>
          <cell r="E21">
            <v>20</v>
          </cell>
        </row>
        <row r="22">
          <cell r="C22">
            <v>-364</v>
          </cell>
          <cell r="F22">
            <v>1</v>
          </cell>
          <cell r="G22">
            <v>11</v>
          </cell>
          <cell r="H22">
            <v>-468</v>
          </cell>
          <cell r="I22">
            <v>-468</v>
          </cell>
        </row>
        <row r="23">
          <cell r="F23">
            <v>6</v>
          </cell>
          <cell r="G23">
            <v>93</v>
          </cell>
        </row>
        <row r="24">
          <cell r="C24">
            <v>0</v>
          </cell>
          <cell r="H24">
            <v>0</v>
          </cell>
          <cell r="I24">
            <v>0</v>
          </cell>
        </row>
        <row r="26">
          <cell r="C26">
            <v>536</v>
          </cell>
          <cell r="H26">
            <v>536</v>
          </cell>
          <cell r="I26">
            <v>536</v>
          </cell>
        </row>
        <row r="28">
          <cell r="C28">
            <v>574</v>
          </cell>
          <cell r="H28">
            <v>574</v>
          </cell>
          <cell r="I28">
            <v>574</v>
          </cell>
        </row>
        <row r="30">
          <cell r="C30">
            <v>0</v>
          </cell>
          <cell r="H30">
            <v>0</v>
          </cell>
          <cell r="I30">
            <v>0</v>
          </cell>
        </row>
        <row r="32">
          <cell r="C32">
            <v>0</v>
          </cell>
          <cell r="H32">
            <v>0</v>
          </cell>
        </row>
        <row r="34">
          <cell r="C34">
            <v>0</v>
          </cell>
          <cell r="H34">
            <v>0</v>
          </cell>
          <cell r="I34">
            <v>0</v>
          </cell>
        </row>
        <row r="36">
          <cell r="C36">
            <v>98</v>
          </cell>
          <cell r="H36">
            <v>98</v>
          </cell>
          <cell r="I36">
            <v>98</v>
          </cell>
        </row>
        <row r="38">
          <cell r="C38">
            <v>8400</v>
          </cell>
          <cell r="F38">
            <v>8</v>
          </cell>
          <cell r="G38">
            <v>75</v>
          </cell>
          <cell r="H38">
            <v>8325</v>
          </cell>
          <cell r="I38">
            <v>8525</v>
          </cell>
        </row>
        <row r="40">
          <cell r="C40">
            <v>3996</v>
          </cell>
          <cell r="H40">
            <v>3996</v>
          </cell>
          <cell r="I40">
            <v>4398</v>
          </cell>
        </row>
        <row r="42">
          <cell r="C42">
            <v>585</v>
          </cell>
          <cell r="H42">
            <v>585</v>
          </cell>
          <cell r="I42">
            <v>585</v>
          </cell>
        </row>
        <row r="44">
          <cell r="C44">
            <v>0</v>
          </cell>
          <cell r="H44">
            <v>0</v>
          </cell>
        </row>
        <row r="46">
          <cell r="C46">
            <v>0</v>
          </cell>
          <cell r="H46">
            <v>0</v>
          </cell>
          <cell r="I46">
            <v>0</v>
          </cell>
        </row>
        <row r="48">
          <cell r="C48">
            <v>0</v>
          </cell>
          <cell r="H48">
            <v>0</v>
          </cell>
        </row>
        <row r="50">
          <cell r="C50">
            <v>-19942</v>
          </cell>
          <cell r="H50">
            <v>-19942</v>
          </cell>
          <cell r="I50">
            <v>-19942</v>
          </cell>
        </row>
        <row r="52">
          <cell r="C52">
            <v>0</v>
          </cell>
          <cell r="H52">
            <v>0</v>
          </cell>
        </row>
        <row r="54">
          <cell r="C54">
            <v>0</v>
          </cell>
          <cell r="H54">
            <v>0</v>
          </cell>
        </row>
        <row r="56">
          <cell r="C56">
            <v>0</v>
          </cell>
          <cell r="H56">
            <v>0</v>
          </cell>
          <cell r="I56">
            <v>0</v>
          </cell>
        </row>
        <row r="58">
          <cell r="C58">
            <v>0</v>
          </cell>
          <cell r="H58">
            <v>0</v>
          </cell>
        </row>
        <row r="60">
          <cell r="C60">
            <v>11266</v>
          </cell>
          <cell r="H60">
            <v>11266</v>
          </cell>
          <cell r="I60">
            <v>27316</v>
          </cell>
        </row>
        <row r="62">
          <cell r="C62">
            <v>-8582</v>
          </cell>
          <cell r="H62">
            <v>-8582</v>
          </cell>
          <cell r="I62">
            <v>-23608</v>
          </cell>
        </row>
        <row r="64">
          <cell r="C64">
            <v>59</v>
          </cell>
          <cell r="H64">
            <v>59</v>
          </cell>
          <cell r="I64">
            <v>70</v>
          </cell>
        </row>
        <row r="66">
          <cell r="H66">
            <v>0</v>
          </cell>
          <cell r="I66">
            <v>0</v>
          </cell>
        </row>
        <row r="68">
          <cell r="H68">
            <v>0</v>
          </cell>
          <cell r="I68">
            <v>0</v>
          </cell>
        </row>
        <row r="70">
          <cell r="C70">
            <v>-600</v>
          </cell>
          <cell r="F70">
            <v>7</v>
          </cell>
          <cell r="G70">
            <v>1057</v>
          </cell>
          <cell r="H70">
            <v>-1657</v>
          </cell>
          <cell r="I70">
            <v>-1657</v>
          </cell>
        </row>
        <row r="72">
          <cell r="C72">
            <v>-25672</v>
          </cell>
          <cell r="D72">
            <v>5</v>
          </cell>
          <cell r="E72">
            <v>1020</v>
          </cell>
          <cell r="F72">
            <v>10</v>
          </cell>
          <cell r="G72">
            <v>168</v>
          </cell>
          <cell r="H72">
            <v>-24413</v>
          </cell>
          <cell r="I72">
            <v>-24413</v>
          </cell>
        </row>
        <row r="73">
          <cell r="D73">
            <v>6</v>
          </cell>
          <cell r="E73">
            <v>93</v>
          </cell>
          <cell r="F73">
            <v>12</v>
          </cell>
          <cell r="G73">
            <v>-134</v>
          </cell>
        </row>
        <row r="74">
          <cell r="D74">
            <v>13</v>
          </cell>
          <cell r="E74">
            <v>262</v>
          </cell>
          <cell r="F74">
            <v>15</v>
          </cell>
          <cell r="G74">
            <v>238</v>
          </cell>
        </row>
        <row r="75">
          <cell r="D75">
            <v>19</v>
          </cell>
          <cell r="E75">
            <v>99</v>
          </cell>
          <cell r="F75">
            <v>18</v>
          </cell>
          <cell r="G75">
            <v>60</v>
          </cell>
        </row>
        <row r="76">
          <cell r="D76">
            <v>20</v>
          </cell>
          <cell r="E76">
            <v>16</v>
          </cell>
          <cell r="F76">
            <v>22</v>
          </cell>
          <cell r="G76">
            <v>-101</v>
          </cell>
        </row>
        <row r="77">
          <cell r="H77">
            <v>0</v>
          </cell>
          <cell r="I77">
            <v>0</v>
          </cell>
        </row>
        <row r="79">
          <cell r="C79">
            <v>-2343</v>
          </cell>
          <cell r="D79">
            <v>4</v>
          </cell>
          <cell r="E79">
            <v>79</v>
          </cell>
          <cell r="F79">
            <v>3</v>
          </cell>
          <cell r="G79">
            <v>17</v>
          </cell>
          <cell r="H79">
            <v>-2399</v>
          </cell>
          <cell r="I79">
            <v>-2399</v>
          </cell>
        </row>
        <row r="80">
          <cell r="D80">
            <v>22</v>
          </cell>
          <cell r="E80">
            <v>-101</v>
          </cell>
          <cell r="F80">
            <v>23</v>
          </cell>
          <cell r="G80">
            <v>17</v>
          </cell>
        </row>
        <row r="81">
          <cell r="C81">
            <v>-1623</v>
          </cell>
          <cell r="H81">
            <v>-1623</v>
          </cell>
          <cell r="I81">
            <v>-1623</v>
          </cell>
        </row>
        <row r="83">
          <cell r="C83">
            <v>-344</v>
          </cell>
          <cell r="H83">
            <v>-344</v>
          </cell>
          <cell r="I83">
            <v>-344</v>
          </cell>
        </row>
        <row r="85">
          <cell r="C85">
            <v>0</v>
          </cell>
          <cell r="H85">
            <v>0</v>
          </cell>
          <cell r="I85">
            <v>0</v>
          </cell>
        </row>
        <row r="87">
          <cell r="C87">
            <v>-1011</v>
          </cell>
          <cell r="H87">
            <v>-1011</v>
          </cell>
          <cell r="I87">
            <v>-1011</v>
          </cell>
        </row>
        <row r="89">
          <cell r="C89">
            <v>-1239</v>
          </cell>
          <cell r="H89">
            <v>-1239</v>
          </cell>
          <cell r="I89">
            <v>-1239</v>
          </cell>
        </row>
        <row r="91">
          <cell r="C91">
            <v>-22</v>
          </cell>
          <cell r="H91">
            <v>-22</v>
          </cell>
          <cell r="I91">
            <v>-22</v>
          </cell>
        </row>
        <row r="93">
          <cell r="C93">
            <v>-1695</v>
          </cell>
          <cell r="D93">
            <v>2</v>
          </cell>
          <cell r="E93">
            <v>98</v>
          </cell>
          <cell r="H93">
            <v>-1597</v>
          </cell>
          <cell r="I93">
            <v>-1597</v>
          </cell>
        </row>
        <row r="95">
          <cell r="C95">
            <v>298</v>
          </cell>
          <cell r="H95">
            <v>298</v>
          </cell>
          <cell r="I95">
            <v>298</v>
          </cell>
        </row>
        <row r="97">
          <cell r="C97">
            <v>-6227</v>
          </cell>
          <cell r="D97">
            <v>7</v>
          </cell>
          <cell r="E97">
            <v>1057</v>
          </cell>
          <cell r="H97">
            <v>-5170</v>
          </cell>
          <cell r="I97">
            <v>-5170</v>
          </cell>
        </row>
        <row r="99">
          <cell r="C99">
            <v>0</v>
          </cell>
          <cell r="H99">
            <v>0</v>
          </cell>
          <cell r="I99">
            <v>0</v>
          </cell>
        </row>
        <row r="101">
          <cell r="C101">
            <v>-40</v>
          </cell>
          <cell r="H101">
            <v>-40</v>
          </cell>
          <cell r="I101">
            <v>-4339</v>
          </cell>
        </row>
        <row r="103">
          <cell r="C103">
            <v>-2986</v>
          </cell>
          <cell r="H103">
            <v>-2986</v>
          </cell>
          <cell r="I103">
            <v>-4191</v>
          </cell>
        </row>
        <row r="105">
          <cell r="C105">
            <v>-367</v>
          </cell>
          <cell r="H105">
            <v>-367</v>
          </cell>
          <cell r="I105">
            <v>-28</v>
          </cell>
        </row>
        <row r="107">
          <cell r="C107">
            <v>15374</v>
          </cell>
          <cell r="H107">
            <v>15374</v>
          </cell>
          <cell r="I107">
            <v>19333</v>
          </cell>
        </row>
        <row r="109">
          <cell r="C109">
            <v>1064</v>
          </cell>
          <cell r="H109">
            <v>428</v>
          </cell>
          <cell r="I109">
            <v>-3</v>
          </cell>
        </row>
        <row r="111">
          <cell r="C111">
            <v>0</v>
          </cell>
          <cell r="H111">
            <v>0</v>
          </cell>
          <cell r="I111">
            <v>0</v>
          </cell>
        </row>
        <row r="116">
          <cell r="H116">
            <v>0</v>
          </cell>
          <cell r="I116">
            <v>0</v>
          </cell>
        </row>
        <row r="118">
          <cell r="C118">
            <v>-25634</v>
          </cell>
          <cell r="D118">
            <v>14</v>
          </cell>
          <cell r="E118">
            <v>50</v>
          </cell>
          <cell r="H118">
            <v>-25584</v>
          </cell>
          <cell r="I118">
            <v>-25812</v>
          </cell>
        </row>
        <row r="120">
          <cell r="C120">
            <v>-7862</v>
          </cell>
          <cell r="D120">
            <v>17</v>
          </cell>
          <cell r="E120">
            <v>-34</v>
          </cell>
          <cell r="F120">
            <v>9</v>
          </cell>
          <cell r="G120">
            <v>34</v>
          </cell>
          <cell r="H120">
            <v>-8415</v>
          </cell>
          <cell r="I120">
            <v>-8515</v>
          </cell>
        </row>
        <row r="121">
          <cell r="D121">
            <v>24</v>
          </cell>
          <cell r="E121">
            <v>-449</v>
          </cell>
          <cell r="F121">
            <v>16</v>
          </cell>
          <cell r="G121">
            <v>36</v>
          </cell>
        </row>
        <row r="122">
          <cell r="H122">
            <v>0</v>
          </cell>
        </row>
        <row r="124">
          <cell r="H124">
            <v>0</v>
          </cell>
        </row>
        <row r="126">
          <cell r="C126">
            <v>21957</v>
          </cell>
          <cell r="D126">
            <v>8</v>
          </cell>
          <cell r="E126">
            <v>75</v>
          </cell>
          <cell r="F126">
            <v>13</v>
          </cell>
          <cell r="G126">
            <v>262</v>
          </cell>
          <cell r="H126">
            <v>21874</v>
          </cell>
          <cell r="I126">
            <v>22133</v>
          </cell>
        </row>
        <row r="127">
          <cell r="D127">
            <v>15</v>
          </cell>
          <cell r="E127">
            <v>238</v>
          </cell>
          <cell r="F127">
            <v>12</v>
          </cell>
          <cell r="G127">
            <v>134</v>
          </cell>
        </row>
        <row r="128">
          <cell r="C128">
            <v>7574</v>
          </cell>
          <cell r="D128">
            <v>10</v>
          </cell>
          <cell r="E128">
            <v>168</v>
          </cell>
          <cell r="F128">
            <v>2</v>
          </cell>
          <cell r="G128">
            <v>66</v>
          </cell>
          <cell r="H128">
            <v>7558</v>
          </cell>
          <cell r="I128">
            <v>7612</v>
          </cell>
        </row>
        <row r="129">
          <cell r="D129">
            <v>18</v>
          </cell>
          <cell r="E129">
            <v>60</v>
          </cell>
          <cell r="F129">
            <v>4</v>
          </cell>
          <cell r="G129">
            <v>79</v>
          </cell>
        </row>
        <row r="130">
          <cell r="D130">
            <v>19</v>
          </cell>
          <cell r="E130">
            <v>-99</v>
          </cell>
        </row>
        <row r="131">
          <cell r="C131">
            <v>155</v>
          </cell>
          <cell r="H131">
            <v>155</v>
          </cell>
          <cell r="I131">
            <v>233</v>
          </cell>
        </row>
        <row r="133">
          <cell r="H133">
            <v>0</v>
          </cell>
        </row>
        <row r="135">
          <cell r="C135">
            <v>1932</v>
          </cell>
          <cell r="D135">
            <v>23</v>
          </cell>
          <cell r="E135">
            <v>17</v>
          </cell>
          <cell r="F135">
            <v>2</v>
          </cell>
          <cell r="G135">
            <v>16</v>
          </cell>
          <cell r="H135">
            <v>1933</v>
          </cell>
          <cell r="I135">
            <v>1963</v>
          </cell>
        </row>
        <row r="137">
          <cell r="C137">
            <v>113</v>
          </cell>
          <cell r="H137">
            <v>113</v>
          </cell>
          <cell r="I137">
            <v>172</v>
          </cell>
        </row>
        <row r="139">
          <cell r="C139">
            <v>1687</v>
          </cell>
          <cell r="D139">
            <v>3</v>
          </cell>
          <cell r="E139">
            <v>17</v>
          </cell>
          <cell r="F139">
            <v>2</v>
          </cell>
          <cell r="G139">
            <v>16</v>
          </cell>
          <cell r="H139">
            <v>1688</v>
          </cell>
          <cell r="I139">
            <v>1706</v>
          </cell>
        </row>
        <row r="141">
          <cell r="C141">
            <v>79</v>
          </cell>
          <cell r="H141">
            <v>79</v>
          </cell>
          <cell r="I141">
            <v>117</v>
          </cell>
        </row>
        <row r="143">
          <cell r="C143">
            <v>1047</v>
          </cell>
          <cell r="F143">
            <v>20</v>
          </cell>
          <cell r="G143">
            <v>16</v>
          </cell>
          <cell r="H143">
            <v>1011</v>
          </cell>
          <cell r="I143">
            <v>372</v>
          </cell>
        </row>
        <row r="144">
          <cell r="F144">
            <v>21</v>
          </cell>
          <cell r="G144">
            <v>20</v>
          </cell>
        </row>
        <row r="145">
          <cell r="C145">
            <v>0</v>
          </cell>
          <cell r="H145">
            <v>0</v>
          </cell>
        </row>
        <row r="147">
          <cell r="H147">
            <v>0</v>
          </cell>
        </row>
        <row r="149">
          <cell r="H149">
            <v>0</v>
          </cell>
        </row>
        <row r="151">
          <cell r="C151">
            <v>16</v>
          </cell>
          <cell r="H151">
            <v>16</v>
          </cell>
          <cell r="I151">
            <v>16</v>
          </cell>
        </row>
        <row r="153">
          <cell r="H153">
            <v>0</v>
          </cell>
        </row>
        <row r="155">
          <cell r="H155">
            <v>0</v>
          </cell>
        </row>
        <row r="157">
          <cell r="C157">
            <v>1064</v>
          </cell>
          <cell r="H157">
            <v>428</v>
          </cell>
          <cell r="I157">
            <v>-3</v>
          </cell>
        </row>
      </sheetData>
      <sheetData sheetId="2" refreshError="1">
        <row r="6">
          <cell r="C6">
            <v>3</v>
          </cell>
          <cell r="H6">
            <v>3</v>
          </cell>
          <cell r="I6">
            <v>3</v>
          </cell>
          <cell r="J6">
            <v>2</v>
          </cell>
        </row>
        <row r="8">
          <cell r="C8">
            <v>0</v>
          </cell>
          <cell r="H8">
            <v>0</v>
          </cell>
          <cell r="I8">
            <v>0</v>
          </cell>
          <cell r="J8">
            <v>0</v>
          </cell>
        </row>
        <row r="10">
          <cell r="C10">
            <v>1691</v>
          </cell>
          <cell r="H10">
            <v>1691</v>
          </cell>
          <cell r="I10">
            <v>1691</v>
          </cell>
          <cell r="J10">
            <v>846</v>
          </cell>
        </row>
        <row r="12">
          <cell r="C12">
            <v>0</v>
          </cell>
          <cell r="H12">
            <v>0</v>
          </cell>
          <cell r="I12">
            <v>0</v>
          </cell>
          <cell r="J12">
            <v>0</v>
          </cell>
        </row>
        <row r="14">
          <cell r="C14">
            <v>0</v>
          </cell>
          <cell r="H14">
            <v>0</v>
          </cell>
          <cell r="I14">
            <v>0</v>
          </cell>
          <cell r="J14">
            <v>0</v>
          </cell>
        </row>
        <row r="16">
          <cell r="C16">
            <v>0</v>
          </cell>
          <cell r="H16">
            <v>0</v>
          </cell>
          <cell r="I16">
            <v>0</v>
          </cell>
          <cell r="J16">
            <v>0</v>
          </cell>
        </row>
        <row r="18">
          <cell r="C18">
            <v>0</v>
          </cell>
          <cell r="H18">
            <v>0</v>
          </cell>
          <cell r="I18">
            <v>0</v>
          </cell>
          <cell r="J18">
            <v>0</v>
          </cell>
        </row>
        <row r="20">
          <cell r="C20">
            <v>-306</v>
          </cell>
          <cell r="H20">
            <v>-306</v>
          </cell>
          <cell r="I20">
            <v>-306</v>
          </cell>
          <cell r="J20">
            <v>-153</v>
          </cell>
        </row>
        <row r="22">
          <cell r="C22">
            <v>19</v>
          </cell>
          <cell r="F22">
            <v>3</v>
          </cell>
          <cell r="G22">
            <v>20</v>
          </cell>
          <cell r="H22">
            <v>-1</v>
          </cell>
          <cell r="I22">
            <v>-1</v>
          </cell>
          <cell r="J22">
            <v>-1</v>
          </cell>
        </row>
        <row r="24">
          <cell r="H24">
            <v>0</v>
          </cell>
          <cell r="I24">
            <v>0</v>
          </cell>
          <cell r="J24">
            <v>0</v>
          </cell>
        </row>
        <row r="26">
          <cell r="C26">
            <v>623</v>
          </cell>
          <cell r="F26">
            <v>2</v>
          </cell>
          <cell r="G26">
            <v>260</v>
          </cell>
          <cell r="H26">
            <v>363</v>
          </cell>
          <cell r="I26">
            <v>363</v>
          </cell>
          <cell r="J26">
            <v>182</v>
          </cell>
        </row>
        <row r="28">
          <cell r="C28">
            <v>291</v>
          </cell>
          <cell r="H28">
            <v>291</v>
          </cell>
          <cell r="I28">
            <v>291</v>
          </cell>
          <cell r="J28">
            <v>146</v>
          </cell>
        </row>
        <row r="30">
          <cell r="C30">
            <v>1</v>
          </cell>
          <cell r="H30">
            <v>1</v>
          </cell>
          <cell r="I30">
            <v>1</v>
          </cell>
          <cell r="J30">
            <v>1</v>
          </cell>
        </row>
        <row r="32">
          <cell r="C32">
            <v>0</v>
          </cell>
          <cell r="H32">
            <v>0</v>
          </cell>
          <cell r="I32">
            <v>0</v>
          </cell>
          <cell r="J32">
            <v>0</v>
          </cell>
        </row>
        <row r="34">
          <cell r="C34">
            <v>0</v>
          </cell>
          <cell r="H34">
            <v>0</v>
          </cell>
          <cell r="I34">
            <v>0</v>
          </cell>
          <cell r="J34">
            <v>0</v>
          </cell>
        </row>
        <row r="36">
          <cell r="C36">
            <v>3</v>
          </cell>
          <cell r="H36">
            <v>3</v>
          </cell>
          <cell r="I36">
            <v>3</v>
          </cell>
          <cell r="J36">
            <v>2</v>
          </cell>
        </row>
        <row r="38">
          <cell r="C38">
            <v>0</v>
          </cell>
          <cell r="H38">
            <v>0</v>
          </cell>
          <cell r="I38">
            <v>0</v>
          </cell>
          <cell r="J38">
            <v>0</v>
          </cell>
        </row>
        <row r="40">
          <cell r="C40">
            <v>11</v>
          </cell>
          <cell r="H40">
            <v>11</v>
          </cell>
          <cell r="I40">
            <v>11</v>
          </cell>
          <cell r="J40">
            <v>6</v>
          </cell>
        </row>
        <row r="42">
          <cell r="C42">
            <v>0</v>
          </cell>
          <cell r="H42">
            <v>0</v>
          </cell>
          <cell r="I42">
            <v>0</v>
          </cell>
          <cell r="J42">
            <v>0</v>
          </cell>
        </row>
        <row r="44">
          <cell r="C44">
            <v>0</v>
          </cell>
          <cell r="H44">
            <v>0</v>
          </cell>
          <cell r="I44">
            <v>0</v>
          </cell>
          <cell r="J44">
            <v>0</v>
          </cell>
        </row>
        <row r="46">
          <cell r="C46">
            <v>0</v>
          </cell>
          <cell r="H46">
            <v>0</v>
          </cell>
          <cell r="I46">
            <v>0</v>
          </cell>
          <cell r="J46">
            <v>0</v>
          </cell>
        </row>
        <row r="48">
          <cell r="C48">
            <v>0</v>
          </cell>
          <cell r="H48">
            <v>0</v>
          </cell>
          <cell r="J48">
            <v>0</v>
          </cell>
        </row>
        <row r="50">
          <cell r="C50">
            <v>0</v>
          </cell>
          <cell r="H50">
            <v>0</v>
          </cell>
          <cell r="I50">
            <v>0</v>
          </cell>
          <cell r="J50">
            <v>0</v>
          </cell>
        </row>
        <row r="52">
          <cell r="H52">
            <v>0</v>
          </cell>
          <cell r="J52">
            <v>0</v>
          </cell>
        </row>
        <row r="54">
          <cell r="H54">
            <v>0</v>
          </cell>
          <cell r="J54">
            <v>0</v>
          </cell>
        </row>
        <row r="56">
          <cell r="H56">
            <v>0</v>
          </cell>
          <cell r="I56">
            <v>0</v>
          </cell>
          <cell r="J56">
            <v>0</v>
          </cell>
        </row>
        <row r="58">
          <cell r="H58">
            <v>0</v>
          </cell>
          <cell r="J58">
            <v>0</v>
          </cell>
        </row>
        <row r="60">
          <cell r="C60">
            <v>540</v>
          </cell>
          <cell r="H60">
            <v>540</v>
          </cell>
          <cell r="I60">
            <v>569</v>
          </cell>
          <cell r="J60">
            <v>285</v>
          </cell>
        </row>
        <row r="62">
          <cell r="C62">
            <v>-94</v>
          </cell>
          <cell r="H62">
            <v>-94</v>
          </cell>
          <cell r="I62">
            <v>-99</v>
          </cell>
          <cell r="J62">
            <v>-50</v>
          </cell>
        </row>
        <row r="64">
          <cell r="H64">
            <v>0</v>
          </cell>
          <cell r="I64">
            <v>0</v>
          </cell>
          <cell r="J64">
            <v>0</v>
          </cell>
        </row>
        <row r="66">
          <cell r="H66">
            <v>0</v>
          </cell>
          <cell r="I66">
            <v>0</v>
          </cell>
          <cell r="J66">
            <v>0</v>
          </cell>
        </row>
        <row r="68">
          <cell r="H68">
            <v>0</v>
          </cell>
          <cell r="J68">
            <v>0</v>
          </cell>
        </row>
        <row r="70">
          <cell r="H70">
            <v>0</v>
          </cell>
          <cell r="I70">
            <v>0</v>
          </cell>
          <cell r="J70">
            <v>0</v>
          </cell>
        </row>
        <row r="72">
          <cell r="C72">
            <v>-1396</v>
          </cell>
          <cell r="F72">
            <v>1</v>
          </cell>
          <cell r="G72">
            <v>67</v>
          </cell>
          <cell r="H72">
            <v>-1463</v>
          </cell>
          <cell r="I72">
            <v>-1463</v>
          </cell>
          <cell r="J72">
            <v>-732</v>
          </cell>
        </row>
        <row r="74">
          <cell r="H74">
            <v>0</v>
          </cell>
          <cell r="I74">
            <v>0</v>
          </cell>
          <cell r="J74">
            <v>0</v>
          </cell>
        </row>
        <row r="76">
          <cell r="C76">
            <v>-218</v>
          </cell>
          <cell r="H76">
            <v>-218</v>
          </cell>
          <cell r="I76">
            <v>-218</v>
          </cell>
          <cell r="J76">
            <v>-109</v>
          </cell>
        </row>
        <row r="78">
          <cell r="H78">
            <v>0</v>
          </cell>
          <cell r="I78">
            <v>0</v>
          </cell>
          <cell r="J78">
            <v>0</v>
          </cell>
        </row>
        <row r="80">
          <cell r="C80">
            <v>-31</v>
          </cell>
          <cell r="H80">
            <v>-31</v>
          </cell>
          <cell r="I80">
            <v>-31</v>
          </cell>
          <cell r="J80">
            <v>-16</v>
          </cell>
        </row>
        <row r="82">
          <cell r="H82">
            <v>0</v>
          </cell>
          <cell r="I82">
            <v>0</v>
          </cell>
          <cell r="J82">
            <v>0</v>
          </cell>
        </row>
        <row r="84">
          <cell r="H84">
            <v>0</v>
          </cell>
          <cell r="I84">
            <v>0</v>
          </cell>
          <cell r="J84">
            <v>0</v>
          </cell>
        </row>
        <row r="86">
          <cell r="C86">
            <v>-395</v>
          </cell>
          <cell r="H86">
            <v>-395</v>
          </cell>
          <cell r="I86">
            <v>-395</v>
          </cell>
          <cell r="J86">
            <v>-198</v>
          </cell>
        </row>
        <row r="88">
          <cell r="C88">
            <v>0</v>
          </cell>
          <cell r="H88">
            <v>0</v>
          </cell>
          <cell r="I88">
            <v>0</v>
          </cell>
          <cell r="J88">
            <v>0</v>
          </cell>
        </row>
        <row r="90">
          <cell r="C90">
            <v>-17</v>
          </cell>
          <cell r="H90">
            <v>-17</v>
          </cell>
          <cell r="I90">
            <v>-17</v>
          </cell>
          <cell r="J90">
            <v>-9</v>
          </cell>
        </row>
        <row r="92">
          <cell r="H92">
            <v>0</v>
          </cell>
          <cell r="I92">
            <v>0</v>
          </cell>
          <cell r="J92">
            <v>0</v>
          </cell>
        </row>
        <row r="94">
          <cell r="H94">
            <v>0</v>
          </cell>
          <cell r="I94">
            <v>0</v>
          </cell>
          <cell r="J94">
            <v>0</v>
          </cell>
        </row>
        <row r="96">
          <cell r="H96">
            <v>0</v>
          </cell>
          <cell r="I96">
            <v>0</v>
          </cell>
          <cell r="J96">
            <v>0</v>
          </cell>
        </row>
        <row r="98">
          <cell r="C98">
            <v>-1</v>
          </cell>
          <cell r="H98">
            <v>-1</v>
          </cell>
          <cell r="I98">
            <v>-1</v>
          </cell>
          <cell r="J98">
            <v>-1</v>
          </cell>
        </row>
        <row r="100">
          <cell r="H100">
            <v>0</v>
          </cell>
          <cell r="I100">
            <v>0</v>
          </cell>
          <cell r="J100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</row>
        <row r="104">
          <cell r="C104">
            <v>117</v>
          </cell>
          <cell r="H104">
            <v>117</v>
          </cell>
          <cell r="I104">
            <v>88</v>
          </cell>
          <cell r="J104">
            <v>44</v>
          </cell>
        </row>
        <row r="106">
          <cell r="C106">
            <v>-841</v>
          </cell>
          <cell r="H106">
            <v>-494</v>
          </cell>
          <cell r="I106">
            <v>-489</v>
          </cell>
          <cell r="J106">
            <v>-245</v>
          </cell>
        </row>
        <row r="108">
          <cell r="C108">
            <v>0</v>
          </cell>
          <cell r="H108">
            <v>0</v>
          </cell>
          <cell r="I108">
            <v>0</v>
          </cell>
          <cell r="J108">
            <v>0</v>
          </cell>
        </row>
        <row r="113">
          <cell r="H113">
            <v>0</v>
          </cell>
          <cell r="I113">
            <v>0</v>
          </cell>
          <cell r="J113">
            <v>0</v>
          </cell>
        </row>
        <row r="115">
          <cell r="C115">
            <v>-1944</v>
          </cell>
          <cell r="H115">
            <v>-1944</v>
          </cell>
          <cell r="I115">
            <v>-1963</v>
          </cell>
          <cell r="J115">
            <v>-982</v>
          </cell>
        </row>
        <row r="117">
          <cell r="C117">
            <v>-1055</v>
          </cell>
          <cell r="H117">
            <v>-1055</v>
          </cell>
          <cell r="I117">
            <v>-1066</v>
          </cell>
          <cell r="J117">
            <v>-533</v>
          </cell>
        </row>
        <row r="119">
          <cell r="C119">
            <v>0</v>
          </cell>
          <cell r="H119">
            <v>0</v>
          </cell>
          <cell r="I119">
            <v>0</v>
          </cell>
          <cell r="J119">
            <v>0</v>
          </cell>
        </row>
        <row r="121">
          <cell r="C121">
            <v>0</v>
          </cell>
          <cell r="H121">
            <v>0</v>
          </cell>
          <cell r="I121">
            <v>0</v>
          </cell>
          <cell r="J121">
            <v>0</v>
          </cell>
        </row>
        <row r="123">
          <cell r="C123">
            <v>1197</v>
          </cell>
          <cell r="D123">
            <v>1</v>
          </cell>
          <cell r="E123">
            <v>67</v>
          </cell>
          <cell r="H123">
            <v>1264</v>
          </cell>
          <cell r="I123">
            <v>1277</v>
          </cell>
          <cell r="J123">
            <v>639</v>
          </cell>
        </row>
        <row r="125">
          <cell r="C125">
            <v>643</v>
          </cell>
          <cell r="H125">
            <v>643</v>
          </cell>
          <cell r="I125">
            <v>649</v>
          </cell>
          <cell r="J125">
            <v>325</v>
          </cell>
        </row>
        <row r="127">
          <cell r="C127">
            <v>32</v>
          </cell>
          <cell r="H127">
            <v>32</v>
          </cell>
          <cell r="I127">
            <v>33</v>
          </cell>
          <cell r="J127">
            <v>17</v>
          </cell>
        </row>
        <row r="129">
          <cell r="C129">
            <v>0</v>
          </cell>
          <cell r="H129">
            <v>0</v>
          </cell>
          <cell r="I129">
            <v>0</v>
          </cell>
          <cell r="J129">
            <v>0</v>
          </cell>
        </row>
        <row r="131">
          <cell r="C131">
            <v>96</v>
          </cell>
          <cell r="H131">
            <v>96</v>
          </cell>
          <cell r="I131">
            <v>97</v>
          </cell>
          <cell r="J131">
            <v>49</v>
          </cell>
        </row>
        <row r="133">
          <cell r="C133">
            <v>0</v>
          </cell>
          <cell r="H133">
            <v>0</v>
          </cell>
          <cell r="I133">
            <v>0</v>
          </cell>
          <cell r="J133">
            <v>0</v>
          </cell>
        </row>
        <row r="135">
          <cell r="C135">
            <v>273</v>
          </cell>
          <cell r="H135">
            <v>273</v>
          </cell>
          <cell r="I135">
            <v>276</v>
          </cell>
          <cell r="J135">
            <v>138</v>
          </cell>
        </row>
        <row r="137">
          <cell r="C137">
            <v>0</v>
          </cell>
          <cell r="H137">
            <v>0</v>
          </cell>
          <cell r="J137">
            <v>0</v>
          </cell>
        </row>
        <row r="139">
          <cell r="C139">
            <v>-83</v>
          </cell>
          <cell r="D139">
            <v>3</v>
          </cell>
          <cell r="E139">
            <v>20</v>
          </cell>
          <cell r="H139">
            <v>-63</v>
          </cell>
          <cell r="I139">
            <v>-52</v>
          </cell>
          <cell r="J139">
            <v>-28</v>
          </cell>
        </row>
        <row r="141">
          <cell r="C141">
            <v>0</v>
          </cell>
          <cell r="H141">
            <v>0</v>
          </cell>
          <cell r="J141">
            <v>0</v>
          </cell>
        </row>
        <row r="143">
          <cell r="C143">
            <v>0</v>
          </cell>
          <cell r="H143">
            <v>0</v>
          </cell>
          <cell r="J143">
            <v>0</v>
          </cell>
        </row>
        <row r="145">
          <cell r="C145">
            <v>0</v>
          </cell>
          <cell r="H145">
            <v>0</v>
          </cell>
          <cell r="J145">
            <v>0</v>
          </cell>
        </row>
        <row r="147">
          <cell r="C147">
            <v>0</v>
          </cell>
          <cell r="D147">
            <v>2</v>
          </cell>
          <cell r="E147">
            <v>260</v>
          </cell>
          <cell r="H147">
            <v>260</v>
          </cell>
          <cell r="I147">
            <v>260</v>
          </cell>
          <cell r="J147">
            <v>130</v>
          </cell>
        </row>
        <row r="149">
          <cell r="C149">
            <v>0</v>
          </cell>
          <cell r="H149">
            <v>0</v>
          </cell>
          <cell r="J149">
            <v>0</v>
          </cell>
        </row>
        <row r="151">
          <cell r="C151">
            <v>0</v>
          </cell>
          <cell r="H151">
            <v>0</v>
          </cell>
          <cell r="J151">
            <v>0</v>
          </cell>
        </row>
        <row r="153">
          <cell r="C153">
            <v>-841</v>
          </cell>
          <cell r="H153">
            <v>-494</v>
          </cell>
          <cell r="I153">
            <v>-489</v>
          </cell>
          <cell r="J153">
            <v>-245</v>
          </cell>
        </row>
        <row r="155">
          <cell r="E155">
            <v>347</v>
          </cell>
          <cell r="G155">
            <v>347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488</v>
          </cell>
        </row>
      </sheetData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>
        <row r="6">
          <cell r="C6">
            <v>488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6">
          <cell r="C6">
            <v>488</v>
          </cell>
        </row>
      </sheetData>
      <sheetData sheetId="39"/>
      <sheetData sheetId="40"/>
      <sheetData sheetId="41">
        <row r="6">
          <cell r="C6">
            <v>488</v>
          </cell>
        </row>
      </sheetData>
      <sheetData sheetId="42"/>
      <sheetData sheetId="43"/>
      <sheetData sheetId="4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ביאורים"/>
      <sheetName val="הרכבה מאוחד"/>
      <sheetName val="משוב שיווק"/>
      <sheetName val="סיון הדרכה"/>
      <sheetName val="אלדור"/>
      <sheetName val="קבוצת טלדור"/>
      <sheetName val="טנדם"/>
      <sheetName val="פקודות נוספות קדנט בע&quot;מ"/>
      <sheetName val="コントロールパネル"/>
      <sheetName val="סחר"/>
      <sheetName val="???????"/>
      <sheetName val="SanDisk IL Ltd - 6000"/>
      <sheetName val="18.2"/>
      <sheetName val="הנהלה וכלליות"/>
      <sheetName val="אק"/>
      <sheetName val="אקגרפים"/>
      <sheetName val="גרפים ישראל"/>
      <sheetName val="תקציב רבעוני"/>
      <sheetName val="קבוצת מי עדן"/>
      <sheetName val="גרפים קבוצה"/>
      <sheetName val="מפעלגרף"/>
      <sheetName val="הרכבה_מאוחד4"/>
      <sheetName val="משוב_שיווק4"/>
      <sheetName val="סיון_הדרכה4"/>
      <sheetName val="פקודות_נוספות_קדנט_בע&quot;מ4"/>
      <sheetName val="קבוצת_טלדור4"/>
      <sheetName val="הרכבה_מאוחד"/>
      <sheetName val="משוב_שיווק"/>
      <sheetName val="סיון_הדרכה"/>
      <sheetName val="קבוצת_טלדור"/>
      <sheetName val="פקודות_נוספות_קדנט_בע&quot;מ"/>
      <sheetName val="הרכבה_מאוחד1"/>
      <sheetName val="משוב_שיווק1"/>
      <sheetName val="סיון_הדרכה1"/>
      <sheetName val="קבוצת_טלדור1"/>
      <sheetName val="פקודות_נוספות_קדנט_בע&quot;מ1"/>
      <sheetName val="הרכבה_מאוחד2"/>
      <sheetName val="משוב_שיווק2"/>
      <sheetName val="סיון_הדרכה2"/>
      <sheetName val="פקודות_נוספות_קדנט_בע&quot;מ2"/>
      <sheetName val="קבוצת_טלדור2"/>
      <sheetName val="הרכבה_מאוחד3"/>
      <sheetName val="משוב_שיווק3"/>
      <sheetName val="סיון_הדרכה3"/>
      <sheetName val="פקודות_נוספות_קדנט_בע&quot;מ3"/>
      <sheetName val="קבוצת_טלדור3"/>
      <sheetName val="הרכבה_מאוחד6"/>
      <sheetName val="משוב_שיווק6"/>
      <sheetName val="סיון_הדרכה6"/>
      <sheetName val="פקודות_נוספות_קדנט_בע&quot;מ6"/>
      <sheetName val="קבוצת_טלדור6"/>
      <sheetName val="הרכבה_מאוחד5"/>
      <sheetName val="משוב_שיווק5"/>
      <sheetName val="סיון_הדרכה5"/>
      <sheetName val="קבוצת_טלדור5"/>
      <sheetName val="פקודות_נוספות_קדנט_בע&quot;מ5"/>
      <sheetName val="הרכבה_מאוחד7"/>
      <sheetName val="משוב_שיווק7"/>
      <sheetName val="סיון_הדרכה7"/>
      <sheetName val="קבוצת_טלדור7"/>
      <sheetName val="פקודות_נוספות_קדנט_בע&quot;מ7"/>
      <sheetName val="הרכבה_מאוחד8"/>
      <sheetName val="משוב_שיווק8"/>
      <sheetName val="סיון_הדרכה8"/>
      <sheetName val="קבוצת_טלדור8"/>
      <sheetName val="פקודות_נוספות_קדנט_בע&quot;מ8"/>
      <sheetName val="גליון החישובים"/>
      <sheetName val="ארוחות-כבוד מחוץ למשרד"/>
      <sheetName val="ניתוח אנליטי-רו&quot;ה"/>
      <sheetName val="רווח למניה רבעוני 1997"/>
      <sheetName val="SanDisk_IL_Ltd_-_6000"/>
      <sheetName val="18_2"/>
      <sheetName val="הנהלה_וכלליות"/>
      <sheetName val="אינדקס"/>
      <sheetName val="Fair Value Tables"/>
      <sheetName val="Code Details"/>
      <sheetName val="הרכבה_מאוחד9"/>
      <sheetName val="משוב_שיווק9"/>
      <sheetName val="סיון_הדרכה9"/>
      <sheetName val="קבוצת_טלדור9"/>
      <sheetName val="פקודות_נוספות_קדנט_בע&quot;מ9"/>
      <sheetName val="גרפים_ישראל"/>
      <sheetName val="תקציב_רבעוני"/>
      <sheetName val="קבוצת_מי_עדן"/>
      <sheetName val="גרפים_קבוצה"/>
      <sheetName val="ארוחות-כבוד_מחוץ_למשרד"/>
      <sheetName val="גליון_החישובים"/>
      <sheetName val="דוחות כספיים"/>
      <sheetName val="FAS123r"/>
      <sheetName val="SanDisk_IL_Ltd_-_60001"/>
      <sheetName val="18_21"/>
      <sheetName val="הנהלה_וכלליות1"/>
      <sheetName val="ניתוח_אנליטי-רו&quot;ה"/>
      <sheetName val="רווח_למניה_רבעוני_1997"/>
    </sheetNames>
    <sheetDataSet>
      <sheetData sheetId="0" refreshError="1">
        <row r="3">
          <cell r="I3" t="str">
            <v>ביאור הצמדה</v>
          </cell>
        </row>
        <row r="5">
          <cell r="K5" t="str">
            <v>הצמדה</v>
          </cell>
          <cell r="L5" t="str">
            <v>הצמדה</v>
          </cell>
          <cell r="M5" t="str">
            <v>ללא</v>
          </cell>
        </row>
        <row r="6">
          <cell r="K6" t="str">
            <v>למדד</v>
          </cell>
          <cell r="L6" t="str">
            <v>למט"ח</v>
          </cell>
          <cell r="M6" t="str">
            <v>הצמדה</v>
          </cell>
          <cell r="N6" t="str">
            <v>סה"כ</v>
          </cell>
        </row>
        <row r="8">
          <cell r="I8" t="str">
            <v>מזומנים</v>
          </cell>
          <cell r="J8" t="str">
            <v>משוב</v>
          </cell>
          <cell r="K8">
            <v>2167</v>
          </cell>
          <cell r="L8">
            <v>641</v>
          </cell>
          <cell r="M8">
            <v>5035</v>
          </cell>
          <cell r="N8">
            <v>7843</v>
          </cell>
        </row>
        <row r="9">
          <cell r="J9" t="str">
            <v>פיננסים</v>
          </cell>
          <cell r="K9">
            <v>23</v>
          </cell>
          <cell r="L9">
            <v>23</v>
          </cell>
          <cell r="M9">
            <v>23</v>
          </cell>
          <cell r="N9">
            <v>23</v>
          </cell>
        </row>
        <row r="10">
          <cell r="J10" t="str">
            <v>סיון</v>
          </cell>
          <cell r="K10">
            <v>291</v>
          </cell>
          <cell r="L10">
            <v>291</v>
          </cell>
          <cell r="M10">
            <v>291</v>
          </cell>
          <cell r="N10">
            <v>291</v>
          </cell>
        </row>
        <row r="11">
          <cell r="J11" t="str">
            <v>סה"כ</v>
          </cell>
          <cell r="K11">
            <v>2167</v>
          </cell>
          <cell r="L11">
            <v>641</v>
          </cell>
          <cell r="M11">
            <v>5349</v>
          </cell>
          <cell r="N11">
            <v>8157</v>
          </cell>
        </row>
        <row r="13">
          <cell r="I13" t="str">
            <v>ני"ע</v>
          </cell>
          <cell r="J13" t="str">
            <v>משוב</v>
          </cell>
          <cell r="K13">
            <v>1637</v>
          </cell>
          <cell r="L13">
            <v>1637</v>
          </cell>
          <cell r="M13">
            <v>1637</v>
          </cell>
          <cell r="N13">
            <v>1637</v>
          </cell>
        </row>
        <row r="14">
          <cell r="J14" t="str">
            <v>פיננסים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J15" t="str">
            <v>סיון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J16" t="str">
            <v>סה"כ</v>
          </cell>
          <cell r="K16">
            <v>0</v>
          </cell>
          <cell r="L16">
            <v>0</v>
          </cell>
          <cell r="M16">
            <v>1637</v>
          </cell>
          <cell r="N16">
            <v>1637</v>
          </cell>
        </row>
        <row r="18">
          <cell r="I18" t="str">
            <v>לקוחות</v>
          </cell>
          <cell r="J18" t="str">
            <v>משוב</v>
          </cell>
          <cell r="K18">
            <v>4256</v>
          </cell>
          <cell r="L18">
            <v>4256</v>
          </cell>
          <cell r="M18">
            <v>4256</v>
          </cell>
          <cell r="N18">
            <v>4256</v>
          </cell>
        </row>
        <row r="19">
          <cell r="J19" t="str">
            <v>פיננסים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J20" t="str">
            <v>סיון</v>
          </cell>
          <cell r="K20">
            <v>4947</v>
          </cell>
          <cell r="L20">
            <v>4947</v>
          </cell>
          <cell r="M20">
            <v>4947</v>
          </cell>
          <cell r="N20">
            <v>4947</v>
          </cell>
        </row>
        <row r="21">
          <cell r="J21" t="str">
            <v>סה"כ</v>
          </cell>
          <cell r="K21">
            <v>0</v>
          </cell>
          <cell r="L21">
            <v>0</v>
          </cell>
          <cell r="M21">
            <v>9203</v>
          </cell>
          <cell r="N21">
            <v>9203</v>
          </cell>
        </row>
        <row r="23">
          <cell r="I23" t="str">
            <v>צדדים קשורים</v>
          </cell>
          <cell r="J23" t="str">
            <v>משוב</v>
          </cell>
          <cell r="K23">
            <v>666</v>
          </cell>
          <cell r="L23">
            <v>2192</v>
          </cell>
          <cell r="M23">
            <v>2192</v>
          </cell>
          <cell r="N23">
            <v>2858</v>
          </cell>
        </row>
        <row r="24">
          <cell r="J24" t="str">
            <v>פיננסים</v>
          </cell>
          <cell r="K24">
            <v>-476</v>
          </cell>
          <cell r="L24">
            <v>-79</v>
          </cell>
          <cell r="M24">
            <v>-79</v>
          </cell>
          <cell r="N24">
            <v>-555</v>
          </cell>
        </row>
        <row r="25">
          <cell r="J25" t="str">
            <v>סיון</v>
          </cell>
          <cell r="K25">
            <v>-1982</v>
          </cell>
          <cell r="L25">
            <v>-1982</v>
          </cell>
          <cell r="M25">
            <v>-1982</v>
          </cell>
          <cell r="N25">
            <v>-1982</v>
          </cell>
        </row>
        <row r="26">
          <cell r="J26" t="str">
            <v>סה"כ</v>
          </cell>
          <cell r="K26">
            <v>190</v>
          </cell>
          <cell r="L26">
            <v>0</v>
          </cell>
          <cell r="M26">
            <v>131</v>
          </cell>
          <cell r="N26">
            <v>321</v>
          </cell>
        </row>
        <row r="28">
          <cell r="I28" t="str">
            <v>חייבים אחרים</v>
          </cell>
          <cell r="J28" t="str">
            <v>משוב</v>
          </cell>
          <cell r="K28">
            <v>328</v>
          </cell>
          <cell r="L28">
            <v>762</v>
          </cell>
          <cell r="M28">
            <v>762</v>
          </cell>
          <cell r="N28">
            <v>1090</v>
          </cell>
        </row>
        <row r="29">
          <cell r="J29" t="str">
            <v>פיננסים</v>
          </cell>
          <cell r="K29">
            <v>8</v>
          </cell>
          <cell r="L29">
            <v>8</v>
          </cell>
          <cell r="M29">
            <v>8</v>
          </cell>
          <cell r="N29">
            <v>8</v>
          </cell>
        </row>
        <row r="30">
          <cell r="J30" t="str">
            <v>סיון</v>
          </cell>
          <cell r="K30">
            <v>1048</v>
          </cell>
          <cell r="L30">
            <v>1048</v>
          </cell>
          <cell r="M30">
            <v>1048</v>
          </cell>
          <cell r="N30">
            <v>1048</v>
          </cell>
        </row>
        <row r="31">
          <cell r="J31" t="str">
            <v>סה"כ</v>
          </cell>
          <cell r="K31">
            <v>328</v>
          </cell>
          <cell r="L31">
            <v>0</v>
          </cell>
          <cell r="M31">
            <v>1818</v>
          </cell>
          <cell r="N31">
            <v>2146</v>
          </cell>
        </row>
        <row r="33">
          <cell r="I33" t="str">
            <v>הלוואות לקשורות</v>
          </cell>
          <cell r="J33" t="str">
            <v>משוב</v>
          </cell>
          <cell r="K33">
            <v>8414</v>
          </cell>
          <cell r="L33">
            <v>0</v>
          </cell>
          <cell r="M33">
            <v>0</v>
          </cell>
          <cell r="N33">
            <v>8414</v>
          </cell>
        </row>
        <row r="34">
          <cell r="J34" t="str">
            <v>פיננסים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J35" t="str">
            <v>סיון</v>
          </cell>
          <cell r="K35">
            <v>-7803</v>
          </cell>
          <cell r="L35">
            <v>0</v>
          </cell>
          <cell r="M35">
            <v>0</v>
          </cell>
          <cell r="N35">
            <v>-7803</v>
          </cell>
        </row>
        <row r="36">
          <cell r="J36" t="str">
            <v>סה"כ</v>
          </cell>
          <cell r="K36">
            <v>611</v>
          </cell>
          <cell r="L36">
            <v>0</v>
          </cell>
          <cell r="M36">
            <v>0</v>
          </cell>
          <cell r="N36">
            <v>611</v>
          </cell>
        </row>
        <row r="38">
          <cell r="I38" t="str">
            <v>אג"ח זינקס</v>
          </cell>
          <cell r="J38" t="str">
            <v>משוב</v>
          </cell>
          <cell r="K38">
            <v>288</v>
          </cell>
          <cell r="L38">
            <v>288</v>
          </cell>
          <cell r="M38">
            <v>0</v>
          </cell>
          <cell r="N38">
            <v>288</v>
          </cell>
        </row>
        <row r="39">
          <cell r="J39" t="str">
            <v>פיננסים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J40" t="str">
            <v>סיון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J41" t="str">
            <v>סה"כ</v>
          </cell>
          <cell r="K41">
            <v>0</v>
          </cell>
          <cell r="L41">
            <v>288</v>
          </cell>
          <cell r="M41">
            <v>0</v>
          </cell>
          <cell r="N41">
            <v>288</v>
          </cell>
        </row>
        <row r="43">
          <cell r="I43" t="str">
            <v xml:space="preserve">סה"כ </v>
          </cell>
          <cell r="J43" t="str">
            <v>מאוחד</v>
          </cell>
          <cell r="K43">
            <v>3296</v>
          </cell>
          <cell r="L43">
            <v>929</v>
          </cell>
          <cell r="M43">
            <v>18138</v>
          </cell>
          <cell r="N43">
            <v>22363</v>
          </cell>
        </row>
        <row r="45">
          <cell r="J45" t="str">
            <v>החברה</v>
          </cell>
          <cell r="K45">
            <v>11575</v>
          </cell>
          <cell r="L45">
            <v>929</v>
          </cell>
          <cell r="M45">
            <v>13882</v>
          </cell>
          <cell r="N45">
            <v>26386</v>
          </cell>
        </row>
        <row r="50">
          <cell r="I50" t="str">
            <v>אשראי ז"ק</v>
          </cell>
          <cell r="J50" t="str">
            <v>משוב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</row>
        <row r="51">
          <cell r="J51" t="str">
            <v>פיננסים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J52" t="str">
            <v>סיון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J53" t="str">
            <v>סה"כ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5">
          <cell r="I55" t="str">
            <v>ספקים</v>
          </cell>
          <cell r="J55" t="str">
            <v>משוב</v>
          </cell>
          <cell r="K55">
            <v>-1403</v>
          </cell>
          <cell r="L55">
            <v>-1403</v>
          </cell>
          <cell r="M55">
            <v>-221</v>
          </cell>
          <cell r="N55">
            <v>-1624</v>
          </cell>
        </row>
        <row r="56">
          <cell r="J56" t="str">
            <v>פיננסים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</row>
        <row r="57">
          <cell r="J57" t="str">
            <v>סיון</v>
          </cell>
          <cell r="K57">
            <v>-1168</v>
          </cell>
          <cell r="L57">
            <v>-1168</v>
          </cell>
          <cell r="M57">
            <v>-1168</v>
          </cell>
          <cell r="N57">
            <v>-1168</v>
          </cell>
        </row>
        <row r="58">
          <cell r="J58" t="str">
            <v>סה"כ</v>
          </cell>
          <cell r="K58">
            <v>0</v>
          </cell>
          <cell r="L58">
            <v>-1403</v>
          </cell>
          <cell r="M58">
            <v>-1389</v>
          </cell>
          <cell r="N58">
            <v>-2792</v>
          </cell>
        </row>
        <row r="60">
          <cell r="I60" t="str">
            <v>צדדים קשורים</v>
          </cell>
          <cell r="J60" t="str">
            <v>משוב</v>
          </cell>
          <cell r="K60">
            <v>-92</v>
          </cell>
          <cell r="L60">
            <v>-92</v>
          </cell>
          <cell r="M60">
            <v>-304</v>
          </cell>
          <cell r="N60">
            <v>-396</v>
          </cell>
        </row>
        <row r="61">
          <cell r="J61" t="str">
            <v>פיננסים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J62" t="str">
            <v>סיון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J63" t="str">
            <v>סה"כ</v>
          </cell>
          <cell r="K63">
            <v>0</v>
          </cell>
          <cell r="L63">
            <v>-92</v>
          </cell>
          <cell r="M63">
            <v>-304</v>
          </cell>
          <cell r="N63">
            <v>-396</v>
          </cell>
        </row>
        <row r="65">
          <cell r="I65" t="str">
            <v>זכאים אחרים</v>
          </cell>
          <cell r="J65" t="str">
            <v>משוב</v>
          </cell>
          <cell r="K65">
            <v>-1642</v>
          </cell>
          <cell r="L65">
            <v>-1642</v>
          </cell>
          <cell r="M65">
            <v>-1642</v>
          </cell>
          <cell r="N65">
            <v>-1642</v>
          </cell>
        </row>
        <row r="66">
          <cell r="J66" t="str">
            <v>פיננסים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</row>
        <row r="67">
          <cell r="J67" t="str">
            <v>סיון</v>
          </cell>
          <cell r="K67">
            <v>-5244</v>
          </cell>
          <cell r="L67">
            <v>-5244</v>
          </cell>
          <cell r="M67">
            <v>-5244</v>
          </cell>
          <cell r="N67">
            <v>-5244</v>
          </cell>
        </row>
        <row r="68">
          <cell r="J68" t="str">
            <v>סה"כ</v>
          </cell>
          <cell r="K68">
            <v>0</v>
          </cell>
          <cell r="L68">
            <v>0</v>
          </cell>
          <cell r="M68">
            <v>-6886</v>
          </cell>
          <cell r="N68">
            <v>-6886</v>
          </cell>
        </row>
        <row r="70">
          <cell r="I70" t="str">
            <v>סה"כ</v>
          </cell>
          <cell r="J70" t="str">
            <v>מאוחד</v>
          </cell>
          <cell r="K70">
            <v>0</v>
          </cell>
          <cell r="L70">
            <v>-1495</v>
          </cell>
          <cell r="M70">
            <v>-8579</v>
          </cell>
          <cell r="N70">
            <v>-10074</v>
          </cell>
        </row>
        <row r="72">
          <cell r="J72" t="str">
            <v>החברה</v>
          </cell>
          <cell r="K72">
            <v>0</v>
          </cell>
          <cell r="L72">
            <v>-1495</v>
          </cell>
          <cell r="M72">
            <v>-2167</v>
          </cell>
          <cell r="N72">
            <v>-3662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/>
      <sheetData sheetId="90"/>
      <sheetData sheetId="91"/>
      <sheetData sheetId="92"/>
      <sheetData sheetId="9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TTI LTD"/>
      <sheetName val="פקודות נוספות"/>
      <sheetName val="תזרים $"/>
      <sheetName val="רכוש קבוע"/>
      <sheetName val="הרכבה-CDR"/>
      <sheetName val="הרכבה - INC."/>
      <sheetName val="הרכבה - B.V"/>
      <sheetName val="באורים"/>
      <sheetName val="אנליטי מאזן"/>
      <sheetName val="דוחות כספים "/>
      <sheetName val="ניתוח אנליטי-רו&quot;ה"/>
      <sheetName val="רווח למניה-בסיסי"/>
      <sheetName val="רווח למניה - מדולל"/>
      <sheetName val="nasdaq"/>
      <sheetName val="options "/>
      <sheetName val="fasb 123"/>
      <sheetName val="סבירות מימון"/>
      <sheetName val="פקדונות"/>
      <sheetName val="לקוחות-הכנסות לקבל"/>
      <sheetName val="לקוחות-הכנסות לקבל (2)"/>
      <sheetName val="מס 1999"/>
      <sheetName val="מס-דיוידנד"/>
      <sheetName val="מיסים נדחים "/>
      <sheetName val="מס צפוי"/>
      <sheetName val="מס תיאורטי"/>
      <sheetName val="????? $"/>
      <sheetName val="????? ??????-??&quot;?"/>
      <sheetName val="דוח מתכונת הגשה "/>
      <sheetName val="נתונים לשינוי"/>
      <sheetName val="deferred tax"/>
      <sheetName val="רווח למניה רבעוני 1997"/>
      <sheetName val="CFS"/>
      <sheetName val="BS"/>
      <sheetName val="P&amp;L "/>
      <sheetName val="TTI_LTD"/>
      <sheetName val="פקודות_נוספות"/>
      <sheetName val="תזרים_$"/>
      <sheetName val="רכוש_קבוע"/>
      <sheetName val="הרכבה_-_INC_"/>
      <sheetName val="הרכבה_-_B_V"/>
      <sheetName val="אנליטי_מאזן"/>
      <sheetName val="דוחות_כספים_"/>
      <sheetName val="ניתוח_אנליטי-רו&quot;ה"/>
      <sheetName val="רווח_למניה-בסיסי"/>
      <sheetName val="רווח_למניה_-_מדולל"/>
      <sheetName val="options_"/>
      <sheetName val="fasb_123"/>
      <sheetName val="סבירות_מימון"/>
      <sheetName val="לקוחות-הכנסות_לקבל"/>
      <sheetName val="לקוחות-הכנסות_לקבל_(2)"/>
      <sheetName val="מס_1999"/>
      <sheetName val="מיסים_נדחים_"/>
      <sheetName val="מס_צפוי"/>
      <sheetName val="מס_תיאורטי"/>
      <sheetName val="?????_$"/>
      <sheetName val="?????_??????-??&quot;?"/>
      <sheetName val="דוח_מתכונת_הגשה_"/>
      <sheetName val="נתונים_לשינוי"/>
      <sheetName val="deferred_tax"/>
      <sheetName val="רווח_למניה_רבעוני_1997"/>
      <sheetName val="ביאורים"/>
      <sheetName val="TTI_LTD4"/>
      <sheetName val="פקודות_נוספות4"/>
      <sheetName val="תזרים_$4"/>
      <sheetName val="רכוש_קבוע4"/>
      <sheetName val="הרכבה_-_INC_4"/>
      <sheetName val="הרכבה_-_B_V4"/>
      <sheetName val="אנליטי_מאזן4"/>
      <sheetName val="דוחות_כספים_4"/>
      <sheetName val="ניתוח_אנליטי-רו&quot;ה4"/>
      <sheetName val="רווח_למניה-בסיסי4"/>
      <sheetName val="רווח_למניה_-_מדולל4"/>
      <sheetName val="options_4"/>
      <sheetName val="fasb_1234"/>
      <sheetName val="סבירות_מימון4"/>
      <sheetName val="לקוחות-הכנסות_לקבל4"/>
      <sheetName val="לקוחות-הכנסות_לקבל_(2)4"/>
      <sheetName val="מס_19994"/>
      <sheetName val="מיסים_נדחים_4"/>
      <sheetName val="מס_צפוי4"/>
      <sheetName val="מס_תיאורטי4"/>
      <sheetName val="?????_$4"/>
      <sheetName val="?????_??????-??&quot;?4"/>
      <sheetName val="TTI_LTD1"/>
      <sheetName val="פקודות_נוספות1"/>
      <sheetName val="תזרים_$1"/>
      <sheetName val="רכוש_קבוע1"/>
      <sheetName val="הרכבה_-_INC_1"/>
      <sheetName val="הרכבה_-_B_V1"/>
      <sheetName val="אנליטי_מאזן1"/>
      <sheetName val="דוחות_כספים_1"/>
      <sheetName val="ניתוח_אנליטי-רו&quot;ה1"/>
      <sheetName val="רווח_למניה-בסיסי1"/>
      <sheetName val="רווח_למניה_-_מדולל1"/>
      <sheetName val="options_1"/>
      <sheetName val="fasb_1231"/>
      <sheetName val="סבירות_מימון1"/>
      <sheetName val="לקוחות-הכנסות_לקבל1"/>
      <sheetName val="לקוחות-הכנסות_לקבל_(2)1"/>
      <sheetName val="מס_19991"/>
      <sheetName val="מיסים_נדחים_1"/>
      <sheetName val="מס_צפוי1"/>
      <sheetName val="מס_תיאורטי1"/>
      <sheetName val="?????_$1"/>
      <sheetName val="?????_??????-??&quot;?1"/>
      <sheetName val="TTI_LTD2"/>
      <sheetName val="פקודות_נוספות2"/>
      <sheetName val="תזרים_$2"/>
      <sheetName val="רכוש_קבוע2"/>
      <sheetName val="הרכבה_-_INC_2"/>
      <sheetName val="הרכבה_-_B_V2"/>
      <sheetName val="אנליטי_מאזן2"/>
      <sheetName val="דוחות_כספים_2"/>
      <sheetName val="ניתוח_אנליטי-רו&quot;ה2"/>
      <sheetName val="רווח_למניה-בסיסי2"/>
      <sheetName val="רווח_למניה_-_מדולל2"/>
      <sheetName val="options_2"/>
      <sheetName val="fasb_1232"/>
      <sheetName val="סבירות_מימון2"/>
      <sheetName val="לקוחות-הכנסות_לקבל2"/>
      <sheetName val="לקוחות-הכנסות_לקבל_(2)2"/>
      <sheetName val="מס_19992"/>
      <sheetName val="מיסים_נדחים_2"/>
      <sheetName val="מס_צפוי2"/>
      <sheetName val="מס_תיאורטי2"/>
      <sheetName val="?????_$2"/>
      <sheetName val="?????_??????-??&quot;?2"/>
      <sheetName val="TTI_LTD3"/>
      <sheetName val="פקודות_נוספות3"/>
      <sheetName val="תזרים_$3"/>
      <sheetName val="רכוש_קבוע3"/>
      <sheetName val="הרכבה_-_INC_3"/>
      <sheetName val="הרכבה_-_B_V3"/>
      <sheetName val="אנליטי_מאזן3"/>
      <sheetName val="דוחות_כספים_3"/>
      <sheetName val="ניתוח_אנליטי-רו&quot;ה3"/>
      <sheetName val="רווח_למניה-בסיסי3"/>
      <sheetName val="רווח_למניה_-_מדולל3"/>
      <sheetName val="options_3"/>
      <sheetName val="fasb_1233"/>
      <sheetName val="סבירות_מימון3"/>
      <sheetName val="לקוחות-הכנסות_לקבל3"/>
      <sheetName val="לקוחות-הכנסות_לקבל_(2)3"/>
      <sheetName val="מס_19993"/>
      <sheetName val="מיסים_נדחים_3"/>
      <sheetName val="מס_צפוי3"/>
      <sheetName val="מס_תיאורטי3"/>
      <sheetName val="?????_$3"/>
      <sheetName val="?????_??????-??&quot;?3"/>
      <sheetName val="TTI_LTD6"/>
      <sheetName val="פקודות_נוספות6"/>
      <sheetName val="תזרים_$6"/>
      <sheetName val="רכוש_קבוע6"/>
      <sheetName val="הרכבה_-_INC_6"/>
      <sheetName val="הרכבה_-_B_V6"/>
      <sheetName val="אנליטי_מאזן6"/>
      <sheetName val="דוחות_כספים_6"/>
      <sheetName val="ניתוח_אנליטי-רו&quot;ה6"/>
      <sheetName val="רווח_למניה-בסיסי6"/>
      <sheetName val="רווח_למניה_-_מדולל6"/>
      <sheetName val="options_6"/>
      <sheetName val="fasb_1236"/>
      <sheetName val="סבירות_מימון6"/>
      <sheetName val="לקוחות-הכנסות_לקבל6"/>
      <sheetName val="לקוחות-הכנסות_לקבל_(2)6"/>
      <sheetName val="מס_19996"/>
      <sheetName val="מיסים_נדחים_6"/>
      <sheetName val="מס_צפוי6"/>
      <sheetName val="מס_תיאורטי6"/>
      <sheetName val="?????_$6"/>
      <sheetName val="?????_??????-??&quot;?6"/>
      <sheetName val="TTI_LTD5"/>
      <sheetName val="פקודות_נוספות5"/>
      <sheetName val="תזרים_$5"/>
      <sheetName val="רכוש_קבוע5"/>
      <sheetName val="הרכבה_-_INC_5"/>
      <sheetName val="הרכבה_-_B_V5"/>
      <sheetName val="אנליטי_מאזן5"/>
      <sheetName val="דוחות_כספים_5"/>
      <sheetName val="ניתוח_אנליטי-רו&quot;ה5"/>
      <sheetName val="רווח_למניה-בסיסי5"/>
      <sheetName val="רווח_למניה_-_מדולל5"/>
      <sheetName val="options_5"/>
      <sheetName val="fasb_1235"/>
      <sheetName val="סבירות_מימון5"/>
      <sheetName val="לקוחות-הכנסות_לקבל5"/>
      <sheetName val="לקוחות-הכנסות_לקבל_(2)5"/>
      <sheetName val="מס_19995"/>
      <sheetName val="מיסים_נדחים_5"/>
      <sheetName val="מס_צפוי5"/>
      <sheetName val="מס_תיאורטי5"/>
      <sheetName val="?????_$5"/>
      <sheetName val="?????_??????-??&quot;?5"/>
      <sheetName val="TTI_LTD7"/>
      <sheetName val="פקודות_נוספות7"/>
      <sheetName val="תזרים_$7"/>
      <sheetName val="רכוש_קבוע7"/>
      <sheetName val="הרכבה_-_INC_7"/>
      <sheetName val="הרכבה_-_B_V7"/>
      <sheetName val="אנליטי_מאזן7"/>
      <sheetName val="דוחות_כספים_7"/>
      <sheetName val="ניתוח_אנליטי-רו&quot;ה7"/>
      <sheetName val="רווח_למניה-בסיסי7"/>
      <sheetName val="רווח_למניה_-_מדולל7"/>
      <sheetName val="options_7"/>
      <sheetName val="fasb_1237"/>
      <sheetName val="סבירות_מימון7"/>
      <sheetName val="לקוחות-הכנסות_לקבל7"/>
      <sheetName val="לקוחות-הכנסות_לקבל_(2)7"/>
      <sheetName val="מס_19997"/>
      <sheetName val="מיסים_נדחים_7"/>
      <sheetName val="מס_צפוי7"/>
      <sheetName val="מס_תיאורטי7"/>
      <sheetName val="?????_$7"/>
      <sheetName val="?????_??????-??&quot;?7"/>
      <sheetName val="TTI_LTD8"/>
      <sheetName val="פקודות_נוספות8"/>
      <sheetName val="תזרים_$8"/>
      <sheetName val="רכוש_קבוע8"/>
      <sheetName val="הרכבה_-_INC_8"/>
      <sheetName val="הרכבה_-_B_V8"/>
      <sheetName val="אנליטי_מאזן8"/>
      <sheetName val="דוחות_כספים_8"/>
      <sheetName val="ניתוח_אנליטי-רו&quot;ה8"/>
      <sheetName val="רווח_למניה-בסיסי8"/>
      <sheetName val="רווח_למניה_-_מדולל8"/>
      <sheetName val="options_8"/>
      <sheetName val="fasb_1238"/>
      <sheetName val="סבירות_מימון8"/>
      <sheetName val="לקוחות-הכנסות_לקבל8"/>
      <sheetName val="לקוחות-הכנסות_לקבל_(2)8"/>
      <sheetName val="מס_19998"/>
      <sheetName val="מיסים_נדחים_8"/>
      <sheetName val="מס_צפוי8"/>
      <sheetName val="מס_תיאורטי8"/>
      <sheetName val="?????_$8"/>
      <sheetName val="?????_??????-??&quot;?8"/>
      <sheetName val="דוח למס"/>
      <sheetName val="דוח מתכונת הגש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הרכבה"/>
      <sheetName val="דוחות"/>
      <sheetName val="פקודות_נוספות"/>
      <sheetName val="תזרים מזומנים $"/>
      <sheetName val="אנליטי רווה"/>
      <sheetName val="אנליטי מאזן"/>
      <sheetName val="אופציות "/>
      <sheetName val="עסק חי"/>
      <sheetName val="COGS "/>
      <sheetName val="sales forecast"/>
      <sheetName val="deferred tax"/>
      <sheetName val="theoretical tax"/>
      <sheetName val="ביאור מימון "/>
      <sheetName val="עודפות"/>
      <sheetName val="מס הכנסה"/>
      <sheetName val="הלואות בעלים"/>
      <sheetName val="רכוש קבוע"/>
      <sheetName val="הוצ' הנהלה ומו&quot;פ "/>
      <sheetName val="פחת "/>
      <sheetName val="Owners loan"/>
      <sheetName val="תשלומי ריבית "/>
      <sheetName val="ביאורים"/>
      <sheetName val="הון"/>
      <sheetName val="סבירות מימון"/>
      <sheetName val="סבירות מימון (2)"/>
      <sheetName val="מימון דולרי"/>
      <sheetName val="מסים נדחים"/>
      <sheetName val="תזרים $"/>
      <sheetName val="ניתוח אנליטי-רו&quot;ה"/>
      <sheetName val="מרכז 3-01"/>
      <sheetName val="הרכבה מאוחד"/>
      <sheetName val="CFS"/>
      <sheetName val="BS"/>
      <sheetName val="P&amp;L "/>
      <sheetName val="אופציות_4"/>
      <sheetName val="תזרים_מזומנים_$4"/>
      <sheetName val="אנליטי_רווה4"/>
      <sheetName val="אנליטי_מאזן4"/>
      <sheetName val="הלואות_בעלים4"/>
      <sheetName val="רכוש_קבוע4"/>
      <sheetName val="הוצ'_הנהלה_ומו&quot;פ_4"/>
      <sheetName val="מס_הכנסה4"/>
      <sheetName val="סבירות_מימון4"/>
      <sheetName val="סבירות_מימון_(2)4"/>
      <sheetName val="מימון_דולרי4"/>
      <sheetName val="עסק_חי4"/>
      <sheetName val="COGS_4"/>
      <sheetName val="sales_forecast4"/>
      <sheetName val="deferred_tax4"/>
      <sheetName val="theoretical_tax4"/>
      <sheetName val="ביאור_מימון_4"/>
      <sheetName val="פחת_4"/>
      <sheetName val="Owners_loan4"/>
      <sheetName val="תשלומי_ריבית_4"/>
      <sheetName val="מסים_נדחים4"/>
      <sheetName val="אופציות_"/>
      <sheetName val="תזרים_מזומנים_$"/>
      <sheetName val="אנליטי_רווה"/>
      <sheetName val="אנליטי_מאזן"/>
      <sheetName val="הלואות_בעלים"/>
      <sheetName val="רכוש_קבוע"/>
      <sheetName val="הוצ'_הנהלה_ומו&quot;פ_"/>
      <sheetName val="מס_הכנסה"/>
      <sheetName val="סבירות_מימון"/>
      <sheetName val="סבירות_מימון_(2)"/>
      <sheetName val="מימון_דולרי"/>
      <sheetName val="עסק_חי"/>
      <sheetName val="COGS_"/>
      <sheetName val="sales_forecast"/>
      <sheetName val="deferred_tax"/>
      <sheetName val="theoretical_tax"/>
      <sheetName val="ביאור_מימון_"/>
      <sheetName val="פחת_"/>
      <sheetName val="Owners_loan"/>
      <sheetName val="תשלומי_ריבית_"/>
      <sheetName val="מסים_נדחים"/>
      <sheetName val="אופציות_1"/>
      <sheetName val="תזרים_מזומנים_$1"/>
      <sheetName val="אנליטי_רווה1"/>
      <sheetName val="אנליטי_מאזן1"/>
      <sheetName val="הלואות_בעלים1"/>
      <sheetName val="רכוש_קבוע1"/>
      <sheetName val="הוצ'_הנהלה_ומו&quot;פ_1"/>
      <sheetName val="מס_הכנסה1"/>
      <sheetName val="סבירות_מימון1"/>
      <sheetName val="סבירות_מימון_(2)1"/>
      <sheetName val="מימון_דולרי1"/>
      <sheetName val="עסק_חי1"/>
      <sheetName val="COGS_1"/>
      <sheetName val="sales_forecast1"/>
      <sheetName val="deferred_tax1"/>
      <sheetName val="theoretical_tax1"/>
      <sheetName val="ביאור_מימון_1"/>
      <sheetName val="פחת_1"/>
      <sheetName val="Owners_loan1"/>
      <sheetName val="תשלומי_ריבית_1"/>
      <sheetName val="מסים_נדחים1"/>
      <sheetName val="אופציות_2"/>
      <sheetName val="תזרים_מזומנים_$2"/>
      <sheetName val="אנליטי_רווה2"/>
      <sheetName val="אנליטי_מאזן2"/>
      <sheetName val="הלואות_בעלים2"/>
      <sheetName val="רכוש_קבוע2"/>
      <sheetName val="הוצ'_הנהלה_ומו&quot;פ_2"/>
      <sheetName val="מס_הכנסה2"/>
      <sheetName val="סבירות_מימון2"/>
      <sheetName val="סבירות_מימון_(2)2"/>
      <sheetName val="מימון_דולרי2"/>
      <sheetName val="עסק_חי2"/>
      <sheetName val="COGS_2"/>
      <sheetName val="sales_forecast2"/>
      <sheetName val="deferred_tax2"/>
      <sheetName val="theoretical_tax2"/>
      <sheetName val="ביאור_מימון_2"/>
      <sheetName val="פחת_2"/>
      <sheetName val="Owners_loan2"/>
      <sheetName val="תשלומי_ריבית_2"/>
      <sheetName val="מסים_נדחים2"/>
      <sheetName val="אופציות_3"/>
      <sheetName val="תזרים_מזומנים_$3"/>
      <sheetName val="אנליטי_רווה3"/>
      <sheetName val="אנליטי_מאזן3"/>
      <sheetName val="הלואות_בעלים3"/>
      <sheetName val="רכוש_קבוע3"/>
      <sheetName val="הוצ'_הנהלה_ומו&quot;פ_3"/>
      <sheetName val="מס_הכנסה3"/>
      <sheetName val="סבירות_מימון3"/>
      <sheetName val="סבירות_מימון_(2)3"/>
      <sheetName val="מימון_דולרי3"/>
      <sheetName val="עסק_חי3"/>
      <sheetName val="COGS_3"/>
      <sheetName val="sales_forecast3"/>
      <sheetName val="deferred_tax3"/>
      <sheetName val="theoretical_tax3"/>
      <sheetName val="ביאור_מימון_3"/>
      <sheetName val="פחת_3"/>
      <sheetName val="Owners_loan3"/>
      <sheetName val="תשלומי_ריבית_3"/>
      <sheetName val="מסים_נדחים3"/>
      <sheetName val="אופציות_6"/>
      <sheetName val="תזרים_מזומנים_$6"/>
      <sheetName val="אנליטי_רווה6"/>
      <sheetName val="אנליטי_מאזן6"/>
      <sheetName val="הלואות_בעלים6"/>
      <sheetName val="רכוש_קבוע6"/>
      <sheetName val="הוצ'_הנהלה_ומו&quot;פ_6"/>
      <sheetName val="מס_הכנסה6"/>
      <sheetName val="סבירות_מימון6"/>
      <sheetName val="סבירות_מימון_(2)6"/>
      <sheetName val="מימון_דולרי6"/>
      <sheetName val="עסק_חי6"/>
      <sheetName val="COGS_6"/>
      <sheetName val="sales_forecast6"/>
      <sheetName val="deferred_tax6"/>
      <sheetName val="theoretical_tax6"/>
      <sheetName val="ביאור_מימון_6"/>
      <sheetName val="פחת_6"/>
      <sheetName val="Owners_loan6"/>
      <sheetName val="תשלומי_ריבית_6"/>
      <sheetName val="מסים_נדחים6"/>
      <sheetName val="אופציות_5"/>
      <sheetName val="תזרים_מזומנים_$5"/>
      <sheetName val="אנליטי_רווה5"/>
      <sheetName val="אנליטי_מאזן5"/>
      <sheetName val="הלואות_בעלים5"/>
      <sheetName val="רכוש_קבוע5"/>
      <sheetName val="הוצ'_הנהלה_ומו&quot;פ_5"/>
      <sheetName val="מס_הכנסה5"/>
      <sheetName val="סבירות_מימון5"/>
      <sheetName val="סבירות_מימון_(2)5"/>
      <sheetName val="מימון_דולרי5"/>
      <sheetName val="עסק_חי5"/>
      <sheetName val="COGS_5"/>
      <sheetName val="sales_forecast5"/>
      <sheetName val="deferred_tax5"/>
      <sheetName val="theoretical_tax5"/>
      <sheetName val="ביאור_מימון_5"/>
      <sheetName val="פחת_5"/>
      <sheetName val="Owners_loan5"/>
      <sheetName val="תשלומי_ריבית_5"/>
      <sheetName val="מסים_נדחים5"/>
      <sheetName val="אופציות_7"/>
      <sheetName val="תזרים_מזומנים_$7"/>
      <sheetName val="אנליטי_רווה7"/>
      <sheetName val="אנליטי_מאזן7"/>
      <sheetName val="הלואות_בעלים7"/>
      <sheetName val="רכוש_קבוע7"/>
      <sheetName val="הוצ'_הנהלה_ומו&quot;פ_7"/>
      <sheetName val="מס_הכנסה7"/>
      <sheetName val="סבירות_מימון7"/>
      <sheetName val="סבירות_מימון_(2)7"/>
      <sheetName val="מימון_דולרי7"/>
      <sheetName val="עסק_חי7"/>
      <sheetName val="COGS_7"/>
      <sheetName val="sales_forecast7"/>
      <sheetName val="deferred_tax7"/>
      <sheetName val="theoretical_tax7"/>
      <sheetName val="ביאור_מימון_7"/>
      <sheetName val="פחת_7"/>
      <sheetName val="Owners_loan7"/>
      <sheetName val="תשלומי_ריבית_7"/>
      <sheetName val="מסים_נדחים7"/>
      <sheetName val="אופציות_8"/>
      <sheetName val="תזרים_מזומנים_$8"/>
      <sheetName val="אנליטי_רווה8"/>
      <sheetName val="אנליטי_מאזן8"/>
      <sheetName val="הלואות_בעלים8"/>
      <sheetName val="רכוש_קבוע8"/>
      <sheetName val="הוצ'_הנהלה_ומו&quot;פ_8"/>
      <sheetName val="מס_הכנסה8"/>
      <sheetName val="סבירות_מימון8"/>
      <sheetName val="סבירות_מימון_(2)8"/>
      <sheetName val="מימון_דולרי8"/>
      <sheetName val="עסק_חי8"/>
      <sheetName val="COGS_8"/>
      <sheetName val="sales_forecast8"/>
      <sheetName val="deferred_tax8"/>
      <sheetName val="theoretical_tax8"/>
      <sheetName val="ביאור_מימון_8"/>
      <sheetName val="פחת_8"/>
      <sheetName val="Owners_loan8"/>
      <sheetName val="תשלומי_ריבית_8"/>
      <sheetName val="מסים_נדחים8"/>
      <sheetName val="תזרים_$"/>
      <sheetName val="ניתוח_אנליטי-רו&quot;ה"/>
      <sheetName val="דוח מתכונת הגשה"/>
      <sheetName val="ממחסן ללקוחZ"/>
      <sheetName val="מרכז_3-01"/>
      <sheetName val="דוח למס"/>
      <sheetName val="הרכבה_מאוחד"/>
      <sheetName val="?????"/>
    </sheetNames>
    <sheetDataSet>
      <sheetData sheetId="0" refreshError="1"/>
      <sheetData sheetId="1">
        <row r="2">
          <cell r="B2" t="str">
            <v>TELEGATE LTD.</v>
          </cell>
        </row>
      </sheetData>
      <sheetData sheetId="2">
        <row r="2">
          <cell r="B2" t="str">
            <v>TELEGATE LTD.</v>
          </cell>
        </row>
        <row r="4">
          <cell r="B4" t="str">
            <v>טלגייט בע"מ</v>
          </cell>
          <cell r="K4" t="str">
            <v>טלגייט בע"מ</v>
          </cell>
        </row>
        <row r="6">
          <cell r="B6" t="str">
            <v>מאזן $ ליום 31 בדצמבר 1998</v>
          </cell>
          <cell r="K6" t="str">
            <v>מאזן ש"ח ליום 31 בדצמבר 1998</v>
          </cell>
        </row>
        <row r="8">
          <cell r="E8" t="str">
            <v>אלפי $</v>
          </cell>
          <cell r="H8" t="str">
            <v>אלפי $</v>
          </cell>
          <cell r="N8" t="str">
            <v>אלפי ש"ח</v>
          </cell>
          <cell r="Q8" t="str">
            <v>אלפי ש"ח</v>
          </cell>
        </row>
        <row r="9">
          <cell r="B9" t="str">
            <v>רכוש שוטף</v>
          </cell>
          <cell r="G9" t="str">
            <v>התחייבויות שוטפות</v>
          </cell>
          <cell r="K9" t="str">
            <v>רכוש שוטף</v>
          </cell>
          <cell r="P9" t="str">
            <v>התחייבויות שוטפות</v>
          </cell>
        </row>
        <row r="11">
          <cell r="B11" t="str">
            <v>מזומנים ושווי מזומנים</v>
          </cell>
          <cell r="E11">
            <v>745</v>
          </cell>
          <cell r="G11" t="str">
            <v>אשראי לז"ק</v>
          </cell>
          <cell r="H11">
            <v>381</v>
          </cell>
          <cell r="K11" t="str">
            <v>מזומנים ושווי מזומנים</v>
          </cell>
          <cell r="N11">
            <v>3100</v>
          </cell>
          <cell r="P11" t="str">
            <v>אשראי לז"ק</v>
          </cell>
          <cell r="Q11">
            <v>1583</v>
          </cell>
        </row>
        <row r="12">
          <cell r="K12" t="str">
            <v>מזומנים ושווי מזומנים</v>
          </cell>
          <cell r="L12">
            <v>1602245</v>
          </cell>
          <cell r="M12">
            <v>3</v>
          </cell>
          <cell r="N12">
            <v>1498029</v>
          </cell>
          <cell r="Q12">
            <v>3100274</v>
          </cell>
        </row>
        <row r="13">
          <cell r="B13" t="str">
            <v>בטוחות סחירות</v>
          </cell>
          <cell r="E13">
            <v>0</v>
          </cell>
          <cell r="G13" t="str">
            <v>הלוואות לז"ק</v>
          </cell>
          <cell r="H13">
            <v>1135</v>
          </cell>
          <cell r="K13" t="str">
            <v>בטוחות סחירות</v>
          </cell>
          <cell r="N13">
            <v>0</v>
          </cell>
          <cell r="P13" t="str">
            <v>הלוואות לז"ק</v>
          </cell>
          <cell r="Q13">
            <v>4720</v>
          </cell>
        </row>
        <row r="14">
          <cell r="K14" t="str">
            <v>בטוחות סחירות</v>
          </cell>
          <cell r="Q14">
            <v>0</v>
          </cell>
        </row>
        <row r="15">
          <cell r="B15" t="str">
            <v>לקוחות - צד קשור</v>
          </cell>
          <cell r="E15">
            <v>320</v>
          </cell>
          <cell r="G15" t="str">
            <v>ספקים</v>
          </cell>
          <cell r="H15">
            <v>1333</v>
          </cell>
          <cell r="K15" t="str">
            <v>לקוחות</v>
          </cell>
          <cell r="N15">
            <v>1329</v>
          </cell>
          <cell r="P15" t="str">
            <v>ספקים</v>
          </cell>
          <cell r="Q15">
            <v>5683</v>
          </cell>
        </row>
        <row r="16">
          <cell r="K16" t="str">
            <v>לקוחות</v>
          </cell>
          <cell r="L16">
            <v>1348972</v>
          </cell>
          <cell r="O16">
            <v>8</v>
          </cell>
          <cell r="P16">
            <v>19748</v>
          </cell>
          <cell r="Q16">
            <v>1329224</v>
          </cell>
        </row>
        <row r="17">
          <cell r="B17" t="str">
            <v>הכנסות לקבל-השתתפות ממשלה</v>
          </cell>
          <cell r="E17">
            <v>331</v>
          </cell>
          <cell r="G17" t="str">
            <v>עובדים ומוסדות בגין שכר</v>
          </cell>
          <cell r="H17">
            <v>791</v>
          </cell>
          <cell r="K17" t="str">
            <v>הכנסות לקבל-השתתפות ממשלה</v>
          </cell>
          <cell r="N17">
            <v>1377</v>
          </cell>
          <cell r="P17" t="str">
            <v>עובדים ומוסדות בגין שכר</v>
          </cell>
          <cell r="Q17">
            <v>3264</v>
          </cell>
        </row>
        <row r="18">
          <cell r="K18" t="str">
            <v>עובדים</v>
          </cell>
          <cell r="L18">
            <v>127081</v>
          </cell>
          <cell r="O18">
            <v>14</v>
          </cell>
          <cell r="P18">
            <v>150430</v>
          </cell>
          <cell r="Q18">
            <v>-23349</v>
          </cell>
        </row>
        <row r="19">
          <cell r="B19" t="str">
            <v>חייבים אחרים</v>
          </cell>
          <cell r="E19">
            <v>12</v>
          </cell>
          <cell r="G19" t="str">
            <v>זכאים אחרים</v>
          </cell>
          <cell r="H19">
            <v>372</v>
          </cell>
          <cell r="K19" t="str">
            <v>חייבים אחרים</v>
          </cell>
          <cell r="N19">
            <v>18</v>
          </cell>
          <cell r="P19" t="str">
            <v>זכאים אחרים</v>
          </cell>
          <cell r="Q19">
            <v>1103</v>
          </cell>
        </row>
        <row r="20">
          <cell r="K20" t="str">
            <v>מוסדות</v>
          </cell>
          <cell r="L20">
            <v>62489</v>
          </cell>
          <cell r="O20">
            <v>15</v>
          </cell>
          <cell r="P20">
            <v>20788</v>
          </cell>
          <cell r="Q20">
            <v>41701</v>
          </cell>
        </row>
        <row r="21">
          <cell r="B21" t="str">
            <v>מלאי</v>
          </cell>
          <cell r="E21">
            <v>1210</v>
          </cell>
          <cell r="G21" t="str">
            <v>מקדמות מלקוחות-צדדים קשורים</v>
          </cell>
          <cell r="H21">
            <v>385</v>
          </cell>
          <cell r="K21" t="str">
            <v>מלאי</v>
          </cell>
          <cell r="N21">
            <v>5075</v>
          </cell>
          <cell r="P21" t="str">
            <v>מקדמות מלקוחות-צדדים קשורים</v>
          </cell>
          <cell r="Q21">
            <v>1601</v>
          </cell>
        </row>
        <row r="23">
          <cell r="B23" t="str">
            <v>סה"כ רכוש שוטף</v>
          </cell>
          <cell r="E23">
            <v>2618</v>
          </cell>
          <cell r="G23" t="str">
            <v>סה"כ התחייבויות שוטפות</v>
          </cell>
          <cell r="H23">
            <v>4397</v>
          </cell>
          <cell r="K23" t="str">
            <v>סה"כ רכוש שוטף</v>
          </cell>
          <cell r="N23">
            <v>10899</v>
          </cell>
          <cell r="P23" t="str">
            <v>סה"כ התחייבויות שוטפות</v>
          </cell>
          <cell r="Q23">
            <v>17954</v>
          </cell>
        </row>
        <row r="25">
          <cell r="K25" t="str">
            <v>הכנסות לקבל - ממשלה</v>
          </cell>
          <cell r="M25">
            <v>1</v>
          </cell>
          <cell r="N25">
            <v>1377000</v>
          </cell>
          <cell r="Q25">
            <v>1377000</v>
          </cell>
        </row>
        <row r="26">
          <cell r="G26" t="str">
            <v>התחייבויות לזמן ארוך</v>
          </cell>
          <cell r="P26" t="str">
            <v>התחייבויות לזמן ארוך</v>
          </cell>
        </row>
        <row r="27">
          <cell r="K27" t="str">
            <v>מלאי</v>
          </cell>
          <cell r="M27">
            <v>9</v>
          </cell>
          <cell r="N27">
            <v>4547815.142</v>
          </cell>
          <cell r="Q27">
            <v>5074916.142</v>
          </cell>
        </row>
        <row r="28">
          <cell r="G28" t="str">
            <v>התחייבויות לסיום יחסי</v>
          </cell>
          <cell r="M28">
            <v>13</v>
          </cell>
          <cell r="N28">
            <v>527101</v>
          </cell>
          <cell r="P28" t="str">
            <v>התחייבויות לסיום יחסי</v>
          </cell>
        </row>
        <row r="29">
          <cell r="G29" t="str">
            <v>עובד-מעביד, נטו</v>
          </cell>
          <cell r="H29">
            <v>248</v>
          </cell>
          <cell r="K29" t="str">
            <v>רכוש קבוע-עלות</v>
          </cell>
          <cell r="L29">
            <v>8033165</v>
          </cell>
          <cell r="P29" t="str">
            <v>עובד-מעביד, נטו</v>
          </cell>
          <cell r="Q29">
            <v>1034</v>
          </cell>
        </row>
        <row r="31">
          <cell r="B31" t="str">
            <v>רכוש קבוע</v>
          </cell>
          <cell r="G31" t="str">
            <v>הלוואות בעלים</v>
          </cell>
          <cell r="H31">
            <v>5633</v>
          </cell>
          <cell r="K31" t="str">
            <v>רכוש קבוע</v>
          </cell>
          <cell r="L31">
            <v>-1096437</v>
          </cell>
          <cell r="O31">
            <v>7</v>
          </cell>
          <cell r="P31" t="str">
            <v>הלוואות בעלים</v>
          </cell>
          <cell r="Q31">
            <v>23433</v>
          </cell>
        </row>
        <row r="33">
          <cell r="B33" t="str">
            <v>עלות</v>
          </cell>
          <cell r="E33">
            <v>2310</v>
          </cell>
          <cell r="H33">
            <v>5881</v>
          </cell>
          <cell r="K33" t="str">
            <v>עלות</v>
          </cell>
          <cell r="L33">
            <v>-1583398</v>
          </cell>
          <cell r="M33">
            <v>3</v>
          </cell>
          <cell r="N33">
            <v>8033</v>
          </cell>
          <cell r="Q33">
            <v>24467</v>
          </cell>
        </row>
        <row r="35">
          <cell r="B35" t="str">
            <v>פחת נצבר</v>
          </cell>
          <cell r="E35">
            <v>-762</v>
          </cell>
          <cell r="K35" t="str">
            <v>פחת נצבר</v>
          </cell>
          <cell r="L35">
            <v>-4720000</v>
          </cell>
          <cell r="N35">
            <v>-2496</v>
          </cell>
          <cell r="Q35">
            <v>-4720000</v>
          </cell>
        </row>
        <row r="36">
          <cell r="G36" t="str">
            <v>הון עצמי</v>
          </cell>
          <cell r="P36" t="str">
            <v>הון עצמי</v>
          </cell>
        </row>
        <row r="37">
          <cell r="B37" t="str">
            <v>רכוש קבוע, נטו</v>
          </cell>
          <cell r="E37">
            <v>1548</v>
          </cell>
          <cell r="K37" t="str">
            <v>רכוש קבוע, נטו</v>
          </cell>
          <cell r="L37">
            <v>-3931362</v>
          </cell>
          <cell r="M37">
            <v>18</v>
          </cell>
          <cell r="N37">
            <v>5537</v>
          </cell>
          <cell r="O37">
            <v>3</v>
          </cell>
          <cell r="P37">
            <v>1471579</v>
          </cell>
          <cell r="Q37">
            <v>-5683275</v>
          </cell>
        </row>
        <row r="38">
          <cell r="G38" t="str">
            <v>הון מניות</v>
          </cell>
          <cell r="H38">
            <v>23</v>
          </cell>
          <cell r="O38">
            <v>2</v>
          </cell>
          <cell r="P38" t="str">
            <v>הון מניות</v>
          </cell>
          <cell r="Q38">
            <v>71</v>
          </cell>
        </row>
        <row r="40">
          <cell r="G40" t="str">
            <v>פרמיה על מניות</v>
          </cell>
          <cell r="H40">
            <v>11183</v>
          </cell>
          <cell r="K40" t="str">
            <v>עובדים ומוסדות בגין שכר</v>
          </cell>
          <cell r="L40">
            <v>-2696388</v>
          </cell>
          <cell r="O40">
            <v>3</v>
          </cell>
          <cell r="P40" t="str">
            <v>פרמיה על מניות</v>
          </cell>
          <cell r="Q40">
            <v>24706</v>
          </cell>
        </row>
        <row r="41">
          <cell r="O41">
            <v>4</v>
          </cell>
          <cell r="P41">
            <v>541459</v>
          </cell>
        </row>
        <row r="42">
          <cell r="G42" t="str">
            <v>קרן הון- אופציות</v>
          </cell>
          <cell r="H42">
            <v>-672</v>
          </cell>
          <cell r="P42" t="str">
            <v>קרן הון- אופציות</v>
          </cell>
          <cell r="Q42">
            <v>0</v>
          </cell>
        </row>
        <row r="43">
          <cell r="K43" t="str">
            <v>צדדים קשורים</v>
          </cell>
          <cell r="L43">
            <v>-131394</v>
          </cell>
          <cell r="Q43">
            <v>-131394</v>
          </cell>
        </row>
        <row r="44">
          <cell r="G44" t="str">
            <v>הפסד נצבר</v>
          </cell>
          <cell r="H44">
            <v>-16646</v>
          </cell>
          <cell r="I44">
            <v>0</v>
          </cell>
          <cell r="P44" t="str">
            <v>הפסד נצבר</v>
          </cell>
          <cell r="Q44">
            <v>-50762</v>
          </cell>
          <cell r="R44">
            <v>0</v>
          </cell>
        </row>
        <row r="45">
          <cell r="K45" t="str">
            <v>זכאים אחרים</v>
          </cell>
          <cell r="L45">
            <v>-659937</v>
          </cell>
          <cell r="O45">
            <v>19</v>
          </cell>
          <cell r="P45">
            <v>445120</v>
          </cell>
          <cell r="Q45">
            <v>-971937</v>
          </cell>
        </row>
        <row r="46">
          <cell r="G46" t="str">
            <v>סה"כ הון עצמי</v>
          </cell>
          <cell r="H46">
            <v>-6112</v>
          </cell>
          <cell r="O46">
            <v>12</v>
          </cell>
          <cell r="P46" t="str">
            <v>סה"כ הון עצמי</v>
          </cell>
          <cell r="Q46">
            <v>-25985</v>
          </cell>
        </row>
        <row r="48">
          <cell r="E48">
            <v>4166</v>
          </cell>
          <cell r="H48">
            <v>4166</v>
          </cell>
          <cell r="N48">
            <v>16436</v>
          </cell>
          <cell r="Q48">
            <v>16436</v>
          </cell>
        </row>
        <row r="49">
          <cell r="K49" t="str">
            <v>מקדמות מלקוחות-צדדים קשורים</v>
          </cell>
          <cell r="L49">
            <v>-1601281</v>
          </cell>
          <cell r="Q49">
            <v>-1601281</v>
          </cell>
        </row>
        <row r="50">
          <cell r="F50">
            <v>0</v>
          </cell>
          <cell r="O50">
            <v>0</v>
          </cell>
        </row>
        <row r="52">
          <cell r="C52" t="str">
            <v>טלגייט בע"מ</v>
          </cell>
          <cell r="L52" t="str">
            <v>טלגייט בע"מ</v>
          </cell>
        </row>
        <row r="53">
          <cell r="L53">
            <v>-22633236</v>
          </cell>
          <cell r="O53">
            <v>10</v>
          </cell>
          <cell r="P53">
            <v>799914</v>
          </cell>
        </row>
        <row r="54">
          <cell r="C54" t="str">
            <v>רווח והפסד לשנה שנסתיימה ביום  31 בדצמבר 1998</v>
          </cell>
          <cell r="L54" t="str">
            <v>רווח והפסד לשנה שנסתיימה ביום 31 בדצמבר 1998</v>
          </cell>
        </row>
        <row r="55">
          <cell r="L55">
            <v>-70689</v>
          </cell>
        </row>
        <row r="56">
          <cell r="F56" t="str">
            <v>אלפי $</v>
          </cell>
          <cell r="O56" t="str">
            <v>אלפי ש"ח</v>
          </cell>
        </row>
        <row r="57">
          <cell r="L57">
            <v>-24705990</v>
          </cell>
          <cell r="O57">
            <v>17</v>
          </cell>
          <cell r="P57">
            <v>0</v>
          </cell>
        </row>
        <row r="59">
          <cell r="C59" t="str">
            <v>מכירות</v>
          </cell>
          <cell r="F59">
            <v>3569</v>
          </cell>
          <cell r="L59" t="str">
            <v>מכירות</v>
          </cell>
          <cell r="M59">
            <v>17</v>
          </cell>
          <cell r="O59">
            <v>14264</v>
          </cell>
        </row>
        <row r="61">
          <cell r="C61" t="str">
            <v>עלות המכירות</v>
          </cell>
          <cell r="F61">
            <v>3737</v>
          </cell>
          <cell r="L61" t="str">
            <v>עלות המכירות</v>
          </cell>
          <cell r="O61">
            <v>13247</v>
          </cell>
        </row>
        <row r="63">
          <cell r="C63" t="str">
            <v>הפסד גולמי</v>
          </cell>
          <cell r="F63">
            <v>168</v>
          </cell>
          <cell r="L63" t="str">
            <v>הפסד גולמי</v>
          </cell>
          <cell r="O63">
            <v>-1017</v>
          </cell>
        </row>
        <row r="65">
          <cell r="C65" t="str">
            <v>הוצאות מחקר ופיתוח, נטו</v>
          </cell>
          <cell r="F65">
            <v>5458</v>
          </cell>
          <cell r="L65" t="str">
            <v>הוצאות מחקר ופיתוח, נטו</v>
          </cell>
          <cell r="O65">
            <v>16802</v>
          </cell>
        </row>
        <row r="66">
          <cell r="L66">
            <v>0</v>
          </cell>
        </row>
        <row r="67">
          <cell r="C67" t="str">
            <v>הוצאות שיווק</v>
          </cell>
          <cell r="F67">
            <v>687</v>
          </cell>
          <cell r="L67" t="str">
            <v>הוצאות שיווק</v>
          </cell>
          <cell r="O67">
            <v>1759</v>
          </cell>
        </row>
        <row r="69">
          <cell r="C69" t="str">
            <v>הוצאות הנהלה וכלליות</v>
          </cell>
          <cell r="F69">
            <v>772</v>
          </cell>
          <cell r="L69" t="str">
            <v>הוצאות הנהלה וכלליות</v>
          </cell>
          <cell r="O69">
            <v>2501</v>
          </cell>
        </row>
        <row r="71">
          <cell r="C71" t="str">
            <v>סה"כ הוצאות תפעוליות</v>
          </cell>
          <cell r="F71">
            <v>6917</v>
          </cell>
          <cell r="L71" t="str">
            <v>סה"כ הוצאות תפעוליות</v>
          </cell>
          <cell r="O71">
            <v>21062</v>
          </cell>
        </row>
        <row r="73">
          <cell r="C73" t="str">
            <v>הפסד תפעולי</v>
          </cell>
          <cell r="F73">
            <v>7085</v>
          </cell>
          <cell r="L73" t="str">
            <v>הפסד תפעולי</v>
          </cell>
          <cell r="O73">
            <v>20045</v>
          </cell>
        </row>
        <row r="75">
          <cell r="C75" t="str">
            <v>הכנסות (הוצאות) מימון</v>
          </cell>
          <cell r="F75">
            <v>23</v>
          </cell>
          <cell r="L75" t="str">
            <v>הכנסות (הוצאות) מימון</v>
          </cell>
          <cell r="O75">
            <v>-4521</v>
          </cell>
        </row>
        <row r="77">
          <cell r="C77" t="str">
            <v>הפסד השנה</v>
          </cell>
          <cell r="F77">
            <v>7062</v>
          </cell>
          <cell r="L77" t="str">
            <v>הפסד השנה</v>
          </cell>
          <cell r="O77">
            <v>24566</v>
          </cell>
        </row>
      </sheetData>
      <sheetData sheetId="3">
        <row r="2">
          <cell r="B2" t="str">
            <v>TELEGATE LTD.</v>
          </cell>
        </row>
      </sheetData>
      <sheetData sheetId="4"/>
      <sheetData sheetId="5"/>
      <sheetData sheetId="6"/>
      <sheetData sheetId="7">
        <row r="2">
          <cell r="B2" t="str">
            <v>TELEGATE LTD.</v>
          </cell>
        </row>
      </sheetData>
      <sheetData sheetId="8"/>
      <sheetData sheetId="9"/>
      <sheetData sheetId="10">
        <row r="2">
          <cell r="B2" t="str">
            <v>TELEGATE LTD.</v>
          </cell>
        </row>
      </sheetData>
      <sheetData sheetId="11">
        <row r="2">
          <cell r="B2" t="str">
            <v>TELEGATE LTD.</v>
          </cell>
        </row>
      </sheetData>
      <sheetData sheetId="12"/>
      <sheetData sheetId="13">
        <row r="2">
          <cell r="B2" t="str">
            <v>TELEGATE LTD.</v>
          </cell>
        </row>
      </sheetData>
      <sheetData sheetId="14">
        <row r="2">
          <cell r="B2" t="str">
            <v>TELEGATE LTD.</v>
          </cell>
        </row>
      </sheetData>
      <sheetData sheetId="15"/>
      <sheetData sheetId="16">
        <row r="2">
          <cell r="B2" t="str">
            <v>TELEGATE LTD.</v>
          </cell>
        </row>
      </sheetData>
      <sheetData sheetId="17"/>
      <sheetData sheetId="18"/>
      <sheetData sheetId="19">
        <row r="2">
          <cell r="B2" t="str">
            <v>TELEGATE LTD.</v>
          </cell>
        </row>
      </sheetData>
      <sheetData sheetId="20">
        <row r="2">
          <cell r="B2" t="str">
            <v>TELEGATE LTD.</v>
          </cell>
        </row>
      </sheetData>
      <sheetData sheetId="21"/>
      <sheetData sheetId="22">
        <row r="2">
          <cell r="B2" t="str">
            <v>TELEGATE LTD.</v>
          </cell>
        </row>
      </sheetData>
      <sheetData sheetId="23">
        <row r="2">
          <cell r="B2" t="str">
            <v>TELEGATE LTD.</v>
          </cell>
        </row>
      </sheetData>
      <sheetData sheetId="24">
        <row r="2">
          <cell r="B2" t="str">
            <v>TELEGATE LTD.</v>
          </cell>
        </row>
      </sheetData>
      <sheetData sheetId="25">
        <row r="2">
          <cell r="B2" t="str">
            <v>TELEGATE LTD.</v>
          </cell>
        </row>
      </sheetData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2">
          <cell r="B2" t="str">
            <v>TELEGATE LTD.</v>
          </cell>
        </row>
      </sheetData>
      <sheetData sheetId="51"/>
      <sheetData sheetId="52"/>
      <sheetData sheetId="53">
        <row r="2">
          <cell r="B2" t="str">
            <v>TELEGATE LTD.</v>
          </cell>
        </row>
      </sheetData>
      <sheetData sheetId="54">
        <row r="2">
          <cell r="B2" t="str">
            <v>TELEGATE LTD.</v>
          </cell>
        </row>
      </sheetData>
      <sheetData sheetId="55"/>
      <sheetData sheetId="56">
        <row r="4">
          <cell r="B4" t="str">
            <v>טלגייט בע"מ</v>
          </cell>
        </row>
      </sheetData>
      <sheetData sheetId="57"/>
      <sheetData sheetId="58"/>
      <sheetData sheetId="59"/>
      <sheetData sheetId="60">
        <row r="2">
          <cell r="B2" t="str">
            <v>TELEGATE LTD.</v>
          </cell>
        </row>
      </sheetData>
      <sheetData sheetId="61"/>
      <sheetData sheetId="62"/>
      <sheetData sheetId="63"/>
      <sheetData sheetId="64"/>
      <sheetData sheetId="65">
        <row r="2">
          <cell r="B2" t="str">
            <v>TELEGATE LTD.</v>
          </cell>
        </row>
      </sheetData>
      <sheetData sheetId="66"/>
      <sheetData sheetId="67"/>
      <sheetData sheetId="68"/>
      <sheetData sheetId="69">
        <row r="2">
          <cell r="B2" t="str">
            <v>TELEGATE LTD.</v>
          </cell>
        </row>
      </sheetData>
      <sheetData sheetId="70">
        <row r="2">
          <cell r="B2" t="str">
            <v>TELEGATE LTD.</v>
          </cell>
        </row>
      </sheetData>
      <sheetData sheetId="71">
        <row r="2">
          <cell r="B2" t="str">
            <v>TELEGATE LTD.</v>
          </cell>
        </row>
      </sheetData>
      <sheetData sheetId="72"/>
      <sheetData sheetId="73"/>
      <sheetData sheetId="74">
        <row r="2">
          <cell r="B2" t="str">
            <v>TELEGATE LTD.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2">
          <cell r="B2" t="str">
            <v>TELEGATE LTD.</v>
          </cell>
        </row>
      </sheetData>
      <sheetData sheetId="89"/>
      <sheetData sheetId="90"/>
      <sheetData sheetId="91">
        <row r="2">
          <cell r="B2" t="str">
            <v>TELEGATE LTD.</v>
          </cell>
        </row>
      </sheetData>
      <sheetData sheetId="92">
        <row r="2">
          <cell r="B2" t="str">
            <v>TELEGATE LTD.</v>
          </cell>
        </row>
      </sheetData>
      <sheetData sheetId="93"/>
      <sheetData sheetId="94"/>
      <sheetData sheetId="95">
        <row r="2">
          <cell r="B2" t="str">
            <v>TELEGATE LTD.</v>
          </cell>
        </row>
      </sheetData>
      <sheetData sheetId="96">
        <row r="2">
          <cell r="B2" t="str">
            <v>TELEGATE LTD.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2">
          <cell r="B2" t="str">
            <v>TELEGATE LTD.</v>
          </cell>
        </row>
      </sheetData>
      <sheetData sheetId="114"/>
      <sheetData sheetId="115"/>
      <sheetData sheetId="116">
        <row r="2">
          <cell r="B2" t="str">
            <v>TELEGATE LTD.</v>
          </cell>
        </row>
      </sheetData>
      <sheetData sheetId="117">
        <row r="2">
          <cell r="B2" t="str">
            <v>TELEGATE LTD.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2">
          <cell r="B2" t="str">
            <v>TELEGATE LTD.</v>
          </cell>
        </row>
      </sheetData>
      <sheetData sheetId="131"/>
      <sheetData sheetId="132"/>
      <sheetData sheetId="133">
        <row r="2">
          <cell r="B2" t="str">
            <v>TELEGATE LTD.</v>
          </cell>
        </row>
      </sheetData>
      <sheetData sheetId="134">
        <row r="2">
          <cell r="B2" t="str">
            <v>TELEGATE LTD.</v>
          </cell>
        </row>
      </sheetData>
      <sheetData sheetId="135"/>
      <sheetData sheetId="136"/>
      <sheetData sheetId="137">
        <row r="2">
          <cell r="B2" t="str">
            <v>TELEGATE LTD.</v>
          </cell>
        </row>
      </sheetData>
      <sheetData sheetId="138">
        <row r="2">
          <cell r="B2" t="str">
            <v>TELEGATE LTD.</v>
          </cell>
        </row>
      </sheetData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>
        <row r="2">
          <cell r="B2" t="str">
            <v>TELEGATE LTD.</v>
          </cell>
        </row>
      </sheetData>
      <sheetData sheetId="152"/>
      <sheetData sheetId="153"/>
      <sheetData sheetId="154">
        <row r="2">
          <cell r="B2" t="str">
            <v>TELEGATE LTD.</v>
          </cell>
        </row>
      </sheetData>
      <sheetData sheetId="155">
        <row r="2">
          <cell r="B2" t="str">
            <v>TELEGATE LTD.</v>
          </cell>
        </row>
      </sheetData>
      <sheetData sheetId="156"/>
      <sheetData sheetId="157"/>
      <sheetData sheetId="158">
        <row r="2">
          <cell r="B2" t="str">
            <v>TELEGATE LTD.</v>
          </cell>
        </row>
      </sheetData>
      <sheetData sheetId="159">
        <row r="2">
          <cell r="B2" t="str">
            <v>TELEGATE LTD.</v>
          </cell>
        </row>
      </sheetData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>
        <row r="2">
          <cell r="B2" t="str">
            <v>TELEGATE LTD.</v>
          </cell>
        </row>
      </sheetData>
      <sheetData sheetId="177"/>
      <sheetData sheetId="178"/>
      <sheetData sheetId="179">
        <row r="2">
          <cell r="B2" t="str">
            <v>TELEGATE LTD.</v>
          </cell>
        </row>
      </sheetData>
      <sheetData sheetId="180">
        <row r="2">
          <cell r="B2" t="str">
            <v>TELEGATE LTD.</v>
          </cell>
        </row>
      </sheetData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>
        <row r="2">
          <cell r="B2" t="str">
            <v>TELEGATE LTD.</v>
          </cell>
        </row>
      </sheetData>
      <sheetData sheetId="198"/>
      <sheetData sheetId="199"/>
      <sheetData sheetId="200">
        <row r="2">
          <cell r="B2" t="str">
            <v>TELEGATE LTD.</v>
          </cell>
        </row>
      </sheetData>
      <sheetData sheetId="201">
        <row r="2">
          <cell r="B2" t="str">
            <v>TELEGATE LTD.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>
        <row r="2">
          <cell r="B2" t="str">
            <v>TELEGATE LTD.</v>
          </cell>
        </row>
      </sheetData>
      <sheetData sheetId="219"/>
      <sheetData sheetId="220"/>
      <sheetData sheetId="221">
        <row r="2">
          <cell r="B2" t="str">
            <v>TELEGATE LTD.</v>
          </cell>
        </row>
      </sheetData>
      <sheetData sheetId="222">
        <row r="2">
          <cell r="B2" t="str">
            <v>TELEGATE LTD.</v>
          </cell>
        </row>
      </sheetData>
      <sheetData sheetId="223"/>
      <sheetData sheetId="224"/>
      <sheetData sheetId="225"/>
      <sheetData sheetId="226" refreshError="1"/>
      <sheetData sheetId="227" refreshError="1"/>
      <sheetData sheetId="228"/>
      <sheetData sheetId="229" refreshError="1"/>
      <sheetData sheetId="230"/>
      <sheetData sheetId="23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ות כספיים"/>
      <sheetName val="גיליון2"/>
      <sheetName val="גיליון3"/>
      <sheetName val="????? ??????"/>
      <sheetName val="דוח מתכונת הגשה "/>
      <sheetName val="דוחות"/>
      <sheetName val="Income"/>
      <sheetName val="דוחות_כספיים4"/>
      <sheetName val="?????_??????4"/>
      <sheetName val="דוח_מתכונת_הגשה_4"/>
      <sheetName val="דוחות_כספיים"/>
      <sheetName val="?????_??????"/>
      <sheetName val="דוח_מתכונת_הגשה_"/>
      <sheetName val="דוחות_כספיים1"/>
      <sheetName val="?????_??????1"/>
      <sheetName val="דוח_מתכונת_הגשה_1"/>
      <sheetName val="דוחות_כספיים2"/>
      <sheetName val="?????_??????2"/>
      <sheetName val="דוח_מתכונת_הגשה_2"/>
      <sheetName val="דוחות_כספיים3"/>
      <sheetName val="?????_??????3"/>
      <sheetName val="דוח_מתכונת_הגשה_3"/>
      <sheetName val="דוחות_כספיים6"/>
      <sheetName val="?????_??????6"/>
      <sheetName val="דוח_מתכונת_הגשה_6"/>
      <sheetName val="דוחות_כספיים5"/>
      <sheetName val="?????_??????5"/>
      <sheetName val="דוח_מתכונת_הגשה_5"/>
      <sheetName val="דוחות_כספיים7"/>
      <sheetName val="?????_??????7"/>
      <sheetName val="דוח_מתכונת_הגשה_7"/>
      <sheetName val="דוחות_כספיים8"/>
      <sheetName val="?????_??????8"/>
      <sheetName val="דוח_מתכונת_הגשה_8"/>
      <sheetName val="תזרים $"/>
      <sheetName val="ניתוח אנליטי-רו&quot;ה"/>
      <sheetName val="deferred tax"/>
      <sheetName val="תזרים מתואם"/>
      <sheetName val="מדדים"/>
      <sheetName val="דוח חבות הבראה"/>
      <sheetName val="CFS"/>
      <sheetName val="BS"/>
      <sheetName val="P&amp;L "/>
      <sheetName val="דוח מתכונת הגשה"/>
      <sheetName val="Parts"/>
      <sheetName val="BOM File"/>
      <sheetName val="Summary"/>
      <sheetName val="דוח למס"/>
    </sheetNames>
    <sheetDataSet>
      <sheetData sheetId="0" refreshError="1">
        <row r="1">
          <cell r="B1" t="str">
            <v>XACCT INC</v>
          </cell>
        </row>
        <row r="2">
          <cell r="D2" t="str">
            <v>March</v>
          </cell>
          <cell r="F2" t="str">
            <v xml:space="preserve">June </v>
          </cell>
        </row>
        <row r="3">
          <cell r="D3">
            <v>1999</v>
          </cell>
          <cell r="F3">
            <v>1999</v>
          </cell>
        </row>
        <row r="4">
          <cell r="D4" t="str">
            <v>Thousand $</v>
          </cell>
          <cell r="F4" t="str">
            <v>Thousand $</v>
          </cell>
        </row>
        <row r="6">
          <cell r="B6" t="str">
            <v>ASSETS</v>
          </cell>
        </row>
        <row r="8">
          <cell r="B8" t="str">
            <v>Current Assets:</v>
          </cell>
        </row>
        <row r="10">
          <cell r="B10" t="str">
            <v>Cash and cash equivalents</v>
          </cell>
        </row>
        <row r="11">
          <cell r="B11" t="str">
            <v>Trade accounts receivables</v>
          </cell>
        </row>
        <row r="12">
          <cell r="B12" t="str">
            <v>Other accounts receivables</v>
          </cell>
        </row>
        <row r="14">
          <cell r="B14" t="str">
            <v>Total current assets</v>
          </cell>
          <cell r="D14">
            <v>0</v>
          </cell>
          <cell r="F14">
            <v>0</v>
          </cell>
        </row>
        <row r="16">
          <cell r="B16" t="str">
            <v>Plant and equipment, net</v>
          </cell>
        </row>
        <row r="18">
          <cell r="B18" t="str">
            <v>Total assets</v>
          </cell>
          <cell r="D18">
            <v>0</v>
          </cell>
          <cell r="F18">
            <v>0</v>
          </cell>
        </row>
        <row r="21">
          <cell r="B21" t="str">
            <v>LIABILITIES AND SHAREHOLDERS'  EQUITY</v>
          </cell>
        </row>
        <row r="23">
          <cell r="B23" t="str">
            <v>Current liabilities:</v>
          </cell>
        </row>
        <row r="25">
          <cell r="B25" t="str">
            <v>Trade payables</v>
          </cell>
          <cell r="H25">
            <v>133</v>
          </cell>
          <cell r="J25">
            <v>235</v>
          </cell>
        </row>
        <row r="26">
          <cell r="B26" t="str">
            <v>Related parties</v>
          </cell>
          <cell r="H26">
            <v>2896</v>
          </cell>
          <cell r="J26">
            <v>5196</v>
          </cell>
        </row>
        <row r="27">
          <cell r="B27" t="str">
            <v>Accounts payable and accrued liabilities</v>
          </cell>
          <cell r="H27">
            <v>587</v>
          </cell>
          <cell r="J27">
            <v>644</v>
          </cell>
        </row>
        <row r="29">
          <cell r="B29" t="str">
            <v>Total current liabilities</v>
          </cell>
          <cell r="D29">
            <v>0</v>
          </cell>
          <cell r="F29">
            <v>0</v>
          </cell>
          <cell r="H29">
            <v>3616</v>
          </cell>
          <cell r="J29">
            <v>6075</v>
          </cell>
        </row>
        <row r="31">
          <cell r="B31" t="str">
            <v>Severance pay</v>
          </cell>
          <cell r="D31">
            <v>145</v>
          </cell>
          <cell r="F31">
            <v>145</v>
          </cell>
          <cell r="H31">
            <v>145</v>
          </cell>
          <cell r="J31">
            <v>145</v>
          </cell>
        </row>
        <row r="33">
          <cell r="B33" t="str">
            <v>Shareholders' equity:</v>
          </cell>
        </row>
        <row r="35">
          <cell r="B35" t="str">
            <v xml:space="preserve">Share capital </v>
          </cell>
          <cell r="H35">
            <v>2000</v>
          </cell>
          <cell r="J35">
            <v>2000</v>
          </cell>
        </row>
        <row r="36">
          <cell r="B36" t="str">
            <v>Retained earnings</v>
          </cell>
          <cell r="H36">
            <v>-4967</v>
          </cell>
          <cell r="J36">
            <v>-6125</v>
          </cell>
        </row>
        <row r="38">
          <cell r="B38" t="str">
            <v>Total shareholders' equity</v>
          </cell>
          <cell r="D38">
            <v>0</v>
          </cell>
          <cell r="F38">
            <v>0</v>
          </cell>
          <cell r="H38">
            <v>-2967</v>
          </cell>
          <cell r="J38">
            <v>-4125</v>
          </cell>
        </row>
        <row r="40">
          <cell r="B40" t="str">
            <v>Total liabilities and ' equity</v>
          </cell>
          <cell r="D40">
            <v>145</v>
          </cell>
          <cell r="F40">
            <v>145</v>
          </cell>
          <cell r="H40">
            <v>794</v>
          </cell>
          <cell r="J40">
            <v>2095</v>
          </cell>
        </row>
        <row r="42">
          <cell r="B42" t="str">
            <v>check</v>
          </cell>
          <cell r="D42">
            <v>-145</v>
          </cell>
          <cell r="F42">
            <v>-145</v>
          </cell>
          <cell r="H42">
            <v>0</v>
          </cell>
          <cell r="J42">
            <v>0</v>
          </cell>
        </row>
        <row r="45">
          <cell r="D45" t="str">
            <v>March</v>
          </cell>
          <cell r="F45" t="str">
            <v xml:space="preserve">June </v>
          </cell>
          <cell r="H45" t="str">
            <v>September</v>
          </cell>
        </row>
        <row r="46">
          <cell r="D46">
            <v>1999</v>
          </cell>
          <cell r="F46">
            <v>1999</v>
          </cell>
          <cell r="H46">
            <v>1999</v>
          </cell>
        </row>
        <row r="47">
          <cell r="D47" t="str">
            <v>US$</v>
          </cell>
          <cell r="F47" t="str">
            <v>US$</v>
          </cell>
          <cell r="H47" t="str">
            <v>US$</v>
          </cell>
        </row>
        <row r="49">
          <cell r="B49" t="str">
            <v>Revenues</v>
          </cell>
          <cell r="D49">
            <v>94</v>
          </cell>
          <cell r="E49">
            <v>1</v>
          </cell>
          <cell r="F49">
            <v>270</v>
          </cell>
          <cell r="G49">
            <v>1</v>
          </cell>
          <cell r="H49">
            <v>201</v>
          </cell>
        </row>
        <row r="50">
          <cell r="B50" t="str">
            <v>Cost of revenues</v>
          </cell>
          <cell r="D50">
            <v>154</v>
          </cell>
          <cell r="E50">
            <v>1.6382978723404256</v>
          </cell>
          <cell r="F50">
            <v>276</v>
          </cell>
          <cell r="G50">
            <v>1.0222222222222221</v>
          </cell>
          <cell r="H50">
            <v>485</v>
          </cell>
        </row>
        <row r="52">
          <cell r="B52" t="str">
            <v>Gross profit</v>
          </cell>
          <cell r="D52">
            <v>-60</v>
          </cell>
          <cell r="E52">
            <v>-0.63829787234042556</v>
          </cell>
          <cell r="F52">
            <v>-6</v>
          </cell>
          <cell r="G52">
            <v>-2.2222222222222223E-2</v>
          </cell>
          <cell r="H52">
            <v>-284</v>
          </cell>
        </row>
        <row r="53">
          <cell r="B53" t="str">
            <v>Research and development</v>
          </cell>
        </row>
        <row r="54">
          <cell r="B54" t="str">
            <v>Less- participation of Government</v>
          </cell>
        </row>
        <row r="55">
          <cell r="B55" t="str">
            <v>Research and development, net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Selling exp.</v>
          </cell>
          <cell r="D56">
            <v>811</v>
          </cell>
          <cell r="E56">
            <v>8.6276595744680851</v>
          </cell>
          <cell r="F56">
            <v>780</v>
          </cell>
          <cell r="G56">
            <v>2.8888888888888888</v>
          </cell>
          <cell r="H56">
            <v>863</v>
          </cell>
        </row>
        <row r="57">
          <cell r="B57" t="str">
            <v>G&amp; A</v>
          </cell>
          <cell r="D57">
            <v>125</v>
          </cell>
          <cell r="F57">
            <v>130</v>
          </cell>
          <cell r="H57">
            <v>152</v>
          </cell>
        </row>
        <row r="58">
          <cell r="D58">
            <v>936</v>
          </cell>
          <cell r="E58">
            <v>9.9574468085106389</v>
          </cell>
          <cell r="F58">
            <v>910</v>
          </cell>
          <cell r="G58">
            <v>3.3703703703703702</v>
          </cell>
          <cell r="H58">
            <v>1015</v>
          </cell>
        </row>
        <row r="60">
          <cell r="B60" t="str">
            <v>Operating income</v>
          </cell>
          <cell r="D60">
            <v>-996</v>
          </cell>
          <cell r="E60">
            <v>-10.595744680851064</v>
          </cell>
          <cell r="F60">
            <v>-916</v>
          </cell>
          <cell r="G60">
            <v>-3.3925925925925924</v>
          </cell>
          <cell r="H60">
            <v>-1299</v>
          </cell>
        </row>
        <row r="61">
          <cell r="B61" t="str">
            <v>Interest expense</v>
          </cell>
          <cell r="D61">
            <v>6</v>
          </cell>
          <cell r="F61">
            <v>3</v>
          </cell>
          <cell r="H61">
            <v>3</v>
          </cell>
        </row>
        <row r="62">
          <cell r="B62" t="str">
            <v>Other income</v>
          </cell>
        </row>
        <row r="64">
          <cell r="B64" t="str">
            <v>Net income for the period</v>
          </cell>
          <cell r="D64">
            <v>-990</v>
          </cell>
          <cell r="E64">
            <v>-10.531914893617021</v>
          </cell>
          <cell r="F64">
            <v>-913</v>
          </cell>
          <cell r="G64">
            <v>-3.3814814814814813</v>
          </cell>
          <cell r="H64">
            <v>-1296</v>
          </cell>
        </row>
      </sheetData>
      <sheetData sheetId="1"/>
      <sheetData sheetId="2"/>
      <sheetData sheetId="3">
        <row r="1">
          <cell r="B1" t="str">
            <v>XACCT INC</v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/>
      <sheetData sheetId="10">
        <row r="1">
          <cell r="B1" t="str">
            <v>XACCT INC</v>
          </cell>
        </row>
      </sheetData>
      <sheetData sheetId="11"/>
      <sheetData sheetId="12"/>
      <sheetData sheetId="13">
        <row r="1">
          <cell r="B1" t="str">
            <v>XACCT INC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">
          <cell r="B1" t="str">
            <v>XACCT INC</v>
          </cell>
        </row>
      </sheetData>
      <sheetData sheetId="29"/>
      <sheetData sheetId="30"/>
      <sheetData sheetId="31">
        <row r="1">
          <cell r="B1" t="str">
            <v>XACCT INC</v>
          </cell>
        </row>
      </sheetData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2">
          <cell r="B2" t="str">
            <v>שם העובד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פקודות נוספות "/>
      <sheetName val="מזומנים"/>
      <sheetName val="הרכבה ש&quot;ח"/>
      <sheetName val="זכאים "/>
      <sheetName val="צדדים קשורים"/>
      <sheetName val="שינויים בהון "/>
      <sheetName val="הלוואות גישור"/>
      <sheetName val="דוח התאמה"/>
      <sheetName val="עודפות"/>
      <sheetName val="סעיף 32(9)"/>
      <sheetName val="מעגלים"/>
      <sheetName val="מו&quot;פ"/>
    </sheetNames>
    <sheetDataSet>
      <sheetData sheetId="0"/>
      <sheetData sheetId="1"/>
      <sheetData sheetId="2"/>
      <sheetData sheetId="3">
        <row r="8">
          <cell r="A8" t="str">
            <v>מזומנים ושווי מזומנים</v>
          </cell>
          <cell r="B8">
            <v>68876</v>
          </cell>
          <cell r="G8">
            <v>68876</v>
          </cell>
          <cell r="J8" t="str">
            <v>מזומנים</v>
          </cell>
        </row>
        <row r="9">
          <cell r="J9" t="str">
            <v>בעלי עניין וצדדים קשורים</v>
          </cell>
        </row>
        <row r="10">
          <cell r="A10" t="str">
            <v>פקדונות לז"א</v>
          </cell>
          <cell r="B10">
            <v>34260</v>
          </cell>
          <cell r="G10">
            <v>34260</v>
          </cell>
          <cell r="J10" t="str">
            <v>לקוחות</v>
          </cell>
        </row>
        <row r="11">
          <cell r="J11" t="str">
            <v>חייבים</v>
          </cell>
        </row>
        <row r="12">
          <cell r="A12" t="str">
            <v xml:space="preserve">לקוחות </v>
          </cell>
          <cell r="B12">
            <v>54894</v>
          </cell>
          <cell r="G12">
            <v>54894</v>
          </cell>
          <cell r="J12" t="str">
            <v>מוסדות</v>
          </cell>
        </row>
        <row r="13">
          <cell r="J13" t="str">
            <v>השקעות</v>
          </cell>
        </row>
        <row r="14">
          <cell r="A14" t="str">
            <v>חייבים ויתרות חובה</v>
          </cell>
          <cell r="B14">
            <v>12603</v>
          </cell>
          <cell r="G14">
            <v>12603</v>
          </cell>
          <cell r="J14" t="str">
            <v>רכוש קבוע</v>
          </cell>
        </row>
        <row r="15">
          <cell r="A15" t="str">
            <v xml:space="preserve">הוצאות מראש </v>
          </cell>
          <cell r="B15">
            <v>342</v>
          </cell>
          <cell r="C15">
            <v>5</v>
          </cell>
          <cell r="D15">
            <v>19895.400000000001</v>
          </cell>
          <cell r="G15">
            <v>20237.400000000001</v>
          </cell>
          <cell r="J15" t="str">
            <v>פקדונות ז"א</v>
          </cell>
        </row>
        <row r="16">
          <cell r="A16" t="str">
            <v>הכנסות לקבל</v>
          </cell>
          <cell r="G16">
            <v>0</v>
          </cell>
          <cell r="J16" t="str">
            <v>אשראי ז"ק</v>
          </cell>
        </row>
        <row r="17">
          <cell r="J17" t="str">
            <v>צדדים</v>
          </cell>
        </row>
        <row r="18">
          <cell r="A18" t="str">
            <v xml:space="preserve">בעלי ענין- טל בר נח </v>
          </cell>
          <cell r="G18">
            <v>0</v>
          </cell>
          <cell r="J18" t="str">
            <v>הלוואת גישור</v>
          </cell>
        </row>
        <row r="19">
          <cell r="A19" t="str">
            <v>חו"ז יפן</v>
          </cell>
          <cell r="B19">
            <v>473695</v>
          </cell>
          <cell r="E19">
            <v>6</v>
          </cell>
          <cell r="F19">
            <v>473695</v>
          </cell>
          <cell r="G19">
            <v>0</v>
          </cell>
          <cell r="J19" t="str">
            <v>ספקים</v>
          </cell>
        </row>
        <row r="20">
          <cell r="A20" t="str">
            <v>צדדים קשורים - אחרים</v>
          </cell>
          <cell r="B20">
            <v>10797</v>
          </cell>
          <cell r="G20">
            <v>10797</v>
          </cell>
          <cell r="J20" t="str">
            <v>עובדים</v>
          </cell>
        </row>
        <row r="21">
          <cell r="J21" t="str">
            <v>זכאים</v>
          </cell>
        </row>
        <row r="22">
          <cell r="A22" t="str">
            <v>מוסדות - מע"מ</v>
          </cell>
          <cell r="B22">
            <v>1554</v>
          </cell>
          <cell r="G22">
            <v>1554</v>
          </cell>
          <cell r="J22" t="str">
            <v>פיצויים</v>
          </cell>
        </row>
        <row r="23">
          <cell r="J23" t="str">
            <v>הון</v>
          </cell>
        </row>
        <row r="24">
          <cell r="A24" t="str">
            <v>מוסדות- מס הכנסה מקדמות</v>
          </cell>
          <cell r="G24">
            <v>0</v>
          </cell>
        </row>
        <row r="25">
          <cell r="A25" t="str">
            <v>מוסדות - מס הכנסה</v>
          </cell>
          <cell r="B25">
            <v>35357</v>
          </cell>
          <cell r="G25">
            <v>35357</v>
          </cell>
        </row>
        <row r="27">
          <cell r="A27" t="str">
            <v>מס נדחה</v>
          </cell>
          <cell r="G27">
            <v>0</v>
          </cell>
        </row>
        <row r="29">
          <cell r="A29" t="str">
            <v>השקעה ביפן</v>
          </cell>
          <cell r="B29">
            <v>336771</v>
          </cell>
          <cell r="E29">
            <v>6</v>
          </cell>
          <cell r="F29">
            <v>336771</v>
          </cell>
          <cell r="G29">
            <v>0</v>
          </cell>
        </row>
        <row r="31">
          <cell r="A31" t="str">
            <v>אשראי ז"ק בנקים</v>
          </cell>
          <cell r="G31">
            <v>0</v>
          </cell>
        </row>
        <row r="33">
          <cell r="A33" t="str">
            <v>הלוואת גישור</v>
          </cell>
          <cell r="B33">
            <v>-662400</v>
          </cell>
          <cell r="C33">
            <v>7</v>
          </cell>
          <cell r="D33">
            <v>1001325</v>
          </cell>
          <cell r="E33">
            <v>3</v>
          </cell>
          <cell r="F33">
            <v>338925</v>
          </cell>
          <cell r="G33">
            <v>0</v>
          </cell>
        </row>
        <row r="35">
          <cell r="A35" t="str">
            <v>רכוש קבוע-עלות</v>
          </cell>
          <cell r="B35">
            <v>413679</v>
          </cell>
          <cell r="G35">
            <v>413679</v>
          </cell>
        </row>
        <row r="36">
          <cell r="A36" t="str">
            <v>רכוש קבוע-פחת נצבר</v>
          </cell>
          <cell r="B36">
            <v>-157967</v>
          </cell>
          <cell r="E36">
            <v>1</v>
          </cell>
          <cell r="F36">
            <v>115027</v>
          </cell>
          <cell r="G36">
            <v>-272994</v>
          </cell>
        </row>
        <row r="38">
          <cell r="A38" t="str">
            <v>שטל"פ</v>
          </cell>
          <cell r="G38">
            <v>0</v>
          </cell>
        </row>
        <row r="39">
          <cell r="A39" t="str">
            <v>יצחק בר נח (קרמיק שילד)</v>
          </cell>
          <cell r="G39">
            <v>0</v>
          </cell>
        </row>
        <row r="40">
          <cell r="A40" t="str">
            <v>ספקים</v>
          </cell>
          <cell r="B40">
            <v>-20501</v>
          </cell>
          <cell r="G40">
            <v>-20501</v>
          </cell>
        </row>
        <row r="42">
          <cell r="A42" t="str">
            <v>מוסדות בגין שכר</v>
          </cell>
          <cell r="B42">
            <v>-24589</v>
          </cell>
          <cell r="G42">
            <v>-24589</v>
          </cell>
        </row>
        <row r="43">
          <cell r="A43" t="str">
            <v>חופשה והבראה</v>
          </cell>
          <cell r="B43">
            <v>-58751</v>
          </cell>
          <cell r="G43">
            <v>-58751</v>
          </cell>
        </row>
        <row r="44">
          <cell r="A44" t="str">
            <v>עובדים</v>
          </cell>
          <cell r="B44">
            <v>-8328</v>
          </cell>
          <cell r="G44">
            <v>-8328</v>
          </cell>
        </row>
        <row r="46">
          <cell r="A46" t="str">
            <v>הוצאות לשלם</v>
          </cell>
          <cell r="B46">
            <v>-4374</v>
          </cell>
          <cell r="G46">
            <v>-4374</v>
          </cell>
        </row>
        <row r="47">
          <cell r="A47" t="str">
            <v>זכאים אחרים</v>
          </cell>
          <cell r="B47">
            <v>-5492</v>
          </cell>
          <cell r="G47">
            <v>-5492</v>
          </cell>
        </row>
        <row r="49">
          <cell r="A49" t="str">
            <v>עתודה לפיצויים, נטו</v>
          </cell>
          <cell r="B49">
            <v>-31962</v>
          </cell>
          <cell r="C49">
            <v>2</v>
          </cell>
          <cell r="D49">
            <v>1837</v>
          </cell>
          <cell r="G49">
            <v>-30125</v>
          </cell>
        </row>
        <row r="51">
          <cell r="A51" t="str">
            <v>הון מניות+ פרמיה</v>
          </cell>
          <cell r="B51">
            <v>-11073579</v>
          </cell>
          <cell r="C51">
            <v>3</v>
          </cell>
          <cell r="D51">
            <v>338925</v>
          </cell>
          <cell r="E51" t="str">
            <v>5,7</v>
          </cell>
          <cell r="F51">
            <v>1230595.8</v>
          </cell>
          <cell r="G51">
            <v>-11965249.800000001</v>
          </cell>
        </row>
        <row r="52">
          <cell r="G52">
            <v>0</v>
          </cell>
        </row>
        <row r="53">
          <cell r="A53" t="str">
            <v>י.פ. עודפים</v>
          </cell>
          <cell r="B53">
            <v>9761779</v>
          </cell>
          <cell r="G53">
            <v>9761779</v>
          </cell>
        </row>
        <row r="55">
          <cell r="A55" t="str">
            <v>הפסד  לתקופה</v>
          </cell>
          <cell r="B55">
            <v>843336</v>
          </cell>
          <cell r="G55">
            <v>1976367.4</v>
          </cell>
        </row>
        <row r="56">
          <cell r="B56">
            <v>0</v>
          </cell>
          <cell r="D56">
            <v>2631222.7999999998</v>
          </cell>
          <cell r="F56">
            <v>2631222.7999999998</v>
          </cell>
          <cell r="G56">
            <v>0</v>
          </cell>
        </row>
        <row r="59">
          <cell r="A59" t="str">
            <v>הכנסות</v>
          </cell>
          <cell r="B59">
            <v>-326152</v>
          </cell>
          <cell r="C59">
            <v>4</v>
          </cell>
          <cell r="D59">
            <v>134372</v>
          </cell>
          <cell r="G59">
            <v>-191780</v>
          </cell>
        </row>
        <row r="61">
          <cell r="A61" t="str">
            <v>הוצאות מו"פ</v>
          </cell>
          <cell r="B61">
            <v>683843</v>
          </cell>
          <cell r="E61">
            <v>4</v>
          </cell>
          <cell r="F61">
            <v>134372</v>
          </cell>
          <cell r="G61">
            <v>549471</v>
          </cell>
        </row>
        <row r="63">
          <cell r="A63" t="str">
            <v>הוצאות שיווק</v>
          </cell>
          <cell r="B63">
            <v>46330</v>
          </cell>
          <cell r="G63">
            <v>46330</v>
          </cell>
        </row>
        <row r="65">
          <cell r="A65" t="str">
            <v>הוצאות הנהלה וכלליות</v>
          </cell>
          <cell r="B65">
            <v>488343</v>
          </cell>
          <cell r="C65">
            <v>5</v>
          </cell>
          <cell r="D65">
            <v>209375.4</v>
          </cell>
          <cell r="E65">
            <v>2</v>
          </cell>
          <cell r="F65">
            <v>1837</v>
          </cell>
          <cell r="G65">
            <v>695881.4</v>
          </cell>
        </row>
        <row r="68">
          <cell r="A68" t="str">
            <v>הוצאות פחת</v>
          </cell>
          <cell r="C68">
            <v>1</v>
          </cell>
          <cell r="D68">
            <v>115027</v>
          </cell>
          <cell r="G68">
            <v>115027</v>
          </cell>
        </row>
        <row r="70">
          <cell r="A70" t="str">
            <v>הפסד ממחיקת הלוואות</v>
          </cell>
          <cell r="G70">
            <v>0</v>
          </cell>
        </row>
        <row r="72">
          <cell r="A72" t="str">
            <v>הוצאות (הכנסות) מימון</v>
          </cell>
          <cell r="B72">
            <v>-49028</v>
          </cell>
          <cell r="G72">
            <v>-49028</v>
          </cell>
        </row>
        <row r="74">
          <cell r="A74" t="str">
            <v>הוצאות אחרות</v>
          </cell>
          <cell r="C74">
            <v>6</v>
          </cell>
          <cell r="D74">
            <v>810466</v>
          </cell>
          <cell r="G74">
            <v>810466</v>
          </cell>
        </row>
        <row r="76">
          <cell r="A76" t="str">
            <v>הפסד השנה לפני מיסים על הכנסה</v>
          </cell>
          <cell r="G76">
            <v>1976367.4</v>
          </cell>
        </row>
        <row r="78">
          <cell r="A78" t="str">
            <v>מיסים על הכנסה - הוצאות מס</v>
          </cell>
          <cell r="G78">
            <v>0</v>
          </cell>
        </row>
        <row r="80">
          <cell r="A80" t="str">
            <v>הפסד (רווח) נקי השנה</v>
          </cell>
          <cell r="B80">
            <v>843336</v>
          </cell>
          <cell r="G80">
            <v>1976367.4</v>
          </cell>
        </row>
        <row r="83">
          <cell r="A83" t="str">
            <v>בדיקה</v>
          </cell>
          <cell r="B83">
            <v>0</v>
          </cell>
          <cell r="D83">
            <v>1269240.3999999999</v>
          </cell>
          <cell r="F83">
            <v>136209</v>
          </cell>
          <cell r="G83">
            <v>0</v>
          </cell>
        </row>
        <row r="85">
          <cell r="E85">
            <v>1133031.3999999999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ערות"/>
      <sheetName val="נתונים לשינוי"/>
      <sheetName val="מאזן בוחן LTD"/>
      <sheetName val="כרטיסים שלא שולבו"/>
      <sheetName val="חישובים"/>
      <sheetName val="רכוש קבוע Ltd"/>
      <sheetName val="אלוקציה Q2 ו- Q3"/>
      <sheetName val="סקירת כרטיסים"/>
      <sheetName val="דוחות LTD"/>
      <sheetName val="חבויות עובדים"/>
      <sheetName val="credit Ltd"/>
      <sheetName val="Lost debt inc"/>
      <sheetName val="lost debt ltd"/>
      <sheetName val="הכנסות לקוחות וע&quot;מ"/>
      <sheetName val="ARG"/>
      <sheetName val="מאזן בוחן inc"/>
      <sheetName val="לקוחות INC"/>
      <sheetName val="Adv inc"/>
      <sheetName val="option_total 2005"/>
      <sheetName val="TB_INC_MAR_06"/>
      <sheetName val="סקירת כרטיסים Inc"/>
      <sheetName val="ר&quot;ק inc"/>
      <sheetName val="GMBH"/>
      <sheetName val="TP "/>
      <sheetName val="איחוד INT"/>
      <sheetName val="איחוד"/>
      <sheetName val="אנליטי"/>
      <sheetName val="FINAL REPORTS"/>
      <sheetName val="EBITDA"/>
      <sheetName val="תזרים חברה"/>
      <sheetName val="COGS "/>
      <sheetName val="BVA"/>
      <sheetName val="option_total 2006"/>
      <sheetName val="Sheet1"/>
      <sheetName val="הרכבה ש&quot;ח"/>
    </sheetNames>
    <sheetDataSet>
      <sheetData sheetId="0"/>
      <sheetData sheetId="1" refreshError="1">
        <row r="5">
          <cell r="G5">
            <v>4.2249999999999996</v>
          </cell>
        </row>
        <row r="7">
          <cell r="G7">
            <v>5.5643000000000002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ווח הון קווי זהב"/>
      <sheetName val="ער&quot;ז מס"/>
      <sheetName val="MPS"/>
      <sheetName val="טורים דולרי"/>
      <sheetName val="טורים מתואם"/>
      <sheetName val="טורים נומינלי"/>
      <sheetName val="תזרים דולרי מאוחד"/>
      <sheetName val="תזרים חברה"/>
      <sheetName val="תזרים מאוחד"/>
      <sheetName val="פרוטים"/>
      <sheetName val="פק' נוספות"/>
      <sheetName val="תנועה בהשקעות"/>
      <sheetName val="דרמ&quot;ש-איחוד  "/>
      <sheetName val="ער&quot;ז+דרה&quot;ש"/>
      <sheetName val="מס 99"/>
      <sheetName val="מקדמות למס"/>
      <sheetName val="מס-מד&quot;פ+טלפאואר"/>
      <sheetName val="שמ&quot;מ מ&quot;ה"/>
      <sheetName val="מגזר 98"/>
      <sheetName val="טורים 98"/>
      <sheetName val="מרכז ער&quot;ז"/>
      <sheetName val="netcom "/>
      <sheetName val="מדריכי פנאי"/>
      <sheetName val="ערוצי זהב 1099"/>
      <sheetName val="מיסים נדחים"/>
      <sheetName val="מיסים נדחים דולרי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ווח הון קווי זהב"/>
      <sheetName val="ער&quot;ז מס"/>
      <sheetName val="MPS"/>
      <sheetName val="טורים דולרי"/>
      <sheetName val="טורים מתואם"/>
      <sheetName val="טורים נומינלי"/>
      <sheetName val="תזרים דולרי מאוחד"/>
      <sheetName val="תזרים חברה"/>
      <sheetName val="תזרים מאוחד"/>
      <sheetName val="פרוטים"/>
      <sheetName val="פק' נוספות"/>
      <sheetName val="תנועה בהשקעות"/>
      <sheetName val="דרמ&quot;ש-איחוד  "/>
      <sheetName val="ער&quot;ז+דרה&quot;ש"/>
      <sheetName val="מס 99"/>
      <sheetName val="מקדמות למס"/>
      <sheetName val="מס-מד&quot;פ+טלפאואר"/>
      <sheetName val="שמ&quot;מ מ&quot;ה"/>
      <sheetName val="מגזר 98"/>
      <sheetName val="טורים 98"/>
      <sheetName val="מרכז ער&quot;ז"/>
      <sheetName val="netcom "/>
      <sheetName val="מדריכי פנאי"/>
      <sheetName val="ערוצי זהב 1099"/>
      <sheetName val="מיסים נדחים"/>
      <sheetName val="מיסים נדחים דולרי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עודות"/>
      <sheetName val="ט1392ד"/>
      <sheetName val="נ'2"/>
      <sheetName val="נ'2 מחוץ לבורסה"/>
      <sheetName val="נ'2א"/>
      <sheetName val="נ'4"/>
      <sheetName val="נ'6"/>
      <sheetName val="נ'7"/>
      <sheetName val="ר'7(1)"/>
      <sheetName val="ר'7(2)"/>
      <sheetName val="ר'7(3)"/>
      <sheetName val="ר'7(4)"/>
      <sheetName val="חובות מסופקים"/>
      <sheetName val="רווח הון"/>
      <sheetName val="index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B1">
            <v>106.6</v>
          </cell>
        </row>
        <row r="13">
          <cell r="B13">
            <v>108.1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עודות"/>
      <sheetName val="ט1392ד"/>
      <sheetName val="נ'2"/>
      <sheetName val="נ'2 מחוץ לבורסה"/>
      <sheetName val="נ'2א"/>
      <sheetName val="נ'4"/>
      <sheetName val="נ'6"/>
      <sheetName val="נ'7"/>
      <sheetName val="ר'7(1)"/>
      <sheetName val="ר'7(2)"/>
      <sheetName val="ר'7(3)"/>
      <sheetName val="ר'7(4)"/>
      <sheetName val="חובות מסופקים"/>
      <sheetName val="רווח הון"/>
      <sheetName val="index"/>
      <sheetName val="דוח מתכונת הגשה "/>
      <sheetName val="נ'2_מחוץ_לבורסה"/>
      <sheetName val="חובות_מסופקים"/>
      <sheetName val="רווח_הון"/>
      <sheetName val="שמ&quot;מ מ&quot;ה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B1">
            <v>106.6</v>
          </cell>
        </row>
        <row r="13">
          <cell r="B13">
            <v>108.1</v>
          </cell>
        </row>
      </sheetData>
      <sheetData sheetId="15" refreshError="1"/>
      <sheetData sheetId="16"/>
      <sheetData sheetId="17"/>
      <sheetData sheetId="18"/>
      <sheetData sheetId="1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עודות"/>
      <sheetName val="ט1392ד"/>
      <sheetName val="נ'2"/>
      <sheetName val="נ'2 מחוץ לבורסה"/>
      <sheetName val="נ'2א"/>
      <sheetName val="נ'4"/>
      <sheetName val="נ'6"/>
      <sheetName val="נ'7"/>
      <sheetName val="ר'7(1)"/>
      <sheetName val="ר'7(2)"/>
      <sheetName val="ר'7(3)"/>
      <sheetName val="ר'7(4)"/>
      <sheetName val="חובות מסופקים"/>
      <sheetName val="רווח הון"/>
      <sheetName val="index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B1">
            <v>106.6</v>
          </cell>
        </row>
        <row r="13">
          <cell r="B13">
            <v>108.1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נתונים לשינוי"/>
      <sheetName val="Sheet1"/>
      <sheetName val="מאזן בוחן LTD"/>
      <sheetName val="כרטיסים שלא שולבו"/>
      <sheetName val="דוחות LTD"/>
      <sheetName val="סקירת כרטיסים"/>
      <sheetName val="חישובים"/>
      <sheetName val="רכוש קבוע Ltd"/>
      <sheetName val="חבויות עובדים"/>
      <sheetName val="collection status report inc"/>
      <sheetName val="collection status report ltd"/>
      <sheetName val="הכנסות לקוחות וע&quot;מ"/>
      <sheetName val="לקוחות INC"/>
      <sheetName val="option_total 2004"/>
      <sheetName val="תזרים חברה"/>
      <sheetName val="TB_INC_DEC_04"/>
      <sheetName val="מאזן בוחן inc"/>
      <sheetName val="סקירת כרטיסים Inc"/>
      <sheetName val="ר&quot;ק inc"/>
      <sheetName val="איחוד"/>
      <sheetName val="FINAL REPORTS"/>
      <sheetName val="מודול מעבר והדפסות"/>
      <sheetName val="מודול1"/>
      <sheetName val="מאזן בוחן"/>
      <sheetName val="רווה&quot;ס"/>
      <sheetName val="דוחות"/>
      <sheetName val="טבלאות אקוויט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ודול מעבר והדפסות"/>
      <sheetName val="legal fees and expenses"/>
      <sheetName val="מאזן בוחן"/>
      <sheetName val="עודפות"/>
      <sheetName val="ני&quot;ע"/>
      <sheetName val="סקירת מאזן"/>
      <sheetName val="סקירת רווה&quot;ס"/>
      <sheetName val="דוחות"/>
      <sheetName val="רכוש קבוע"/>
      <sheetName val="העמסת הוצאות"/>
      <sheetName val="vacation"/>
      <sheetName val="הון מניות"/>
      <sheetName val="כרטיסים שלא שולבו"/>
      <sheetName val="נתונים לשינוי"/>
      <sheetName val="mti"/>
      <sheetName val="consolidated"/>
      <sheetName val="B.S+P&amp;L"/>
      <sheetName val="C.F."/>
      <sheetName val="דוח מתכונת הגשה "/>
      <sheetName val="עודפות רימון"/>
      <sheetName val="תזרים חברה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ודול מעבר והדפסות"/>
      <sheetName val="legal fees and expenses"/>
      <sheetName val="מאזן בוחן"/>
      <sheetName val="עודפות"/>
      <sheetName val="ני&quot;ע"/>
      <sheetName val="סקירת מאזן"/>
      <sheetName val="סקירת רווה&quot;ס"/>
      <sheetName val="דוחות"/>
      <sheetName val="רכוש קבוע"/>
      <sheetName val="העמסת הוצאות"/>
      <sheetName val="vacation"/>
      <sheetName val="הון מניות"/>
      <sheetName val="כרטיסים שלא שולבו"/>
      <sheetName val="נתונים לשינוי"/>
      <sheetName val="mti"/>
      <sheetName val="consolidated"/>
      <sheetName val="B.S+P&amp;L"/>
      <sheetName val="C.F."/>
      <sheetName val="דוח מתכונת הגשה "/>
      <sheetName val="עודפות רימון"/>
      <sheetName val="תזרים חברה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הרכבה"/>
      <sheetName val="פקודות נוספות"/>
      <sheetName val="דוחות"/>
      <sheetName val="תזרים מזומנים"/>
      <sheetName val="אנליטי"/>
      <sheetName val="אקוויטי"/>
      <sheetName val="אופציות"/>
      <sheetName val="הון"/>
      <sheetName val="מס הכנסה"/>
      <sheetName val="תקבולים ע&quot;ח הון"/>
      <sheetName val="מדען"/>
      <sheetName val="מאזן בוחן"/>
      <sheetName val="רווה&quot;ס"/>
      <sheetName val="דוחות LTD"/>
      <sheetName val="מאזן בוחן LTD"/>
      <sheetName val="נתונים לשינוי"/>
      <sheetName val="הרכבה תדירגן"/>
      <sheetName val="רווח והפסד"/>
      <sheetName val="השקעות"/>
      <sheetName val="הנה&quot;כ"/>
      <sheetName val="מכירה - 1996"/>
      <sheetName val="פקודות_נוספות"/>
      <sheetName val="תזרים_מזומנים"/>
      <sheetName val="מס_הכנסה"/>
      <sheetName val="תקבולים_ע&quot;ח_הון"/>
      <sheetName val="מאזן_בוחן"/>
      <sheetName val="דוחות_LTD"/>
      <sheetName val="מאזן_בוחן_LTD"/>
      <sheetName val="נתונים_לשינוי"/>
      <sheetName val="פקודות_נוספות4"/>
      <sheetName val="תזרים_מזומנים4"/>
      <sheetName val="מס_הכנסה4"/>
      <sheetName val="תקבולים_ע&quot;ח_הון4"/>
      <sheetName val="מאזן_בוחן4"/>
      <sheetName val="דוחות_LTD2"/>
      <sheetName val="מאזן_בוחן_LTD2"/>
      <sheetName val="נתונים_לשינוי2"/>
      <sheetName val="פקודות_נוספות1"/>
      <sheetName val="תזרים_מזומנים1"/>
      <sheetName val="מס_הכנסה1"/>
      <sheetName val="תקבולים_ע&quot;ח_הון1"/>
      <sheetName val="מאזן_בוחן1"/>
      <sheetName val="פקודות_נוספות2"/>
      <sheetName val="תזרים_מזומנים2"/>
      <sheetName val="מס_הכנסה2"/>
      <sheetName val="תקבולים_ע&quot;ח_הון2"/>
      <sheetName val="מאזן_בוחן2"/>
      <sheetName val="פקודות_נוספות3"/>
      <sheetName val="תזרים_מזומנים3"/>
      <sheetName val="מס_הכנסה3"/>
      <sheetName val="תקבולים_ע&quot;ח_הון3"/>
      <sheetName val="מאזן_בוחן3"/>
      <sheetName val="דוחות_LTD1"/>
      <sheetName val="מאזן_בוחן_LTD1"/>
      <sheetName val="נתונים_לשינוי1"/>
      <sheetName val="פקודות_נוספות6"/>
      <sheetName val="תזרים_מזומנים6"/>
      <sheetName val="מס_הכנסה6"/>
      <sheetName val="תקבולים_ע&quot;ח_הון6"/>
      <sheetName val="מאזן_בוחן6"/>
      <sheetName val="פקודות_נוספות5"/>
      <sheetName val="תזרים_מזומנים5"/>
      <sheetName val="מס_הכנסה5"/>
      <sheetName val="תקבולים_ע&quot;ח_הון5"/>
      <sheetName val="מאזן_בוחן5"/>
      <sheetName val="דוחות_LTD3"/>
      <sheetName val="מאזן_בוחן_LTD3"/>
      <sheetName val="נתונים_לשינוי3"/>
      <sheetName val="פקודות_נוספות7"/>
      <sheetName val="תזרים_מזומנים7"/>
      <sheetName val="מס_הכנסה7"/>
      <sheetName val="תקבולים_ע&quot;ח_הון7"/>
      <sheetName val="מאזן_בוחן7"/>
      <sheetName val="דוחות_LTD4"/>
      <sheetName val="מאזן_בוחן_LTD4"/>
      <sheetName val="נתונים_לשינוי4"/>
      <sheetName val="פקודות_נוספות8"/>
      <sheetName val="תזרים_מזומנים8"/>
      <sheetName val="מס_הכנסה8"/>
      <sheetName val="תקבולים_ע&quot;ח_הון8"/>
      <sheetName val="מאזן_בוחן8"/>
      <sheetName val="דוחות_LTD5"/>
      <sheetName val="מאזן_בוחן_LTD5"/>
      <sheetName val="נתונים_לשינוי5"/>
      <sheetName val="Dec-Consolidatio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מדען ראשי "/>
      <sheetName val="LTD- הרכבה"/>
      <sheetName val="הרכבה - INC"/>
      <sheetName val="אופציות"/>
      <sheetName val="אקוויטי"/>
      <sheetName val="תזרים"/>
      <sheetName val="מס הכנסה"/>
      <sheetName val="דוחות"/>
      <sheetName val="pldt:תזרים"/>
    </sheetNames>
    <sheetDataSet>
      <sheetData sheetId="0" refreshError="1"/>
      <sheetData sheetId="1" refreshError="1">
        <row r="4">
          <cell r="B4" t="str">
            <v>סה"כ ביצוע</v>
          </cell>
          <cell r="C4" t="str">
            <v>מענקים לקבל</v>
          </cell>
          <cell r="D4" t="str">
            <v>מענקים שנתקבלו</v>
          </cell>
          <cell r="E4" t="str">
            <v>הכנסות לקבל</v>
          </cell>
          <cell r="F4" t="str">
            <v>תמלוגים ששולמו</v>
          </cell>
        </row>
        <row r="5">
          <cell r="B5" t="str">
            <v>ש"ח</v>
          </cell>
        </row>
        <row r="6">
          <cell r="B6">
            <v>1009790</v>
          </cell>
          <cell r="C6">
            <v>499846.05</v>
          </cell>
          <cell r="D6">
            <v>0</v>
          </cell>
          <cell r="E6">
            <v>499846.05</v>
          </cell>
        </row>
        <row r="7">
          <cell r="E7">
            <v>0</v>
          </cell>
        </row>
        <row r="8">
          <cell r="C8">
            <v>499846.05</v>
          </cell>
          <cell r="D8">
            <v>0</v>
          </cell>
          <cell r="E8">
            <v>499846.05</v>
          </cell>
          <cell r="F8">
            <v>0</v>
          </cell>
        </row>
        <row r="10">
          <cell r="D10" t="str">
            <v>מקדם שמרנות</v>
          </cell>
          <cell r="E10">
            <v>0.8</v>
          </cell>
        </row>
        <row r="12">
          <cell r="D12" t="str">
            <v>פ.נ.</v>
          </cell>
          <cell r="E12">
            <v>399876.84</v>
          </cell>
        </row>
        <row r="14">
          <cell r="D14" t="str">
            <v>פ.נ. $</v>
          </cell>
          <cell r="E14">
            <v>98105.210991167827</v>
          </cell>
        </row>
      </sheetData>
      <sheetData sheetId="2" refreshError="1">
        <row r="4">
          <cell r="B4" t="str">
            <v>הרכבת מאזן לתאריך 30/06/99</v>
          </cell>
          <cell r="C4">
            <v>7</v>
          </cell>
        </row>
        <row r="6">
          <cell r="D6" t="str">
            <v>פקודות נוספות</v>
          </cell>
        </row>
        <row r="8">
          <cell r="B8" t="str">
            <v>פירוט</v>
          </cell>
          <cell r="C8" t="str">
            <v>יתרה לפי המ.ב</v>
          </cell>
          <cell r="D8" t="str">
            <v>מס"ד</v>
          </cell>
          <cell r="E8" t="str">
            <v>חובה</v>
          </cell>
          <cell r="F8" t="str">
            <v>מס"ד</v>
          </cell>
        </row>
        <row r="11">
          <cell r="B11" t="str">
            <v>מזומנים ושווי מזומנים</v>
          </cell>
          <cell r="C11">
            <v>11879919</v>
          </cell>
        </row>
        <row r="13">
          <cell r="B13" t="str">
            <v>פקדונות לזמן קצר</v>
          </cell>
        </row>
        <row r="15">
          <cell r="B15" t="str">
            <v xml:space="preserve">ניירות ערך </v>
          </cell>
        </row>
        <row r="17">
          <cell r="B17" t="str">
            <v>לקוחות - חובות פתוחים</v>
          </cell>
          <cell r="C17">
            <v>120739</v>
          </cell>
        </row>
        <row r="20">
          <cell r="B20" t="str">
            <v>בניכוי - הפרשה לחומ"ס</v>
          </cell>
        </row>
        <row r="22">
          <cell r="B22" t="str">
            <v>לקוחות, נטו</v>
          </cell>
          <cell r="C22">
            <v>120739</v>
          </cell>
        </row>
        <row r="24">
          <cell r="B24" t="str">
            <v>ממשלת ישראל</v>
          </cell>
          <cell r="C24">
            <v>44357</v>
          </cell>
          <cell r="D24">
            <v>1</v>
          </cell>
        </row>
        <row r="26">
          <cell r="B26" t="str">
            <v>מוסדות</v>
          </cell>
          <cell r="C26">
            <v>328060</v>
          </cell>
        </row>
        <row r="28">
          <cell r="B28" t="str">
            <v>הכנסות לקבל</v>
          </cell>
        </row>
        <row r="30">
          <cell r="B30" t="str">
            <v>הלוואות לעובדים</v>
          </cell>
          <cell r="C30">
            <v>40037</v>
          </cell>
        </row>
        <row r="32">
          <cell r="B32" t="str">
            <v>הוצאות מראש</v>
          </cell>
          <cell r="C32">
            <v>44753</v>
          </cell>
          <cell r="D32">
            <v>7</v>
          </cell>
          <cell r="E32">
            <v>138247</v>
          </cell>
        </row>
        <row r="34">
          <cell r="B34" t="str">
            <v>חו"ז בינחברתי</v>
          </cell>
          <cell r="C34">
            <v>16500</v>
          </cell>
        </row>
        <row r="36">
          <cell r="B36" t="str">
            <v>מקדמות לספקים</v>
          </cell>
          <cell r="C36">
            <v>43053</v>
          </cell>
        </row>
        <row r="38">
          <cell r="B38" t="str">
            <v>מיסים נדחים</v>
          </cell>
        </row>
        <row r="40">
          <cell r="B40" t="str">
            <v>שונות</v>
          </cell>
          <cell r="C40">
            <v>7082</v>
          </cell>
        </row>
        <row r="42">
          <cell r="B42" t="str">
            <v>חייבים אחרים - סה"כ</v>
          </cell>
          <cell r="C42">
            <v>523842</v>
          </cell>
        </row>
        <row r="44">
          <cell r="B44" t="str">
            <v>סה"כ רכוש שוטף</v>
          </cell>
          <cell r="C44">
            <v>12524500</v>
          </cell>
        </row>
        <row r="46">
          <cell r="B46" t="str">
            <v>פקדונות לז"א</v>
          </cell>
        </row>
        <row r="48">
          <cell r="B48" t="str">
            <v>הלוואה לצד קשור</v>
          </cell>
        </row>
        <row r="50">
          <cell r="B50" t="str">
            <v>סה"כ השקעות וחייבים לז"א</v>
          </cell>
          <cell r="C50">
            <v>0</v>
          </cell>
        </row>
        <row r="52">
          <cell r="B52" t="str">
            <v>השקעה ב- INC</v>
          </cell>
          <cell r="C52">
            <v>5018270</v>
          </cell>
          <cell r="F52">
            <v>2</v>
          </cell>
        </row>
        <row r="54">
          <cell r="B54" t="str">
            <v>סה"כ השקעות</v>
          </cell>
          <cell r="C54">
            <v>5018270</v>
          </cell>
        </row>
        <row r="57">
          <cell r="B57" t="str">
            <v>שיפורים במושכר</v>
          </cell>
        </row>
        <row r="59">
          <cell r="B59" t="str">
            <v>כלי רכב</v>
          </cell>
        </row>
        <row r="61">
          <cell r="B61" t="str">
            <v>מחשבים וציוד</v>
          </cell>
        </row>
      </sheetData>
      <sheetData sheetId="3" refreshError="1">
        <row r="2">
          <cell r="B2" t="str">
            <v>M-SYS</v>
          </cell>
        </row>
        <row r="4">
          <cell r="B4" t="str">
            <v>הרכבת מאזן לתאריך 31/03/99</v>
          </cell>
        </row>
        <row r="6">
          <cell r="D6" t="str">
            <v>פקודות נוספות</v>
          </cell>
        </row>
        <row r="7">
          <cell r="B7" t="str">
            <v>פירוט</v>
          </cell>
          <cell r="C7" t="str">
            <v>יתרה לפי המ.ב</v>
          </cell>
          <cell r="D7" t="str">
            <v>מס"ד</v>
          </cell>
          <cell r="E7" t="str">
            <v>חובה</v>
          </cell>
          <cell r="F7" t="str">
            <v>מס"ד</v>
          </cell>
        </row>
        <row r="11">
          <cell r="B11" t="str">
            <v>מזומנים ושווי מזומנים</v>
          </cell>
          <cell r="C11">
            <v>98239</v>
          </cell>
        </row>
        <row r="13">
          <cell r="B13" t="str">
            <v>פקדונות לזמן קצר</v>
          </cell>
        </row>
        <row r="15">
          <cell r="B15" t="str">
            <v xml:space="preserve">ניירות ערך </v>
          </cell>
        </row>
        <row r="17">
          <cell r="B17" t="str">
            <v>לקוחות - חובות פתוחים</v>
          </cell>
        </row>
        <row r="19">
          <cell r="B19" t="str">
            <v>בניכוי - הפרשה לחומ"ס</v>
          </cell>
        </row>
        <row r="21">
          <cell r="B21" t="str">
            <v>לקוחות, נטו</v>
          </cell>
          <cell r="C21">
            <v>0</v>
          </cell>
        </row>
        <row r="23">
          <cell r="B23" t="str">
            <v>מוסדות</v>
          </cell>
        </row>
        <row r="25">
          <cell r="B25" t="str">
            <v>הכנסות לקבל</v>
          </cell>
        </row>
        <row r="27">
          <cell r="B27" t="str">
            <v>הלוואות לעובדים</v>
          </cell>
        </row>
        <row r="31">
          <cell r="B31" t="str">
            <v>חו"ז בינחברתי</v>
          </cell>
        </row>
        <row r="33">
          <cell r="B33" t="str">
            <v>מקדמות לספקים</v>
          </cell>
        </row>
        <row r="35">
          <cell r="B35" t="str">
            <v>מיסים נדחים</v>
          </cell>
        </row>
        <row r="37">
          <cell r="B37" t="str">
            <v>שונות</v>
          </cell>
        </row>
        <row r="39">
          <cell r="B39" t="str">
            <v>חייבים אחרים - סה"כ</v>
          </cell>
          <cell r="C39">
            <v>52532</v>
          </cell>
        </row>
        <row r="41">
          <cell r="B41" t="str">
            <v>סה"כ רכוש שוטף</v>
          </cell>
          <cell r="C41">
            <v>150771</v>
          </cell>
        </row>
        <row r="43">
          <cell r="B43" t="str">
            <v>השקעה לזמן ארוך</v>
          </cell>
        </row>
        <row r="45">
          <cell r="B45" t="str">
            <v>פקדונות לז"א</v>
          </cell>
        </row>
        <row r="47">
          <cell r="B47" t="str">
            <v>הלוואות לעובדים ,בניכוי חלויות שוטפות</v>
          </cell>
        </row>
        <row r="49">
          <cell r="B49" t="str">
            <v>סה"כ השקעות וחייבים לז"א</v>
          </cell>
          <cell r="C49">
            <v>0</v>
          </cell>
        </row>
        <row r="52">
          <cell r="B52" t="str">
            <v>שיפורים במושכר</v>
          </cell>
        </row>
        <row r="54">
          <cell r="B54" t="str">
            <v>כלי רכב</v>
          </cell>
        </row>
        <row r="56">
          <cell r="B56" t="str">
            <v>מחשבים וציוד</v>
          </cell>
        </row>
        <row r="58">
          <cell r="B58" t="str">
            <v>ריהוט וציוד משרדי</v>
          </cell>
        </row>
        <row r="60">
          <cell r="B60" t="str">
            <v>סה"כ  ר.ק - עלות</v>
          </cell>
          <cell r="C60">
            <v>82233</v>
          </cell>
        </row>
        <row r="62">
          <cell r="B62" t="str">
            <v>שיפורים במושכר</v>
          </cell>
        </row>
      </sheetData>
      <sheetData sheetId="4" refreshError="1">
        <row r="1">
          <cell r="D1" t="str">
            <v>תוכנית אופציות טריוונט בע"מ</v>
          </cell>
        </row>
        <row r="3">
          <cell r="F3" t="str">
            <v>סה"כ</v>
          </cell>
        </row>
        <row r="4">
          <cell r="B4" t="str">
            <v>אגף</v>
          </cell>
          <cell r="C4" t="str">
            <v>שם העובד</v>
          </cell>
          <cell r="D4" t="str">
            <v>כמות כוללת</v>
          </cell>
          <cell r="E4" t="str">
            <v xml:space="preserve">מחיר מימוש $ </v>
          </cell>
          <cell r="F4" t="str">
            <v>ערך מימוש $</v>
          </cell>
        </row>
        <row r="5">
          <cell r="B5" t="str">
            <v>פתוח</v>
          </cell>
          <cell r="C5" t="str">
            <v>שבט שקד</v>
          </cell>
          <cell r="D5">
            <v>833</v>
          </cell>
          <cell r="E5">
            <v>0.01</v>
          </cell>
          <cell r="F5">
            <v>8.33</v>
          </cell>
        </row>
        <row r="6">
          <cell r="B6" t="str">
            <v>פתוח</v>
          </cell>
          <cell r="C6" t="str">
            <v>שבט שקד</v>
          </cell>
          <cell r="D6">
            <v>833</v>
          </cell>
          <cell r="E6">
            <v>5</v>
          </cell>
          <cell r="F6">
            <v>4165</v>
          </cell>
        </row>
        <row r="7">
          <cell r="B7" t="str">
            <v>פתוח</v>
          </cell>
          <cell r="C7" t="str">
            <v>עופר חי</v>
          </cell>
          <cell r="D7">
            <v>417</v>
          </cell>
          <cell r="E7">
            <v>5</v>
          </cell>
          <cell r="F7">
            <v>2085</v>
          </cell>
        </row>
        <row r="8">
          <cell r="B8" t="str">
            <v>פתוח</v>
          </cell>
          <cell r="C8" t="str">
            <v>אור טל</v>
          </cell>
          <cell r="D8">
            <v>1667</v>
          </cell>
          <cell r="E8">
            <v>0.01</v>
          </cell>
          <cell r="F8">
            <v>16.670000000000002</v>
          </cell>
        </row>
        <row r="9">
          <cell r="B9" t="str">
            <v>פתוח</v>
          </cell>
          <cell r="C9" t="str">
            <v>אור טל</v>
          </cell>
          <cell r="D9">
            <v>833</v>
          </cell>
          <cell r="E9">
            <v>5</v>
          </cell>
          <cell r="F9">
            <v>4165</v>
          </cell>
        </row>
        <row r="12">
          <cell r="D12">
            <v>4583</v>
          </cell>
          <cell r="F12">
            <v>10440</v>
          </cell>
        </row>
        <row r="13">
          <cell r="D13">
            <v>4583</v>
          </cell>
        </row>
        <row r="14">
          <cell r="C14" t="str">
            <v>אופ' להקצאה:</v>
          </cell>
        </row>
      </sheetData>
      <sheetData sheetId="5" refreshError="1">
        <row r="1">
          <cell r="F1" t="str">
            <v>$</v>
          </cell>
        </row>
        <row r="2">
          <cell r="B2" t="str">
            <v>מהות</v>
          </cell>
          <cell r="D2" t="str">
            <v>מספר מניות</v>
          </cell>
          <cell r="F2" t="str">
            <v>הון מניות</v>
          </cell>
        </row>
        <row r="4">
          <cell r="B4" t="str">
            <v>י. פתיחה ליום 31.12.97</v>
          </cell>
          <cell r="D4">
            <v>166667</v>
          </cell>
          <cell r="F4">
            <v>473</v>
          </cell>
        </row>
        <row r="5">
          <cell r="B5" t="str">
            <v>Mobetek</v>
          </cell>
          <cell r="D5">
            <v>16162</v>
          </cell>
          <cell r="F5">
            <v>46</v>
          </cell>
        </row>
        <row r="6">
          <cell r="B6" t="str">
            <v>Mobetek</v>
          </cell>
          <cell r="D6">
            <v>9091</v>
          </cell>
          <cell r="F6">
            <v>26</v>
          </cell>
        </row>
        <row r="7">
          <cell r="B7" t="str">
            <v>Mobetek</v>
          </cell>
          <cell r="D7">
            <v>8081</v>
          </cell>
          <cell r="F7">
            <v>23</v>
          </cell>
        </row>
        <row r="8">
          <cell r="B8" t="str">
            <v>Millenium Capital</v>
          </cell>
          <cell r="D8">
            <v>18128</v>
          </cell>
          <cell r="F8">
            <v>49</v>
          </cell>
        </row>
        <row r="9">
          <cell r="B9" t="str">
            <v>שלמה קליש</v>
          </cell>
          <cell r="D9">
            <v>3626</v>
          </cell>
          <cell r="F9">
            <v>10</v>
          </cell>
        </row>
        <row r="10">
          <cell r="B10" t="str">
            <v>מנקין</v>
          </cell>
          <cell r="D10">
            <v>47133</v>
          </cell>
          <cell r="F10">
            <v>127</v>
          </cell>
        </row>
        <row r="11">
          <cell r="B11" t="str">
            <v>Fredrick Adler</v>
          </cell>
          <cell r="D11">
            <v>6345</v>
          </cell>
          <cell r="F11">
            <v>17</v>
          </cell>
        </row>
        <row r="12">
          <cell r="B12" t="str">
            <v>Euro - America</v>
          </cell>
          <cell r="D12">
            <v>54383</v>
          </cell>
          <cell r="F12">
            <v>148</v>
          </cell>
        </row>
        <row r="13">
          <cell r="B13" t="str">
            <v>Jacques F &amp; Vallee</v>
          </cell>
          <cell r="D13">
            <v>725</v>
          </cell>
          <cell r="F13">
            <v>2</v>
          </cell>
        </row>
        <row r="14">
          <cell r="B14" t="str">
            <v>Shauel D'angeli</v>
          </cell>
          <cell r="D14">
            <v>2538</v>
          </cell>
          <cell r="F14">
            <v>7</v>
          </cell>
        </row>
        <row r="15">
          <cell r="B15" t="str">
            <v>Navier stocks &amp; co.</v>
          </cell>
          <cell r="D15">
            <v>725</v>
          </cell>
          <cell r="F15">
            <v>2</v>
          </cell>
        </row>
        <row r="16">
          <cell r="B16" t="str">
            <v>Dan tolkowsky</v>
          </cell>
          <cell r="D16">
            <v>1088</v>
          </cell>
          <cell r="F16">
            <v>3</v>
          </cell>
        </row>
        <row r="17">
          <cell r="B17" t="str">
            <v>Game soft Ltd.</v>
          </cell>
          <cell r="D17">
            <v>725</v>
          </cell>
          <cell r="F17">
            <v>2</v>
          </cell>
        </row>
        <row r="18">
          <cell r="B18" t="str">
            <v>Granita International</v>
          </cell>
          <cell r="D18">
            <v>13415</v>
          </cell>
          <cell r="F18">
            <v>34</v>
          </cell>
        </row>
        <row r="19">
          <cell r="B19" t="str">
            <v>הוצאות הקצאת מניות</v>
          </cell>
        </row>
        <row r="20">
          <cell r="B20" t="str">
            <v>הטבה</v>
          </cell>
        </row>
        <row r="21">
          <cell r="B21" t="str">
            <v>הפחתת הטבה</v>
          </cell>
        </row>
        <row r="22">
          <cell r="B22" t="str">
            <v>הפסד לשנה</v>
          </cell>
        </row>
        <row r="24">
          <cell r="B24" t="str">
            <v>י. סגירה</v>
          </cell>
          <cell r="D24">
            <v>348832</v>
          </cell>
          <cell r="F24">
            <v>969</v>
          </cell>
        </row>
        <row r="26">
          <cell r="B26" t="str">
            <v>Granita</v>
          </cell>
          <cell r="D26">
            <v>12195</v>
          </cell>
          <cell r="F26">
            <v>30</v>
          </cell>
        </row>
        <row r="27">
          <cell r="B27" t="str">
            <v>וילף עינת</v>
          </cell>
          <cell r="D27">
            <v>3626</v>
          </cell>
          <cell r="F27">
            <v>9</v>
          </cell>
        </row>
        <row r="28">
          <cell r="B28" t="str">
            <v>Millenium Capital</v>
          </cell>
        </row>
        <row r="30">
          <cell r="B30" t="str">
            <v>Fredrick Adler</v>
          </cell>
        </row>
        <row r="31">
          <cell r="B31" t="str">
            <v>Euro - America</v>
          </cell>
        </row>
        <row r="32">
          <cell r="B32" t="str">
            <v>Shauel D'angeli</v>
          </cell>
        </row>
        <row r="33">
          <cell r="B33" t="str">
            <v>Navier stocks &amp; co.</v>
          </cell>
        </row>
        <row r="34">
          <cell r="B34" t="str">
            <v>Dan tolkowsky</v>
          </cell>
        </row>
        <row r="35">
          <cell r="B35" t="str">
            <v>Game soft Ltd.</v>
          </cell>
        </row>
        <row r="36">
          <cell r="B36" t="str">
            <v>Mobetek</v>
          </cell>
        </row>
        <row r="37">
          <cell r="B37" t="str">
            <v>Granita</v>
          </cell>
        </row>
        <row r="38">
          <cell r="B38" t="str">
            <v>Viventures FCPR</v>
          </cell>
        </row>
        <row r="39">
          <cell r="B39" t="str">
            <v>Philip Chapman</v>
          </cell>
        </row>
        <row r="40">
          <cell r="B40" t="str">
            <v>Jay Nickse</v>
          </cell>
        </row>
        <row r="41">
          <cell r="B41" t="str">
            <v>הוצאות הקצאה</v>
          </cell>
        </row>
        <row r="42">
          <cell r="B42" t="str">
            <v>הפחתת הטבה</v>
          </cell>
        </row>
        <row r="43">
          <cell r="B43" t="str">
            <v>אופציות לעובדים ויועצים</v>
          </cell>
          <cell r="D43">
            <v>65956</v>
          </cell>
        </row>
        <row r="45">
          <cell r="B45" t="str">
            <v>הפסד לתקופה</v>
          </cell>
        </row>
        <row r="47">
          <cell r="B47" t="str">
            <v>י.סגירה</v>
          </cell>
          <cell r="D47">
            <v>430609</v>
          </cell>
          <cell r="F47">
            <v>1008</v>
          </cell>
        </row>
        <row r="50">
          <cell r="F50">
            <v>1007</v>
          </cell>
        </row>
        <row r="52">
          <cell r="F52">
            <v>1</v>
          </cell>
        </row>
        <row r="58">
          <cell r="B58" t="str">
            <v>חברה</v>
          </cell>
          <cell r="F58" t="str">
            <v>מספר מניות</v>
          </cell>
        </row>
        <row r="59">
          <cell r="B59" t="str">
            <v>אמיר גלילי</v>
          </cell>
          <cell r="F59">
            <v>70000</v>
          </cell>
        </row>
        <row r="60">
          <cell r="B60" t="str">
            <v>רובין גיא</v>
          </cell>
          <cell r="F60">
            <v>23368</v>
          </cell>
        </row>
        <row r="61">
          <cell r="B61" t="str">
            <v>סער וילף</v>
          </cell>
          <cell r="F61">
            <v>23367</v>
          </cell>
        </row>
        <row r="62">
          <cell r="B62" t="str">
            <v>ע.י.פ. עטרות</v>
          </cell>
          <cell r="F62">
            <v>100</v>
          </cell>
        </row>
      </sheetData>
      <sheetData sheetId="6" refreshError="1">
        <row r="7">
          <cell r="B7" t="str">
            <v>12/98</v>
          </cell>
          <cell r="C7" t="str">
            <v>6/99</v>
          </cell>
          <cell r="D7" t="str">
            <v>הפרש</v>
          </cell>
          <cell r="E7" t="str">
            <v>שוטף</v>
          </cell>
          <cell r="F7" t="str">
            <v>השקעה</v>
          </cell>
        </row>
        <row r="9">
          <cell r="B9">
            <v>1278040</v>
          </cell>
          <cell r="C9">
            <v>3012841</v>
          </cell>
          <cell r="D9">
            <v>1734801</v>
          </cell>
        </row>
        <row r="10">
          <cell r="C10">
            <v>29622</v>
          </cell>
          <cell r="D10">
            <v>29622</v>
          </cell>
          <cell r="E10">
            <v>-29622</v>
          </cell>
        </row>
        <row r="11">
          <cell r="B11">
            <v>124432</v>
          </cell>
          <cell r="C11">
            <v>214968</v>
          </cell>
          <cell r="D11">
            <v>90536</v>
          </cell>
          <cell r="E11">
            <v>-90536</v>
          </cell>
        </row>
        <row r="12">
          <cell r="B12">
            <v>164624</v>
          </cell>
          <cell r="C12">
            <v>304582</v>
          </cell>
          <cell r="D12">
            <v>139958</v>
          </cell>
          <cell r="E12">
            <v>29849</v>
          </cell>
          <cell r="F12">
            <v>-169807</v>
          </cell>
        </row>
        <row r="13">
          <cell r="C13">
            <v>-25665</v>
          </cell>
          <cell r="D13">
            <v>-25665</v>
          </cell>
        </row>
        <row r="14">
          <cell r="B14">
            <v>-107684</v>
          </cell>
          <cell r="C14">
            <v>-253057</v>
          </cell>
          <cell r="D14">
            <v>-145373</v>
          </cell>
          <cell r="E14">
            <v>145373</v>
          </cell>
        </row>
        <row r="15">
          <cell r="B15">
            <v>-126573</v>
          </cell>
          <cell r="C15">
            <v>-187895</v>
          </cell>
          <cell r="D15">
            <v>-61322</v>
          </cell>
          <cell r="E15">
            <v>61322</v>
          </cell>
        </row>
        <row r="16">
          <cell r="B16">
            <v>-137289</v>
          </cell>
          <cell r="C16">
            <v>-140118</v>
          </cell>
          <cell r="D16">
            <v>-2829</v>
          </cell>
          <cell r="E16">
            <v>2829</v>
          </cell>
        </row>
        <row r="17">
          <cell r="B17">
            <v>-22786</v>
          </cell>
          <cell r="C17">
            <v>-35782</v>
          </cell>
          <cell r="D17">
            <v>-12996</v>
          </cell>
          <cell r="E17">
            <v>12996</v>
          </cell>
        </row>
        <row r="18">
          <cell r="B18">
            <v>-968</v>
          </cell>
          <cell r="C18">
            <v>-1007</v>
          </cell>
          <cell r="D18">
            <v>-39</v>
          </cell>
        </row>
        <row r="19">
          <cell r="B19">
            <v>-2561667</v>
          </cell>
          <cell r="C19">
            <v>-2696130</v>
          </cell>
          <cell r="D19">
            <v>-134463</v>
          </cell>
          <cell r="E19">
            <v>0</v>
          </cell>
        </row>
        <row r="20">
          <cell r="D20">
            <v>0</v>
          </cell>
          <cell r="E20">
            <v>0</v>
          </cell>
        </row>
        <row r="21">
          <cell r="B21">
            <v>1385337</v>
          </cell>
          <cell r="C21">
            <v>3413711</v>
          </cell>
          <cell r="D21">
            <v>2028374</v>
          </cell>
          <cell r="E21">
            <v>-2028374</v>
          </cell>
        </row>
        <row r="22">
          <cell r="B22">
            <v>4534</v>
          </cell>
          <cell r="C22">
            <v>399</v>
          </cell>
          <cell r="D22">
            <v>-4135</v>
          </cell>
          <cell r="E22">
            <v>4135</v>
          </cell>
        </row>
        <row r="23">
          <cell r="B23">
            <v>0</v>
          </cell>
          <cell r="C23">
            <v>-3636469</v>
          </cell>
          <cell r="D23">
            <v>-3636469</v>
          </cell>
        </row>
        <row r="24">
          <cell r="D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-1892028</v>
          </cell>
          <cell r="F25">
            <v>-169807</v>
          </cell>
        </row>
        <row r="27">
          <cell r="E27" t="str">
            <v>אם</v>
          </cell>
          <cell r="F27" t="str">
            <v>בת</v>
          </cell>
        </row>
        <row r="28">
          <cell r="C28">
            <v>164624</v>
          </cell>
        </row>
        <row r="30">
          <cell r="C30">
            <v>-29849</v>
          </cell>
          <cell r="E30">
            <v>-27959</v>
          </cell>
          <cell r="F30">
            <v>-1890</v>
          </cell>
        </row>
        <row r="31">
          <cell r="C31">
            <v>304582</v>
          </cell>
        </row>
        <row r="32">
          <cell r="C32">
            <v>304582</v>
          </cell>
        </row>
        <row r="33">
          <cell r="C33">
            <v>0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 מאוחד"/>
      <sheetName val="pldt"/>
      <sheetName val="תזרים"/>
      <sheetName val="מעגל רכוש קבוע"/>
      <sheetName val="פקדונות וניירות ערך"/>
      <sheetName val="דוחות"/>
      <sheetName val="דוחות LTD"/>
      <sheetName val="נתונים לשינוי"/>
      <sheetName val="????? ?????"/>
      <sheetName val="קפריסין"/>
      <sheetName val="Sales Revenue Report"/>
      <sheetName val="הנחות עבודה"/>
      <sheetName val="ביאורים"/>
      <sheetName val="מס הכנסה"/>
      <sheetName val="אופציות"/>
      <sheetName val="תזרים "/>
      <sheetName val="הרכבה_מאוחד4"/>
      <sheetName val="מעגל_רכוש_קבוע4"/>
      <sheetName val="פקדונות_וניירות_ערך4"/>
      <sheetName val="דוחות_LTD4"/>
      <sheetName val="נתונים_לשינוי4"/>
      <sheetName val="?????_?????4"/>
      <sheetName val="הרכבה_מאוחד"/>
      <sheetName val="מעגל_רכוש_קבוע"/>
      <sheetName val="פקדונות_וניירות_ערך"/>
      <sheetName val="דוחות_LTD"/>
      <sheetName val="נתונים_לשינוי"/>
      <sheetName val="?????_?????"/>
      <sheetName val="הרכבה_מאוחד1"/>
      <sheetName val="מעגל_רכוש_קבוע1"/>
      <sheetName val="פקדונות_וניירות_ערך1"/>
      <sheetName val="דוחות_LTD1"/>
      <sheetName val="נתונים_לשינוי1"/>
      <sheetName val="?????_?????1"/>
      <sheetName val="הרכבה_מאוחד2"/>
      <sheetName val="מעגל_רכוש_קבוע2"/>
      <sheetName val="פקדונות_וניירות_ערך2"/>
      <sheetName val="דוחות_LTD2"/>
      <sheetName val="נתונים_לשינוי2"/>
      <sheetName val="?????_?????2"/>
      <sheetName val="הרכבה_מאוחד3"/>
      <sheetName val="מעגל_רכוש_קבוע3"/>
      <sheetName val="פקדונות_וניירות_ערך3"/>
      <sheetName val="דוחות_LTD3"/>
      <sheetName val="נתונים_לשינוי3"/>
      <sheetName val="?????_?????3"/>
      <sheetName val="הרכבה_מאוחד6"/>
      <sheetName val="מעגל_רכוש_קבוע6"/>
      <sheetName val="פקדונות_וניירות_ערך6"/>
      <sheetName val="דוחות_LTD6"/>
      <sheetName val="נתונים_לשינוי6"/>
      <sheetName val="?????_?????6"/>
      <sheetName val="הרכבה_מאוחד5"/>
      <sheetName val="מעגל_רכוש_קבוע5"/>
      <sheetName val="פקדונות_וניירות_ערך5"/>
      <sheetName val="דוחות_LTD5"/>
      <sheetName val="נתונים_לשינוי5"/>
      <sheetName val="?????_?????5"/>
      <sheetName val="הרכבה_מאוחד7"/>
      <sheetName val="מעגל_רכוש_קבוע7"/>
      <sheetName val="פקדונות_וניירות_ערך7"/>
      <sheetName val="דוחות_LTD7"/>
      <sheetName val="נתונים_לשינוי7"/>
      <sheetName val="?????_?????7"/>
      <sheetName val="הרכבה_מאוחד8"/>
      <sheetName val="מעגל_רכוש_קבוע8"/>
      <sheetName val="פקדונות_וניירות_ערך8"/>
      <sheetName val="דוחות_LTD8"/>
      <sheetName val="נתונים_לשינוי8"/>
      <sheetName val="?????_?????8"/>
      <sheetName val="הנחות_עבודה"/>
      <sheetName val="Sales_Revenue_Report"/>
      <sheetName val="מס_הכנסה"/>
      <sheetName val="Dec-Consolidation"/>
      <sheetName val="הרכבה_מאוחד9"/>
      <sheetName val="מעגל_רכוש_קבוע9"/>
      <sheetName val="פקדונות_וניירות_ערך9"/>
      <sheetName val="דוחות_LTD9"/>
      <sheetName val="נתונים_לשינוי9"/>
      <sheetName val="?????_?????9"/>
      <sheetName val="הנחות_עבודה1"/>
      <sheetName val="תזרים_"/>
      <sheetName val="TAL1296"/>
      <sheetName val="Sales_Revenue_Report1"/>
      <sheetName val="מס_הכנסה1"/>
    </sheetNames>
    <sheetDataSet>
      <sheetData sheetId="0" refreshError="1">
        <row r="8">
          <cell r="B8">
            <v>12294</v>
          </cell>
          <cell r="C8">
            <v>524</v>
          </cell>
          <cell r="D8">
            <v>179</v>
          </cell>
          <cell r="E8">
            <v>776</v>
          </cell>
          <cell r="F8">
            <v>5</v>
          </cell>
          <cell r="G8">
            <v>13778</v>
          </cell>
          <cell r="H8">
            <v>0</v>
          </cell>
          <cell r="I8">
            <v>0</v>
          </cell>
          <cell r="J8">
            <v>13778</v>
          </cell>
          <cell r="K8">
            <v>0</v>
          </cell>
          <cell r="L8">
            <v>13778</v>
          </cell>
        </row>
        <row r="10">
          <cell r="B10">
            <v>0</v>
          </cell>
          <cell r="C10">
            <v>4813</v>
          </cell>
          <cell r="D10">
            <v>0</v>
          </cell>
          <cell r="E10">
            <v>0</v>
          </cell>
          <cell r="F10">
            <v>0</v>
          </cell>
          <cell r="G10">
            <v>4813</v>
          </cell>
          <cell r="H10">
            <v>0</v>
          </cell>
          <cell r="I10">
            <v>0</v>
          </cell>
          <cell r="J10">
            <v>4813</v>
          </cell>
          <cell r="K10">
            <v>0</v>
          </cell>
          <cell r="L10">
            <v>4813</v>
          </cell>
        </row>
        <row r="12">
          <cell r="B12">
            <v>7765</v>
          </cell>
          <cell r="C12">
            <v>3073</v>
          </cell>
          <cell r="D12">
            <v>18</v>
          </cell>
          <cell r="E12">
            <v>21562</v>
          </cell>
          <cell r="F12">
            <v>855</v>
          </cell>
          <cell r="G12">
            <v>33273</v>
          </cell>
          <cell r="H12">
            <v>147</v>
          </cell>
          <cell r="I12">
            <v>147</v>
          </cell>
          <cell r="J12">
            <v>33420</v>
          </cell>
          <cell r="K12">
            <v>0</v>
          </cell>
          <cell r="L12">
            <v>33420</v>
          </cell>
        </row>
        <row r="14">
          <cell r="B14">
            <v>3874</v>
          </cell>
          <cell r="C14">
            <v>743</v>
          </cell>
          <cell r="D14">
            <v>-66</v>
          </cell>
          <cell r="E14">
            <v>350</v>
          </cell>
          <cell r="F14">
            <v>-349</v>
          </cell>
          <cell r="G14">
            <v>4552</v>
          </cell>
          <cell r="H14">
            <v>0</v>
          </cell>
          <cell r="I14">
            <v>0</v>
          </cell>
          <cell r="J14">
            <v>4251</v>
          </cell>
          <cell r="K14">
            <v>301</v>
          </cell>
          <cell r="L14">
            <v>4251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11893</v>
          </cell>
          <cell r="F16">
            <v>5</v>
          </cell>
          <cell r="G16">
            <v>11898</v>
          </cell>
          <cell r="H16">
            <v>0</v>
          </cell>
          <cell r="I16">
            <v>0</v>
          </cell>
          <cell r="J16">
            <v>11898</v>
          </cell>
          <cell r="K16">
            <v>0</v>
          </cell>
          <cell r="L16">
            <v>11898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20">
          <cell r="B20">
            <v>176</v>
          </cell>
          <cell r="C20">
            <v>0</v>
          </cell>
          <cell r="D20">
            <v>0</v>
          </cell>
          <cell r="E20">
            <v>578</v>
          </cell>
          <cell r="F20">
            <v>0</v>
          </cell>
          <cell r="G20">
            <v>754</v>
          </cell>
          <cell r="H20">
            <v>0</v>
          </cell>
          <cell r="I20">
            <v>0</v>
          </cell>
          <cell r="J20">
            <v>754</v>
          </cell>
          <cell r="K20">
            <v>0</v>
          </cell>
          <cell r="L20">
            <v>754</v>
          </cell>
        </row>
        <row r="22">
          <cell r="B22">
            <v>25868</v>
          </cell>
          <cell r="C22">
            <v>0</v>
          </cell>
          <cell r="D22">
            <v>-1114</v>
          </cell>
          <cell r="E22">
            <v>-19332</v>
          </cell>
          <cell r="F22">
            <v>0</v>
          </cell>
          <cell r="G22">
            <v>5422</v>
          </cell>
          <cell r="H22">
            <v>19525</v>
          </cell>
          <cell r="I22">
            <v>19525</v>
          </cell>
          <cell r="J22">
            <v>0</v>
          </cell>
          <cell r="K22">
            <v>24947</v>
          </cell>
          <cell r="L22">
            <v>0</v>
          </cell>
        </row>
        <row r="24">
          <cell r="B24">
            <v>5779</v>
          </cell>
          <cell r="C24">
            <v>721</v>
          </cell>
          <cell r="D24">
            <v>288</v>
          </cell>
          <cell r="E24">
            <v>26548</v>
          </cell>
          <cell r="F24">
            <v>274</v>
          </cell>
          <cell r="G24">
            <v>33610</v>
          </cell>
          <cell r="H24">
            <v>0</v>
          </cell>
          <cell r="I24">
            <v>0</v>
          </cell>
          <cell r="J24">
            <v>33610</v>
          </cell>
          <cell r="K24">
            <v>0</v>
          </cell>
          <cell r="L24">
            <v>33610</v>
          </cell>
        </row>
        <row r="26">
          <cell r="B26">
            <v>-2190</v>
          </cell>
          <cell r="C26">
            <v>-190</v>
          </cell>
          <cell r="D26">
            <v>-102</v>
          </cell>
          <cell r="E26">
            <v>-22504</v>
          </cell>
          <cell r="F26">
            <v>-32</v>
          </cell>
          <cell r="G26">
            <v>-25018</v>
          </cell>
          <cell r="H26">
            <v>0</v>
          </cell>
          <cell r="I26">
            <v>0</v>
          </cell>
          <cell r="J26">
            <v>-25018</v>
          </cell>
          <cell r="K26">
            <v>0</v>
          </cell>
          <cell r="L26">
            <v>-25018</v>
          </cell>
        </row>
        <row r="28">
          <cell r="B28">
            <v>384</v>
          </cell>
          <cell r="C28">
            <v>0</v>
          </cell>
          <cell r="D28">
            <v>469</v>
          </cell>
          <cell r="E28">
            <v>96</v>
          </cell>
          <cell r="F28">
            <v>0</v>
          </cell>
          <cell r="G28">
            <v>949</v>
          </cell>
          <cell r="H28">
            <v>10852</v>
          </cell>
          <cell r="I28">
            <v>10852</v>
          </cell>
          <cell r="J28">
            <v>9480</v>
          </cell>
          <cell r="K28">
            <v>2321</v>
          </cell>
          <cell r="L28">
            <v>9480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-1158</v>
          </cell>
          <cell r="F30">
            <v>0</v>
          </cell>
          <cell r="G30">
            <v>-1158</v>
          </cell>
          <cell r="H30">
            <v>0</v>
          </cell>
          <cell r="I30">
            <v>0</v>
          </cell>
          <cell r="J30">
            <v>-1158</v>
          </cell>
          <cell r="K30">
            <v>0</v>
          </cell>
          <cell r="L30">
            <v>-1158</v>
          </cell>
        </row>
        <row r="32">
          <cell r="B32">
            <v>-943</v>
          </cell>
          <cell r="C32">
            <v>-1196</v>
          </cell>
          <cell r="D32">
            <v>-36</v>
          </cell>
          <cell r="E32">
            <v>-17072</v>
          </cell>
          <cell r="F32">
            <v>-489</v>
          </cell>
          <cell r="G32">
            <v>-19736</v>
          </cell>
          <cell r="H32">
            <v>0</v>
          </cell>
          <cell r="I32">
            <v>0</v>
          </cell>
          <cell r="J32">
            <v>-19736</v>
          </cell>
          <cell r="K32">
            <v>0</v>
          </cell>
          <cell r="L32">
            <v>-19736</v>
          </cell>
        </row>
        <row r="34">
          <cell r="B34">
            <v>-17029</v>
          </cell>
          <cell r="C34">
            <v>-96</v>
          </cell>
          <cell r="D34">
            <v>-70</v>
          </cell>
          <cell r="E34">
            <v>-5793</v>
          </cell>
          <cell r="F34">
            <v>-309</v>
          </cell>
          <cell r="G34">
            <v>-23297</v>
          </cell>
          <cell r="H34">
            <v>0</v>
          </cell>
          <cell r="I34">
            <v>0</v>
          </cell>
          <cell r="J34">
            <v>-23297</v>
          </cell>
          <cell r="K34">
            <v>0</v>
          </cell>
          <cell r="L34">
            <v>-23297</v>
          </cell>
        </row>
        <row r="36">
          <cell r="B36">
            <v>-1209</v>
          </cell>
          <cell r="C36">
            <v>-364</v>
          </cell>
          <cell r="D36">
            <v>-3</v>
          </cell>
          <cell r="E36">
            <v>-1265</v>
          </cell>
          <cell r="F36">
            <v>-2</v>
          </cell>
          <cell r="G36">
            <v>-2843</v>
          </cell>
          <cell r="H36">
            <v>0</v>
          </cell>
          <cell r="I36">
            <v>0</v>
          </cell>
          <cell r="J36">
            <v>-2843</v>
          </cell>
          <cell r="K36">
            <v>0</v>
          </cell>
          <cell r="L36">
            <v>-2843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-5183</v>
          </cell>
          <cell r="F38">
            <v>0</v>
          </cell>
          <cell r="G38">
            <v>-5183</v>
          </cell>
          <cell r="H38">
            <v>0</v>
          </cell>
          <cell r="I38">
            <v>0</v>
          </cell>
          <cell r="J38">
            <v>-5183</v>
          </cell>
          <cell r="K38">
            <v>0</v>
          </cell>
          <cell r="L38">
            <v>-5183</v>
          </cell>
        </row>
        <row r="40">
          <cell r="B40">
            <v>0</v>
          </cell>
          <cell r="C40">
            <v>-5300</v>
          </cell>
          <cell r="D40">
            <v>0</v>
          </cell>
          <cell r="E40">
            <v>0</v>
          </cell>
          <cell r="F40">
            <v>0</v>
          </cell>
          <cell r="G40">
            <v>-5300</v>
          </cell>
          <cell r="H40">
            <v>5300</v>
          </cell>
          <cell r="I40">
            <v>5300</v>
          </cell>
          <cell r="J40">
            <v>0</v>
          </cell>
          <cell r="K40">
            <v>0</v>
          </cell>
          <cell r="L40">
            <v>0</v>
          </cell>
        </row>
        <row r="42">
          <cell r="B42">
            <v>-35643</v>
          </cell>
          <cell r="C42">
            <v>-4840</v>
          </cell>
          <cell r="D42">
            <v>0</v>
          </cell>
          <cell r="E42">
            <v>-8342</v>
          </cell>
          <cell r="F42">
            <v>-1</v>
          </cell>
          <cell r="G42">
            <v>-48826</v>
          </cell>
          <cell r="H42">
            <v>13183</v>
          </cell>
          <cell r="I42">
            <v>13183</v>
          </cell>
          <cell r="J42">
            <v>-35643</v>
          </cell>
          <cell r="K42">
            <v>0</v>
          </cell>
          <cell r="L42">
            <v>-35643</v>
          </cell>
        </row>
        <row r="44">
          <cell r="B44">
            <v>874</v>
          </cell>
          <cell r="C44">
            <v>2112</v>
          </cell>
          <cell r="D44">
            <v>437</v>
          </cell>
          <cell r="E44">
            <v>18846</v>
          </cell>
          <cell r="F44">
            <v>43</v>
          </cell>
          <cell r="G44">
            <v>22312</v>
          </cell>
          <cell r="H44">
            <v>0</v>
          </cell>
          <cell r="I44">
            <v>0</v>
          </cell>
          <cell r="J44">
            <v>874</v>
          </cell>
          <cell r="K44">
            <v>20153</v>
          </cell>
          <cell r="L44">
            <v>874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L46">
            <v>0</v>
          </cell>
        </row>
        <row r="49">
          <cell r="B49">
            <v>-28388</v>
          </cell>
          <cell r="C49">
            <v>-17323</v>
          </cell>
          <cell r="D49">
            <v>-800</v>
          </cell>
          <cell r="E49">
            <v>0</v>
          </cell>
          <cell r="F49">
            <v>0</v>
          </cell>
          <cell r="G49">
            <v>-46511</v>
          </cell>
          <cell r="H49">
            <v>3</v>
          </cell>
          <cell r="I49">
            <v>148</v>
          </cell>
          <cell r="J49">
            <v>-46241</v>
          </cell>
          <cell r="L49">
            <v>-46241</v>
          </cell>
        </row>
        <row r="50">
          <cell r="H50">
            <v>8</v>
          </cell>
          <cell r="I50">
            <v>122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-88604</v>
          </cell>
          <cell r="F51">
            <v>-2605</v>
          </cell>
          <cell r="G51">
            <v>-91209</v>
          </cell>
          <cell r="H51">
            <v>9</v>
          </cell>
          <cell r="I51">
            <v>36</v>
          </cell>
          <cell r="J51">
            <v>-91173</v>
          </cell>
          <cell r="L51">
            <v>-91173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-32843</v>
          </cell>
          <cell r="F53">
            <v>-1354</v>
          </cell>
          <cell r="G53">
            <v>-34197</v>
          </cell>
          <cell r="H53">
            <v>9</v>
          </cell>
          <cell r="I53">
            <v>118</v>
          </cell>
          <cell r="J53">
            <v>-34079</v>
          </cell>
          <cell r="L53">
            <v>-34079</v>
          </cell>
        </row>
        <row r="54">
          <cell r="B54">
            <v>-28388</v>
          </cell>
          <cell r="C54">
            <v>-17323</v>
          </cell>
          <cell r="D54">
            <v>-800</v>
          </cell>
          <cell r="E54">
            <v>-121447</v>
          </cell>
          <cell r="F54">
            <v>-3959</v>
          </cell>
          <cell r="G54">
            <v>-171917</v>
          </cell>
          <cell r="H54">
            <v>424</v>
          </cell>
          <cell r="I54">
            <v>424</v>
          </cell>
          <cell r="J54">
            <v>-171493</v>
          </cell>
          <cell r="K54">
            <v>0</v>
          </cell>
          <cell r="L54">
            <v>-171493</v>
          </cell>
        </row>
        <row r="56">
          <cell r="B56">
            <v>23903</v>
          </cell>
          <cell r="C56">
            <v>13470</v>
          </cell>
          <cell r="D56">
            <v>922</v>
          </cell>
          <cell r="E56">
            <v>0</v>
          </cell>
          <cell r="F56">
            <v>0</v>
          </cell>
          <cell r="G56">
            <v>38295</v>
          </cell>
          <cell r="H56">
            <v>0</v>
          </cell>
          <cell r="I56">
            <v>0</v>
          </cell>
          <cell r="J56">
            <v>37993</v>
          </cell>
          <cell r="K56">
            <v>302</v>
          </cell>
          <cell r="L56">
            <v>37993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79943</v>
          </cell>
          <cell r="F58">
            <v>2504</v>
          </cell>
          <cell r="G58">
            <v>82447</v>
          </cell>
          <cell r="H58">
            <v>0</v>
          </cell>
          <cell r="I58">
            <v>0</v>
          </cell>
          <cell r="J58">
            <v>82325</v>
          </cell>
          <cell r="K58">
            <v>122</v>
          </cell>
          <cell r="L58">
            <v>82325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28620</v>
          </cell>
          <cell r="F60">
            <v>1071</v>
          </cell>
          <cell r="G60">
            <v>29691</v>
          </cell>
          <cell r="H60">
            <v>0</v>
          </cell>
          <cell r="I60">
            <v>0</v>
          </cell>
          <cell r="J60">
            <v>29691</v>
          </cell>
          <cell r="K60">
            <v>0</v>
          </cell>
          <cell r="L60">
            <v>29691</v>
          </cell>
        </row>
        <row r="61">
          <cell r="B61">
            <v>23903</v>
          </cell>
          <cell r="C61">
            <v>13470</v>
          </cell>
          <cell r="D61">
            <v>922</v>
          </cell>
          <cell r="E61">
            <v>108563</v>
          </cell>
          <cell r="F61">
            <v>3575</v>
          </cell>
          <cell r="G61">
            <v>150433</v>
          </cell>
          <cell r="H61">
            <v>0</v>
          </cell>
          <cell r="I61">
            <v>0</v>
          </cell>
          <cell r="J61">
            <v>150009</v>
          </cell>
          <cell r="K61">
            <v>424</v>
          </cell>
          <cell r="L61">
            <v>150009</v>
          </cell>
        </row>
        <row r="63">
          <cell r="B63">
            <v>-4485</v>
          </cell>
          <cell r="C63">
            <v>-3853</v>
          </cell>
          <cell r="D63">
            <v>122</v>
          </cell>
          <cell r="E63">
            <v>-12884</v>
          </cell>
          <cell r="F63">
            <v>-384</v>
          </cell>
          <cell r="G63">
            <v>-21484</v>
          </cell>
          <cell r="H63">
            <v>-21484</v>
          </cell>
          <cell r="L63">
            <v>-21484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9264</v>
          </cell>
          <cell r="F65">
            <v>247</v>
          </cell>
          <cell r="G65">
            <v>9511</v>
          </cell>
          <cell r="H65">
            <v>0</v>
          </cell>
          <cell r="I65">
            <v>0</v>
          </cell>
          <cell r="J65">
            <v>9511</v>
          </cell>
          <cell r="K65">
            <v>0</v>
          </cell>
          <cell r="L65">
            <v>9511</v>
          </cell>
        </row>
        <row r="67">
          <cell r="B67">
            <v>2714</v>
          </cell>
          <cell r="C67">
            <v>949</v>
          </cell>
          <cell r="D67">
            <v>16</v>
          </cell>
          <cell r="E67">
            <v>6373</v>
          </cell>
          <cell r="F67">
            <v>152</v>
          </cell>
          <cell r="G67">
            <v>10204</v>
          </cell>
          <cell r="H67">
            <v>1133</v>
          </cell>
          <cell r="I67">
            <v>1133</v>
          </cell>
          <cell r="J67">
            <v>11337</v>
          </cell>
          <cell r="K67">
            <v>0</v>
          </cell>
          <cell r="L67">
            <v>11337</v>
          </cell>
        </row>
        <row r="68">
          <cell r="B68">
            <v>2714</v>
          </cell>
          <cell r="C68">
            <v>949</v>
          </cell>
          <cell r="D68">
            <v>16</v>
          </cell>
          <cell r="E68">
            <v>15637</v>
          </cell>
          <cell r="F68">
            <v>399</v>
          </cell>
          <cell r="G68">
            <v>19715</v>
          </cell>
          <cell r="H68">
            <v>1133</v>
          </cell>
          <cell r="I68">
            <v>1133</v>
          </cell>
          <cell r="J68">
            <v>20848</v>
          </cell>
          <cell r="K68">
            <v>0</v>
          </cell>
          <cell r="L68">
            <v>20848</v>
          </cell>
        </row>
        <row r="70">
          <cell r="B70">
            <v>-1771</v>
          </cell>
          <cell r="C70">
            <v>-2904</v>
          </cell>
          <cell r="D70">
            <v>138</v>
          </cell>
          <cell r="E70">
            <v>2753</v>
          </cell>
          <cell r="F70">
            <v>15</v>
          </cell>
          <cell r="G70">
            <v>-1769</v>
          </cell>
          <cell r="H70">
            <v>-636</v>
          </cell>
          <cell r="L70">
            <v>-636</v>
          </cell>
        </row>
        <row r="72">
          <cell r="B72">
            <v>19</v>
          </cell>
          <cell r="C72">
            <v>-540</v>
          </cell>
          <cell r="D72">
            <v>7</v>
          </cell>
          <cell r="E72">
            <v>2053</v>
          </cell>
          <cell r="F72">
            <v>28</v>
          </cell>
          <cell r="G72">
            <v>1567</v>
          </cell>
          <cell r="H72">
            <v>1567</v>
          </cell>
          <cell r="L72">
            <v>1567</v>
          </cell>
        </row>
        <row r="74">
          <cell r="B74">
            <v>-1752</v>
          </cell>
          <cell r="C74">
            <v>-3444</v>
          </cell>
          <cell r="D74">
            <v>145</v>
          </cell>
          <cell r="E74">
            <v>4806</v>
          </cell>
          <cell r="F74">
            <v>43</v>
          </cell>
          <cell r="G74">
            <v>-202</v>
          </cell>
          <cell r="H74">
            <v>931</v>
          </cell>
          <cell r="L74">
            <v>931</v>
          </cell>
        </row>
        <row r="76">
          <cell r="B76">
            <v>-567</v>
          </cell>
          <cell r="C76">
            <v>4</v>
          </cell>
          <cell r="D76">
            <v>0</v>
          </cell>
          <cell r="E76">
            <v>-503</v>
          </cell>
          <cell r="F76">
            <v>0</v>
          </cell>
          <cell r="G76">
            <v>-1066</v>
          </cell>
          <cell r="H76">
            <v>154</v>
          </cell>
          <cell r="I76">
            <v>154</v>
          </cell>
          <cell r="J76">
            <v>-912</v>
          </cell>
          <cell r="K76">
            <v>0</v>
          </cell>
          <cell r="L76">
            <v>-912</v>
          </cell>
        </row>
        <row r="78">
          <cell r="B78">
            <v>-2319</v>
          </cell>
          <cell r="C78">
            <v>-3440</v>
          </cell>
          <cell r="D78">
            <v>145</v>
          </cell>
          <cell r="E78">
            <v>4303</v>
          </cell>
          <cell r="F78">
            <v>43</v>
          </cell>
          <cell r="G78">
            <v>-1268</v>
          </cell>
          <cell r="H78">
            <v>19</v>
          </cell>
          <cell r="L78">
            <v>19</v>
          </cell>
        </row>
        <row r="80">
          <cell r="B80">
            <v>277</v>
          </cell>
          <cell r="C80">
            <v>-400</v>
          </cell>
          <cell r="D80">
            <v>0</v>
          </cell>
          <cell r="E80">
            <v>634</v>
          </cell>
          <cell r="F80">
            <v>0</v>
          </cell>
          <cell r="G80">
            <v>511</v>
          </cell>
          <cell r="H80">
            <v>0</v>
          </cell>
          <cell r="I80">
            <v>0</v>
          </cell>
          <cell r="J80">
            <v>511</v>
          </cell>
          <cell r="K80">
            <v>0</v>
          </cell>
          <cell r="L80">
            <v>511</v>
          </cell>
        </row>
        <row r="82">
          <cell r="B82">
            <v>2572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2572</v>
          </cell>
          <cell r="H82">
            <v>1</v>
          </cell>
          <cell r="I82">
            <v>3840</v>
          </cell>
          <cell r="J82">
            <v>2</v>
          </cell>
          <cell r="K82">
            <v>145</v>
          </cell>
          <cell r="L82">
            <v>0</v>
          </cell>
        </row>
        <row r="83">
          <cell r="J83">
            <v>4</v>
          </cell>
          <cell r="K83">
            <v>4937</v>
          </cell>
        </row>
        <row r="84">
          <cell r="J84">
            <v>6</v>
          </cell>
          <cell r="K84">
            <v>197</v>
          </cell>
        </row>
        <row r="85">
          <cell r="J85">
            <v>12</v>
          </cell>
          <cell r="K85">
            <v>1133</v>
          </cell>
        </row>
        <row r="86">
          <cell r="B86">
            <v>530</v>
          </cell>
          <cell r="C86">
            <v>-3840</v>
          </cell>
          <cell r="D86">
            <v>145</v>
          </cell>
          <cell r="E86">
            <v>4937</v>
          </cell>
          <cell r="F86">
            <v>43</v>
          </cell>
          <cell r="G86">
            <v>1815</v>
          </cell>
          <cell r="H86">
            <v>530</v>
          </cell>
          <cell r="L86">
            <v>530</v>
          </cell>
        </row>
        <row r="93">
          <cell r="B93">
            <v>12294</v>
          </cell>
          <cell r="C93">
            <v>524</v>
          </cell>
          <cell r="D93">
            <v>179</v>
          </cell>
          <cell r="E93">
            <v>776</v>
          </cell>
          <cell r="F93">
            <v>5</v>
          </cell>
          <cell r="G93">
            <v>13778</v>
          </cell>
          <cell r="H93">
            <v>13778</v>
          </cell>
          <cell r="L93">
            <v>13778</v>
          </cell>
        </row>
        <row r="95">
          <cell r="B95">
            <v>0</v>
          </cell>
          <cell r="C95">
            <v>4813</v>
          </cell>
          <cell r="D95">
            <v>0</v>
          </cell>
          <cell r="E95">
            <v>0</v>
          </cell>
          <cell r="F95">
            <v>0</v>
          </cell>
          <cell r="G95">
            <v>4813</v>
          </cell>
          <cell r="H95">
            <v>4813</v>
          </cell>
          <cell r="L95">
            <v>4813</v>
          </cell>
        </row>
        <row r="98">
          <cell r="B98">
            <v>5281</v>
          </cell>
          <cell r="C98">
            <v>2528</v>
          </cell>
          <cell r="D98">
            <v>18</v>
          </cell>
          <cell r="E98">
            <v>19112</v>
          </cell>
          <cell r="F98">
            <v>731</v>
          </cell>
          <cell r="G98">
            <v>27670</v>
          </cell>
          <cell r="H98">
            <v>27670</v>
          </cell>
          <cell r="L98">
            <v>27670</v>
          </cell>
        </row>
        <row r="99">
          <cell r="B99">
            <v>162</v>
          </cell>
          <cell r="C99">
            <v>0</v>
          </cell>
          <cell r="D99">
            <v>0</v>
          </cell>
          <cell r="E99">
            <v>1645</v>
          </cell>
          <cell r="F99">
            <v>0</v>
          </cell>
          <cell r="G99">
            <v>1807</v>
          </cell>
          <cell r="H99">
            <v>1807</v>
          </cell>
          <cell r="L99">
            <v>1807</v>
          </cell>
        </row>
        <row r="100">
          <cell r="B100">
            <v>2322</v>
          </cell>
          <cell r="C100">
            <v>545</v>
          </cell>
          <cell r="D100">
            <v>0</v>
          </cell>
          <cell r="E100">
            <v>1597</v>
          </cell>
          <cell r="F100">
            <v>137</v>
          </cell>
          <cell r="G100">
            <v>4601</v>
          </cell>
          <cell r="H100">
            <v>11</v>
          </cell>
          <cell r="I100">
            <v>147</v>
          </cell>
          <cell r="J100">
            <v>4748</v>
          </cell>
          <cell r="L100">
            <v>4748</v>
          </cell>
        </row>
        <row r="101">
          <cell r="B101">
            <v>7765</v>
          </cell>
          <cell r="C101">
            <v>3073</v>
          </cell>
          <cell r="D101">
            <v>18</v>
          </cell>
          <cell r="E101">
            <v>22354</v>
          </cell>
          <cell r="F101">
            <v>868</v>
          </cell>
          <cell r="G101">
            <v>34078</v>
          </cell>
          <cell r="H101">
            <v>34225</v>
          </cell>
          <cell r="L101">
            <v>34225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-792</v>
          </cell>
          <cell r="F102">
            <v>-13</v>
          </cell>
          <cell r="G102">
            <v>-805</v>
          </cell>
          <cell r="H102">
            <v>-805</v>
          </cell>
          <cell r="L102">
            <v>-805</v>
          </cell>
        </row>
        <row r="103">
          <cell r="B103">
            <v>7765</v>
          </cell>
          <cell r="C103">
            <v>3073</v>
          </cell>
          <cell r="D103">
            <v>18</v>
          </cell>
          <cell r="E103">
            <v>21562</v>
          </cell>
          <cell r="F103">
            <v>855</v>
          </cell>
          <cell r="G103">
            <v>33273</v>
          </cell>
          <cell r="H103">
            <v>147</v>
          </cell>
          <cell r="I103">
            <v>147</v>
          </cell>
          <cell r="J103">
            <v>33420</v>
          </cell>
          <cell r="K103">
            <v>0</v>
          </cell>
          <cell r="L103">
            <v>33420</v>
          </cell>
        </row>
        <row r="106">
          <cell r="B106">
            <v>545</v>
          </cell>
          <cell r="C106">
            <v>129</v>
          </cell>
          <cell r="D106">
            <v>0</v>
          </cell>
          <cell r="E106">
            <v>539</v>
          </cell>
          <cell r="F106">
            <v>235</v>
          </cell>
          <cell r="G106">
            <v>1448</v>
          </cell>
          <cell r="H106">
            <v>1448</v>
          </cell>
          <cell r="L106">
            <v>1448</v>
          </cell>
        </row>
        <row r="107">
          <cell r="B107">
            <v>265</v>
          </cell>
          <cell r="C107">
            <v>400</v>
          </cell>
          <cell r="D107">
            <v>0</v>
          </cell>
          <cell r="E107">
            <v>0</v>
          </cell>
          <cell r="F107">
            <v>0</v>
          </cell>
          <cell r="G107">
            <v>665</v>
          </cell>
          <cell r="H107">
            <v>665</v>
          </cell>
          <cell r="L107">
            <v>665</v>
          </cell>
        </row>
        <row r="108">
          <cell r="B108">
            <v>390</v>
          </cell>
          <cell r="C108">
            <v>0</v>
          </cell>
          <cell r="D108">
            <v>0</v>
          </cell>
          <cell r="E108">
            <v>226</v>
          </cell>
          <cell r="F108">
            <v>0</v>
          </cell>
          <cell r="G108">
            <v>616</v>
          </cell>
          <cell r="H108">
            <v>616</v>
          </cell>
          <cell r="L108">
            <v>616</v>
          </cell>
        </row>
        <row r="109">
          <cell r="B109">
            <v>2363</v>
          </cell>
          <cell r="C109">
            <v>0</v>
          </cell>
          <cell r="D109">
            <v>-66</v>
          </cell>
          <cell r="E109">
            <v>-669</v>
          </cell>
          <cell r="F109">
            <v>-741</v>
          </cell>
          <cell r="G109">
            <v>887</v>
          </cell>
          <cell r="H109">
            <v>11</v>
          </cell>
          <cell r="I109">
            <v>147</v>
          </cell>
          <cell r="J109">
            <v>11</v>
          </cell>
          <cell r="K109">
            <v>147</v>
          </cell>
          <cell r="L109">
            <v>740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1</v>
          </cell>
          <cell r="G110">
            <v>1</v>
          </cell>
          <cell r="H110">
            <v>1</v>
          </cell>
          <cell r="L110">
            <v>1</v>
          </cell>
        </row>
        <row r="111">
          <cell r="B111">
            <v>174</v>
          </cell>
          <cell r="C111">
            <v>35</v>
          </cell>
          <cell r="D111">
            <v>0</v>
          </cell>
          <cell r="E111">
            <v>240</v>
          </cell>
          <cell r="F111">
            <v>152</v>
          </cell>
          <cell r="G111">
            <v>601</v>
          </cell>
          <cell r="H111">
            <v>7</v>
          </cell>
          <cell r="I111">
            <v>154</v>
          </cell>
          <cell r="J111">
            <v>7</v>
          </cell>
          <cell r="K111">
            <v>154</v>
          </cell>
          <cell r="L111">
            <v>447</v>
          </cell>
        </row>
        <row r="112">
          <cell r="B112">
            <v>135</v>
          </cell>
          <cell r="C112">
            <v>176</v>
          </cell>
          <cell r="D112">
            <v>0</v>
          </cell>
          <cell r="E112">
            <v>8</v>
          </cell>
          <cell r="F112">
            <v>1</v>
          </cell>
          <cell r="G112">
            <v>320</v>
          </cell>
          <cell r="H112">
            <v>320</v>
          </cell>
          <cell r="L112">
            <v>320</v>
          </cell>
        </row>
        <row r="113">
          <cell r="B113">
            <v>2</v>
          </cell>
          <cell r="C113">
            <v>3</v>
          </cell>
          <cell r="D113">
            <v>0</v>
          </cell>
          <cell r="E113">
            <v>6</v>
          </cell>
          <cell r="F113">
            <v>3</v>
          </cell>
          <cell r="G113">
            <v>14</v>
          </cell>
          <cell r="H113">
            <v>14</v>
          </cell>
          <cell r="L113">
            <v>14</v>
          </cell>
        </row>
        <row r="114">
          <cell r="B114">
            <v>3874</v>
          </cell>
          <cell r="C114">
            <v>743</v>
          </cell>
          <cell r="D114">
            <v>-66</v>
          </cell>
          <cell r="E114">
            <v>350</v>
          </cell>
          <cell r="F114">
            <v>-349</v>
          </cell>
          <cell r="G114">
            <v>4552</v>
          </cell>
          <cell r="H114">
            <v>0</v>
          </cell>
          <cell r="I114">
            <v>0</v>
          </cell>
          <cell r="J114">
            <v>4251</v>
          </cell>
          <cell r="K114">
            <v>301</v>
          </cell>
          <cell r="L114">
            <v>4251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6707</v>
          </cell>
          <cell r="F117">
            <v>0</v>
          </cell>
          <cell r="G117">
            <v>6707</v>
          </cell>
          <cell r="H117">
            <v>6707</v>
          </cell>
          <cell r="L117">
            <v>6707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3456</v>
          </cell>
          <cell r="F118">
            <v>5</v>
          </cell>
          <cell r="G118">
            <v>3461</v>
          </cell>
          <cell r="H118">
            <v>3461</v>
          </cell>
          <cell r="L118">
            <v>3461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1730</v>
          </cell>
          <cell r="F119">
            <v>0</v>
          </cell>
          <cell r="G119">
            <v>1730</v>
          </cell>
          <cell r="H119">
            <v>1730</v>
          </cell>
          <cell r="L119">
            <v>1730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11893</v>
          </cell>
          <cell r="F120">
            <v>5</v>
          </cell>
          <cell r="G120">
            <v>11898</v>
          </cell>
          <cell r="H120">
            <v>0</v>
          </cell>
          <cell r="I120">
            <v>0</v>
          </cell>
          <cell r="J120">
            <v>11898</v>
          </cell>
          <cell r="K120">
            <v>0</v>
          </cell>
          <cell r="L120">
            <v>11898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L122">
            <v>0</v>
          </cell>
        </row>
        <row r="124">
          <cell r="B124">
            <v>176</v>
          </cell>
          <cell r="C124">
            <v>0</v>
          </cell>
          <cell r="D124">
            <v>0</v>
          </cell>
          <cell r="E124">
            <v>578</v>
          </cell>
          <cell r="F124">
            <v>0</v>
          </cell>
          <cell r="G124">
            <v>754</v>
          </cell>
          <cell r="H124">
            <v>754</v>
          </cell>
          <cell r="L124">
            <v>754</v>
          </cell>
        </row>
        <row r="127">
          <cell r="B127">
            <v>5914</v>
          </cell>
          <cell r="C127">
            <v>5914</v>
          </cell>
          <cell r="D127">
            <v>1</v>
          </cell>
          <cell r="E127">
            <v>620</v>
          </cell>
          <cell r="F127">
            <v>4</v>
          </cell>
          <cell r="G127">
            <v>5914</v>
          </cell>
          <cell r="H127">
            <v>1</v>
          </cell>
          <cell r="I127">
            <v>620</v>
          </cell>
          <cell r="J127">
            <v>4</v>
          </cell>
          <cell r="K127">
            <v>2996</v>
          </cell>
          <cell r="L127">
            <v>0</v>
          </cell>
        </row>
        <row r="128">
          <cell r="J128">
            <v>6</v>
          </cell>
          <cell r="K128">
            <v>1</v>
          </cell>
        </row>
        <row r="129">
          <cell r="J129">
            <v>10</v>
          </cell>
          <cell r="K129">
            <v>3537</v>
          </cell>
        </row>
        <row r="130">
          <cell r="B130">
            <v>-10852</v>
          </cell>
          <cell r="C130">
            <v>-10852</v>
          </cell>
          <cell r="D130">
            <v>11</v>
          </cell>
          <cell r="E130">
            <v>10852</v>
          </cell>
          <cell r="F130">
            <v>0</v>
          </cell>
          <cell r="G130">
            <v>-10852</v>
          </cell>
          <cell r="H130">
            <v>11</v>
          </cell>
          <cell r="I130">
            <v>10852</v>
          </cell>
          <cell r="L130">
            <v>0</v>
          </cell>
        </row>
        <row r="131">
          <cell r="B131">
            <v>-4938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-4938</v>
          </cell>
          <cell r="H131">
            <v>0</v>
          </cell>
          <cell r="L131">
            <v>0</v>
          </cell>
        </row>
        <row r="132">
          <cell r="B132">
            <v>1829</v>
          </cell>
          <cell r="C132">
            <v>1829</v>
          </cell>
          <cell r="D132">
            <v>2</v>
          </cell>
          <cell r="E132">
            <v>437</v>
          </cell>
          <cell r="F132">
            <v>1</v>
          </cell>
          <cell r="G132">
            <v>1829</v>
          </cell>
          <cell r="H132">
            <v>2</v>
          </cell>
          <cell r="I132">
            <v>437</v>
          </cell>
          <cell r="J132">
            <v>1</v>
          </cell>
          <cell r="K132">
            <v>9882</v>
          </cell>
          <cell r="L132">
            <v>0</v>
          </cell>
        </row>
        <row r="133">
          <cell r="H133">
            <v>4</v>
          </cell>
          <cell r="I133">
            <v>3882</v>
          </cell>
        </row>
        <row r="134">
          <cell r="H134">
            <v>6</v>
          </cell>
          <cell r="I134">
            <v>197</v>
          </cell>
        </row>
        <row r="135">
          <cell r="H135">
            <v>10</v>
          </cell>
          <cell r="I135">
            <v>3537</v>
          </cell>
        </row>
        <row r="136">
          <cell r="B136">
            <v>-3109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-3109</v>
          </cell>
          <cell r="H136">
            <v>0</v>
          </cell>
          <cell r="L136">
            <v>0</v>
          </cell>
        </row>
        <row r="137">
          <cell r="B137">
            <v>8531</v>
          </cell>
          <cell r="C137">
            <v>8531</v>
          </cell>
          <cell r="D137">
            <v>11</v>
          </cell>
          <cell r="E137">
            <v>8531</v>
          </cell>
          <cell r="F137">
            <v>0</v>
          </cell>
          <cell r="G137">
            <v>8531</v>
          </cell>
          <cell r="J137">
            <v>11</v>
          </cell>
          <cell r="K137">
            <v>8531</v>
          </cell>
          <cell r="L137">
            <v>0</v>
          </cell>
        </row>
        <row r="138">
          <cell r="B138">
            <v>5422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5422</v>
          </cell>
          <cell r="H138">
            <v>0</v>
          </cell>
          <cell r="L138">
            <v>0</v>
          </cell>
        </row>
        <row r="139">
          <cell r="B139">
            <v>20446</v>
          </cell>
          <cell r="C139">
            <v>-1114</v>
          </cell>
          <cell r="D139">
            <v>-1114</v>
          </cell>
          <cell r="E139">
            <v>-19332</v>
          </cell>
          <cell r="F139">
            <v>0</v>
          </cell>
          <cell r="G139">
            <v>0</v>
          </cell>
          <cell r="L139">
            <v>0</v>
          </cell>
        </row>
        <row r="140">
          <cell r="B140">
            <v>25868</v>
          </cell>
          <cell r="C140">
            <v>0</v>
          </cell>
          <cell r="D140">
            <v>-1114</v>
          </cell>
          <cell r="E140">
            <v>-19332</v>
          </cell>
          <cell r="F140">
            <v>0</v>
          </cell>
          <cell r="G140">
            <v>5422</v>
          </cell>
          <cell r="H140">
            <v>19525</v>
          </cell>
          <cell r="I140">
            <v>19525</v>
          </cell>
          <cell r="J140">
            <v>0</v>
          </cell>
          <cell r="K140">
            <v>24947</v>
          </cell>
          <cell r="L140">
            <v>0</v>
          </cell>
        </row>
        <row r="141">
          <cell r="B141">
            <v>25868</v>
          </cell>
          <cell r="C141">
            <v>0</v>
          </cell>
          <cell r="D141">
            <v>-1114</v>
          </cell>
          <cell r="E141">
            <v>-19332</v>
          </cell>
          <cell r="F141">
            <v>0</v>
          </cell>
          <cell r="G141">
            <v>5422</v>
          </cell>
        </row>
        <row r="143">
          <cell r="B143">
            <v>5779</v>
          </cell>
          <cell r="C143">
            <v>721</v>
          </cell>
          <cell r="D143">
            <v>288</v>
          </cell>
          <cell r="E143">
            <v>26548</v>
          </cell>
          <cell r="F143">
            <v>274</v>
          </cell>
          <cell r="G143">
            <v>33610</v>
          </cell>
          <cell r="H143">
            <v>33610</v>
          </cell>
          <cell r="L143">
            <v>33610</v>
          </cell>
        </row>
        <row r="145">
          <cell r="B145">
            <v>-2190</v>
          </cell>
          <cell r="C145">
            <v>-190</v>
          </cell>
          <cell r="D145">
            <v>-102</v>
          </cell>
          <cell r="E145">
            <v>-22504</v>
          </cell>
          <cell r="F145">
            <v>-32</v>
          </cell>
          <cell r="G145">
            <v>-25018</v>
          </cell>
          <cell r="H145">
            <v>-25018</v>
          </cell>
          <cell r="L145">
            <v>-25018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1</v>
          </cell>
          <cell r="I148">
            <v>1234</v>
          </cell>
          <cell r="J148">
            <v>10852</v>
          </cell>
          <cell r="L148">
            <v>10852</v>
          </cell>
        </row>
        <row r="149">
          <cell r="H149">
            <v>4</v>
          </cell>
          <cell r="I149">
            <v>9618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1</v>
          </cell>
          <cell r="I150">
            <v>616</v>
          </cell>
          <cell r="J150">
            <v>1</v>
          </cell>
          <cell r="K150">
            <v>616</v>
          </cell>
          <cell r="L150">
            <v>-2321</v>
          </cell>
        </row>
        <row r="151">
          <cell r="J151">
            <v>4</v>
          </cell>
          <cell r="K151">
            <v>1705</v>
          </cell>
        </row>
        <row r="152"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8531</v>
          </cell>
          <cell r="L152">
            <v>8531</v>
          </cell>
        </row>
        <row r="153">
          <cell r="B153">
            <v>0</v>
          </cell>
          <cell r="C153">
            <v>0</v>
          </cell>
          <cell r="D153">
            <v>938</v>
          </cell>
          <cell r="E153">
            <v>0</v>
          </cell>
          <cell r="F153">
            <v>0</v>
          </cell>
          <cell r="G153">
            <v>938</v>
          </cell>
          <cell r="H153">
            <v>938</v>
          </cell>
          <cell r="L153">
            <v>938</v>
          </cell>
        </row>
        <row r="154">
          <cell r="B154">
            <v>0</v>
          </cell>
          <cell r="C154">
            <v>0</v>
          </cell>
          <cell r="D154">
            <v>-469</v>
          </cell>
          <cell r="E154">
            <v>0</v>
          </cell>
          <cell r="F154">
            <v>0</v>
          </cell>
          <cell r="G154">
            <v>-469</v>
          </cell>
          <cell r="H154">
            <v>-469</v>
          </cell>
          <cell r="L154">
            <v>-469</v>
          </cell>
        </row>
        <row r="155">
          <cell r="B155">
            <v>0</v>
          </cell>
          <cell r="C155">
            <v>0</v>
          </cell>
          <cell r="D155">
            <v>469</v>
          </cell>
          <cell r="E155">
            <v>0</v>
          </cell>
          <cell r="F155">
            <v>0</v>
          </cell>
          <cell r="G155">
            <v>469</v>
          </cell>
          <cell r="H155">
            <v>469</v>
          </cell>
          <cell r="L155">
            <v>469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96</v>
          </cell>
          <cell r="F156">
            <v>0</v>
          </cell>
          <cell r="G156">
            <v>96</v>
          </cell>
          <cell r="H156">
            <v>96</v>
          </cell>
          <cell r="L156">
            <v>96</v>
          </cell>
        </row>
        <row r="157">
          <cell r="B157">
            <v>384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384</v>
          </cell>
          <cell r="H157">
            <v>384</v>
          </cell>
          <cell r="L157">
            <v>384</v>
          </cell>
        </row>
        <row r="158">
          <cell r="B158">
            <v>384</v>
          </cell>
          <cell r="C158">
            <v>0</v>
          </cell>
          <cell r="D158">
            <v>469</v>
          </cell>
          <cell r="E158">
            <v>96</v>
          </cell>
          <cell r="F158">
            <v>0</v>
          </cell>
          <cell r="G158">
            <v>949</v>
          </cell>
          <cell r="H158">
            <v>10852</v>
          </cell>
          <cell r="I158">
            <v>10852</v>
          </cell>
          <cell r="J158">
            <v>9480</v>
          </cell>
          <cell r="K158">
            <v>2321</v>
          </cell>
          <cell r="L158">
            <v>9480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-15</v>
          </cell>
          <cell r="F161">
            <v>0</v>
          </cell>
          <cell r="G161">
            <v>-15</v>
          </cell>
          <cell r="H161">
            <v>-15</v>
          </cell>
          <cell r="L161">
            <v>-15</v>
          </cell>
        </row>
        <row r="162">
          <cell r="B162">
            <v>0</v>
          </cell>
          <cell r="C162">
            <v>0</v>
          </cell>
          <cell r="D162">
            <v>0</v>
          </cell>
          <cell r="E162">
            <v>-1143</v>
          </cell>
          <cell r="F162">
            <v>0</v>
          </cell>
          <cell r="G162">
            <v>-1143</v>
          </cell>
          <cell r="H162">
            <v>-1143</v>
          </cell>
          <cell r="L162">
            <v>-1143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-1158</v>
          </cell>
          <cell r="F163">
            <v>0</v>
          </cell>
          <cell r="G163">
            <v>-1158</v>
          </cell>
          <cell r="H163">
            <v>0</v>
          </cell>
          <cell r="I163">
            <v>0</v>
          </cell>
          <cell r="J163">
            <v>-1158</v>
          </cell>
          <cell r="K163">
            <v>0</v>
          </cell>
          <cell r="L163">
            <v>-1158</v>
          </cell>
        </row>
        <row r="166">
          <cell r="B166">
            <v>-663</v>
          </cell>
          <cell r="C166">
            <v>-154</v>
          </cell>
          <cell r="D166">
            <v>-10</v>
          </cell>
          <cell r="E166">
            <v>-17072</v>
          </cell>
          <cell r="F166">
            <v>-489</v>
          </cell>
          <cell r="G166">
            <v>-18388</v>
          </cell>
          <cell r="H166">
            <v>-18388</v>
          </cell>
          <cell r="L166">
            <v>-18388</v>
          </cell>
        </row>
        <row r="167">
          <cell r="B167">
            <v>-280</v>
          </cell>
          <cell r="C167">
            <v>-1042</v>
          </cell>
          <cell r="D167">
            <v>-26</v>
          </cell>
          <cell r="E167">
            <v>0</v>
          </cell>
          <cell r="F167">
            <v>0</v>
          </cell>
          <cell r="G167">
            <v>-1348</v>
          </cell>
          <cell r="H167">
            <v>-1348</v>
          </cell>
          <cell r="L167">
            <v>-1348</v>
          </cell>
        </row>
        <row r="168">
          <cell r="B168">
            <v>-943</v>
          </cell>
          <cell r="C168">
            <v>-1196</v>
          </cell>
          <cell r="D168">
            <v>-36</v>
          </cell>
          <cell r="E168">
            <v>-17072</v>
          </cell>
          <cell r="F168">
            <v>-489</v>
          </cell>
          <cell r="G168">
            <v>-19736</v>
          </cell>
          <cell r="H168">
            <v>0</v>
          </cell>
          <cell r="I168">
            <v>0</v>
          </cell>
          <cell r="J168">
            <v>-19736</v>
          </cell>
          <cell r="K168">
            <v>0</v>
          </cell>
          <cell r="L168">
            <v>-19736</v>
          </cell>
        </row>
        <row r="171">
          <cell r="B171">
            <v>-2828</v>
          </cell>
          <cell r="C171">
            <v>-2999</v>
          </cell>
          <cell r="D171">
            <v>-49</v>
          </cell>
          <cell r="E171">
            <v>-3815</v>
          </cell>
          <cell r="F171">
            <v>-103</v>
          </cell>
          <cell r="G171">
            <v>-9794</v>
          </cell>
          <cell r="H171">
            <v>-9794</v>
          </cell>
          <cell r="L171">
            <v>-9794</v>
          </cell>
        </row>
        <row r="172">
          <cell r="B172">
            <v>-9755</v>
          </cell>
          <cell r="C172">
            <v>9755</v>
          </cell>
          <cell r="D172">
            <v>0</v>
          </cell>
          <cell r="E172">
            <v>-107</v>
          </cell>
          <cell r="F172">
            <v>0</v>
          </cell>
          <cell r="G172">
            <v>-107</v>
          </cell>
          <cell r="H172">
            <v>-107</v>
          </cell>
          <cell r="L172">
            <v>-107</v>
          </cell>
        </row>
        <row r="173">
          <cell r="B173">
            <v>0</v>
          </cell>
          <cell r="C173">
            <v>-6624</v>
          </cell>
          <cell r="D173">
            <v>0</v>
          </cell>
          <cell r="E173">
            <v>0</v>
          </cell>
          <cell r="F173">
            <v>0</v>
          </cell>
          <cell r="G173">
            <v>-6624</v>
          </cell>
          <cell r="H173">
            <v>-6624</v>
          </cell>
          <cell r="L173">
            <v>-6624</v>
          </cell>
        </row>
        <row r="174">
          <cell r="B174">
            <v>-4029</v>
          </cell>
          <cell r="C174">
            <v>0</v>
          </cell>
          <cell r="D174">
            <v>0</v>
          </cell>
          <cell r="E174">
            <v>-585</v>
          </cell>
          <cell r="F174">
            <v>0</v>
          </cell>
          <cell r="G174">
            <v>-4614</v>
          </cell>
          <cell r="H174">
            <v>-4614</v>
          </cell>
          <cell r="L174">
            <v>-4614</v>
          </cell>
        </row>
        <row r="175">
          <cell r="B175">
            <v>-134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-134</v>
          </cell>
          <cell r="H175">
            <v>-134</v>
          </cell>
          <cell r="L175">
            <v>-134</v>
          </cell>
        </row>
        <row r="176">
          <cell r="B176">
            <v>-283</v>
          </cell>
          <cell r="C176">
            <v>-226</v>
          </cell>
          <cell r="D176">
            <v>-21</v>
          </cell>
          <cell r="E176">
            <v>-1283</v>
          </cell>
          <cell r="F176">
            <v>-203</v>
          </cell>
          <cell r="G176">
            <v>-2016</v>
          </cell>
          <cell r="H176">
            <v>-2016</v>
          </cell>
          <cell r="L176">
            <v>-2016</v>
          </cell>
        </row>
        <row r="177">
          <cell r="B177">
            <v>0</v>
          </cell>
          <cell r="C177">
            <v>-2</v>
          </cell>
          <cell r="D177">
            <v>0</v>
          </cell>
          <cell r="E177">
            <v>-3</v>
          </cell>
          <cell r="F177">
            <v>-3</v>
          </cell>
          <cell r="G177">
            <v>-8</v>
          </cell>
          <cell r="H177">
            <v>-8</v>
          </cell>
          <cell r="L177">
            <v>-8</v>
          </cell>
        </row>
        <row r="178">
          <cell r="B178">
            <v>-17029</v>
          </cell>
          <cell r="C178">
            <v>-96</v>
          </cell>
          <cell r="D178">
            <v>-70</v>
          </cell>
          <cell r="E178">
            <v>-5793</v>
          </cell>
          <cell r="F178">
            <v>-309</v>
          </cell>
          <cell r="G178">
            <v>-23297</v>
          </cell>
          <cell r="H178">
            <v>0</v>
          </cell>
          <cell r="I178">
            <v>0</v>
          </cell>
          <cell r="J178">
            <v>-23297</v>
          </cell>
          <cell r="K178">
            <v>0</v>
          </cell>
          <cell r="L178">
            <v>-23297</v>
          </cell>
        </row>
        <row r="181">
          <cell r="B181">
            <v>-1227</v>
          </cell>
          <cell r="C181">
            <v>-364</v>
          </cell>
          <cell r="D181">
            <v>-3</v>
          </cell>
          <cell r="E181">
            <v>-1548</v>
          </cell>
          <cell r="F181">
            <v>-2</v>
          </cell>
          <cell r="G181">
            <v>-3144</v>
          </cell>
          <cell r="H181">
            <v>-3144</v>
          </cell>
          <cell r="L181">
            <v>-3144</v>
          </cell>
        </row>
        <row r="182">
          <cell r="B182">
            <v>18</v>
          </cell>
          <cell r="C182">
            <v>0</v>
          </cell>
          <cell r="D182">
            <v>0</v>
          </cell>
          <cell r="E182">
            <v>283</v>
          </cell>
          <cell r="F182">
            <v>0</v>
          </cell>
          <cell r="G182">
            <v>301</v>
          </cell>
          <cell r="H182">
            <v>301</v>
          </cell>
          <cell r="L182">
            <v>301</v>
          </cell>
        </row>
        <row r="183">
          <cell r="B183">
            <v>-1209</v>
          </cell>
          <cell r="C183">
            <v>-364</v>
          </cell>
          <cell r="D183">
            <v>-3</v>
          </cell>
          <cell r="E183">
            <v>-1265</v>
          </cell>
          <cell r="F183">
            <v>-2</v>
          </cell>
          <cell r="G183">
            <v>-2843</v>
          </cell>
          <cell r="H183">
            <v>0</v>
          </cell>
          <cell r="I183">
            <v>0</v>
          </cell>
          <cell r="J183">
            <v>-2843</v>
          </cell>
          <cell r="K183">
            <v>0</v>
          </cell>
          <cell r="L183">
            <v>-2843</v>
          </cell>
        </row>
        <row r="186">
          <cell r="B186">
            <v>0</v>
          </cell>
          <cell r="C186">
            <v>0</v>
          </cell>
          <cell r="D186">
            <v>0</v>
          </cell>
          <cell r="E186">
            <v>-5183</v>
          </cell>
          <cell r="F186">
            <v>0</v>
          </cell>
          <cell r="G186">
            <v>-5183</v>
          </cell>
          <cell r="H186">
            <v>-5183</v>
          </cell>
          <cell r="L186">
            <v>-5183</v>
          </cell>
        </row>
        <row r="187">
          <cell r="G187">
            <v>0</v>
          </cell>
          <cell r="H187">
            <v>0</v>
          </cell>
          <cell r="L187">
            <v>0</v>
          </cell>
        </row>
        <row r="188">
          <cell r="B188">
            <v>0</v>
          </cell>
          <cell r="C188">
            <v>0</v>
          </cell>
          <cell r="D188">
            <v>0</v>
          </cell>
          <cell r="E188">
            <v>-5183</v>
          </cell>
          <cell r="F188">
            <v>0</v>
          </cell>
          <cell r="G188">
            <v>-5183</v>
          </cell>
          <cell r="H188">
            <v>0</v>
          </cell>
          <cell r="I188">
            <v>0</v>
          </cell>
          <cell r="J188">
            <v>-5183</v>
          </cell>
          <cell r="K188">
            <v>0</v>
          </cell>
          <cell r="L188">
            <v>-5183</v>
          </cell>
        </row>
        <row r="190">
          <cell r="B190">
            <v>0</v>
          </cell>
          <cell r="C190">
            <v>-5300</v>
          </cell>
          <cell r="D190">
            <v>0</v>
          </cell>
          <cell r="E190">
            <v>0</v>
          </cell>
          <cell r="F190">
            <v>0</v>
          </cell>
          <cell r="G190">
            <v>-5300</v>
          </cell>
          <cell r="H190">
            <v>1</v>
          </cell>
          <cell r="I190">
            <v>5300</v>
          </cell>
          <cell r="J190">
            <v>0</v>
          </cell>
          <cell r="L190">
            <v>0</v>
          </cell>
        </row>
        <row r="193">
          <cell r="B193">
            <v>-11911</v>
          </cell>
          <cell r="C193">
            <v>0</v>
          </cell>
          <cell r="D193">
            <v>0</v>
          </cell>
          <cell r="E193">
            <v>-4230</v>
          </cell>
          <cell r="F193">
            <v>-1</v>
          </cell>
          <cell r="G193">
            <v>-16142</v>
          </cell>
          <cell r="H193">
            <v>4</v>
          </cell>
          <cell r="I193">
            <v>4230</v>
          </cell>
          <cell r="J193">
            <v>-11911</v>
          </cell>
          <cell r="L193">
            <v>-11911</v>
          </cell>
        </row>
        <row r="194">
          <cell r="H194">
            <v>6</v>
          </cell>
          <cell r="I194">
            <v>1</v>
          </cell>
        </row>
        <row r="195">
          <cell r="B195">
            <v>-23732</v>
          </cell>
          <cell r="C195">
            <v>-4840</v>
          </cell>
          <cell r="D195">
            <v>0</v>
          </cell>
          <cell r="E195">
            <v>-4112</v>
          </cell>
          <cell r="F195">
            <v>0</v>
          </cell>
          <cell r="G195">
            <v>-32684</v>
          </cell>
          <cell r="H195">
            <v>1</v>
          </cell>
          <cell r="I195">
            <v>4840</v>
          </cell>
          <cell r="J195">
            <v>-23732</v>
          </cell>
          <cell r="L195">
            <v>-23732</v>
          </cell>
        </row>
        <row r="196">
          <cell r="H196">
            <v>4</v>
          </cell>
          <cell r="I196">
            <v>4112</v>
          </cell>
        </row>
        <row r="198">
          <cell r="B198">
            <v>-35643</v>
          </cell>
          <cell r="C198">
            <v>-4840</v>
          </cell>
          <cell r="D198">
            <v>0</v>
          </cell>
          <cell r="E198">
            <v>-8342</v>
          </cell>
          <cell r="F198">
            <v>-1</v>
          </cell>
          <cell r="G198">
            <v>-48826</v>
          </cell>
          <cell r="H198">
            <v>13183</v>
          </cell>
          <cell r="I198">
            <v>13183</v>
          </cell>
          <cell r="J198">
            <v>-35643</v>
          </cell>
          <cell r="K198">
            <v>0</v>
          </cell>
          <cell r="L198">
            <v>-35643</v>
          </cell>
        </row>
        <row r="201">
          <cell r="B201">
            <v>344</v>
          </cell>
          <cell r="C201">
            <v>5952</v>
          </cell>
          <cell r="D201">
            <v>292</v>
          </cell>
          <cell r="E201">
            <v>13909</v>
          </cell>
          <cell r="F201">
            <v>0</v>
          </cell>
          <cell r="G201">
            <v>20497</v>
          </cell>
          <cell r="H201">
            <v>1</v>
          </cell>
          <cell r="I201">
            <v>5952</v>
          </cell>
          <cell r="J201">
            <v>1</v>
          </cell>
          <cell r="K201">
            <v>5952</v>
          </cell>
          <cell r="L201">
            <v>344</v>
          </cell>
        </row>
        <row r="202">
          <cell r="J202">
            <v>2</v>
          </cell>
          <cell r="K202">
            <v>292</v>
          </cell>
        </row>
        <row r="203">
          <cell r="J203">
            <v>4</v>
          </cell>
          <cell r="K203">
            <v>13909</v>
          </cell>
        </row>
        <row r="204">
          <cell r="B204">
            <v>530</v>
          </cell>
          <cell r="C204">
            <v>-3840</v>
          </cell>
          <cell r="D204">
            <v>145</v>
          </cell>
          <cell r="E204">
            <v>4937</v>
          </cell>
          <cell r="F204">
            <v>43</v>
          </cell>
          <cell r="G204">
            <v>1815</v>
          </cell>
          <cell r="H204">
            <v>530</v>
          </cell>
          <cell r="L204">
            <v>530</v>
          </cell>
        </row>
        <row r="205">
          <cell r="B205">
            <v>874</v>
          </cell>
          <cell r="C205">
            <v>2112</v>
          </cell>
          <cell r="D205">
            <v>437</v>
          </cell>
          <cell r="E205">
            <v>18846</v>
          </cell>
          <cell r="F205">
            <v>43</v>
          </cell>
          <cell r="G205">
            <v>22312</v>
          </cell>
          <cell r="H205">
            <v>0</v>
          </cell>
          <cell r="I205">
            <v>0</v>
          </cell>
          <cell r="J205">
            <v>874</v>
          </cell>
          <cell r="K205">
            <v>20153</v>
          </cell>
          <cell r="L205">
            <v>874</v>
          </cell>
        </row>
        <row r="208">
          <cell r="B208">
            <v>18662</v>
          </cell>
          <cell r="C208">
            <v>10045</v>
          </cell>
          <cell r="D208">
            <v>389</v>
          </cell>
          <cell r="E208">
            <v>0</v>
          </cell>
          <cell r="F208">
            <v>0</v>
          </cell>
          <cell r="G208">
            <v>29096</v>
          </cell>
          <cell r="H208">
            <v>29096</v>
          </cell>
          <cell r="L208">
            <v>29096</v>
          </cell>
        </row>
        <row r="209">
          <cell r="B209">
            <v>4626</v>
          </cell>
          <cell r="C209">
            <v>3331</v>
          </cell>
          <cell r="D209">
            <v>294</v>
          </cell>
          <cell r="E209">
            <v>0</v>
          </cell>
          <cell r="F209">
            <v>0</v>
          </cell>
          <cell r="G209">
            <v>8251</v>
          </cell>
          <cell r="H209">
            <v>3</v>
          </cell>
          <cell r="I209">
            <v>148</v>
          </cell>
          <cell r="J209">
            <v>3</v>
          </cell>
          <cell r="K209">
            <v>148</v>
          </cell>
          <cell r="L209">
            <v>7949</v>
          </cell>
        </row>
        <row r="210">
          <cell r="J210">
            <v>9</v>
          </cell>
          <cell r="K210">
            <v>154</v>
          </cell>
        </row>
        <row r="211">
          <cell r="B211">
            <v>615</v>
          </cell>
          <cell r="C211">
            <v>94</v>
          </cell>
          <cell r="D211">
            <v>239</v>
          </cell>
          <cell r="E211">
            <v>0</v>
          </cell>
          <cell r="F211">
            <v>0</v>
          </cell>
          <cell r="G211">
            <v>948</v>
          </cell>
          <cell r="H211">
            <v>948</v>
          </cell>
          <cell r="L211">
            <v>948</v>
          </cell>
        </row>
        <row r="212">
          <cell r="B212">
            <v>23903</v>
          </cell>
          <cell r="C212">
            <v>13470</v>
          </cell>
          <cell r="D212">
            <v>922</v>
          </cell>
          <cell r="E212">
            <v>0</v>
          </cell>
          <cell r="F212">
            <v>0</v>
          </cell>
          <cell r="G212">
            <v>38295</v>
          </cell>
          <cell r="H212">
            <v>0</v>
          </cell>
          <cell r="I212">
            <v>0</v>
          </cell>
          <cell r="J212">
            <v>37993</v>
          </cell>
          <cell r="K212">
            <v>302</v>
          </cell>
          <cell r="L212">
            <v>37993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9337</v>
          </cell>
          <cell r="F215">
            <v>0</v>
          </cell>
          <cell r="G215">
            <v>9337</v>
          </cell>
          <cell r="H215">
            <v>9337</v>
          </cell>
          <cell r="L215">
            <v>9337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77313</v>
          </cell>
          <cell r="F216">
            <v>2504</v>
          </cell>
          <cell r="G216">
            <v>79817</v>
          </cell>
          <cell r="H216">
            <v>8</v>
          </cell>
          <cell r="I216">
            <v>122</v>
          </cell>
          <cell r="J216">
            <v>8</v>
          </cell>
          <cell r="K216">
            <v>122</v>
          </cell>
          <cell r="L216">
            <v>79695</v>
          </cell>
        </row>
        <row r="217">
          <cell r="B217">
            <v>0</v>
          </cell>
          <cell r="C217">
            <v>0</v>
          </cell>
          <cell r="D217">
            <v>0</v>
          </cell>
          <cell r="E217">
            <v>-6707</v>
          </cell>
          <cell r="F217">
            <v>0</v>
          </cell>
          <cell r="G217">
            <v>-6707</v>
          </cell>
          <cell r="H217">
            <v>-6707</v>
          </cell>
          <cell r="L217">
            <v>-6707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79943</v>
          </cell>
          <cell r="F218">
            <v>2504</v>
          </cell>
          <cell r="G218">
            <v>82447</v>
          </cell>
          <cell r="H218">
            <v>0</v>
          </cell>
          <cell r="I218">
            <v>0</v>
          </cell>
          <cell r="J218">
            <v>82325</v>
          </cell>
          <cell r="K218">
            <v>122</v>
          </cell>
          <cell r="L218">
            <v>82325</v>
          </cell>
        </row>
        <row r="221">
          <cell r="B221">
            <v>0</v>
          </cell>
          <cell r="C221">
            <v>0</v>
          </cell>
          <cell r="D221">
            <v>0</v>
          </cell>
          <cell r="E221">
            <v>14556</v>
          </cell>
          <cell r="F221">
            <v>561</v>
          </cell>
          <cell r="G221">
            <v>15117</v>
          </cell>
          <cell r="H221">
            <v>15117</v>
          </cell>
          <cell r="L221">
            <v>15117</v>
          </cell>
        </row>
        <row r="222">
          <cell r="B222">
            <v>0</v>
          </cell>
          <cell r="C222">
            <v>0</v>
          </cell>
          <cell r="D222">
            <v>0</v>
          </cell>
          <cell r="E222">
            <v>3744</v>
          </cell>
          <cell r="F222">
            <v>41</v>
          </cell>
          <cell r="G222">
            <v>3785</v>
          </cell>
          <cell r="H222">
            <v>3785</v>
          </cell>
          <cell r="L222">
            <v>3785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2306</v>
          </cell>
          <cell r="F223">
            <v>75</v>
          </cell>
          <cell r="G223">
            <v>2381</v>
          </cell>
          <cell r="H223">
            <v>2381</v>
          </cell>
          <cell r="L223">
            <v>2381</v>
          </cell>
        </row>
        <row r="224">
          <cell r="B224">
            <v>0</v>
          </cell>
          <cell r="C224">
            <v>0</v>
          </cell>
          <cell r="D224">
            <v>0</v>
          </cell>
          <cell r="E224">
            <v>1656</v>
          </cell>
          <cell r="F224">
            <v>43</v>
          </cell>
          <cell r="G224">
            <v>1699</v>
          </cell>
          <cell r="H224">
            <v>1699</v>
          </cell>
          <cell r="L224">
            <v>1699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1308</v>
          </cell>
          <cell r="F225">
            <v>68</v>
          </cell>
          <cell r="G225">
            <v>1376</v>
          </cell>
          <cell r="H225">
            <v>1376</v>
          </cell>
          <cell r="L225">
            <v>1376</v>
          </cell>
        </row>
        <row r="226">
          <cell r="B226">
            <v>0</v>
          </cell>
          <cell r="C226">
            <v>0</v>
          </cell>
          <cell r="D226">
            <v>0</v>
          </cell>
          <cell r="E226">
            <v>572</v>
          </cell>
          <cell r="F226">
            <v>200</v>
          </cell>
          <cell r="G226">
            <v>772</v>
          </cell>
          <cell r="H226">
            <v>772</v>
          </cell>
          <cell r="L226">
            <v>772</v>
          </cell>
        </row>
        <row r="227">
          <cell r="B227">
            <v>0</v>
          </cell>
          <cell r="C227">
            <v>0</v>
          </cell>
          <cell r="D227">
            <v>0</v>
          </cell>
          <cell r="E227">
            <v>3329</v>
          </cell>
          <cell r="F227">
            <v>60</v>
          </cell>
          <cell r="G227">
            <v>3389</v>
          </cell>
          <cell r="H227">
            <v>3389</v>
          </cell>
          <cell r="L227">
            <v>3389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1149</v>
          </cell>
          <cell r="F228">
            <v>23</v>
          </cell>
          <cell r="G228">
            <v>1172</v>
          </cell>
          <cell r="H228">
            <v>1172</v>
          </cell>
          <cell r="L228">
            <v>1172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28620</v>
          </cell>
          <cell r="F229">
            <v>1071</v>
          </cell>
          <cell r="G229">
            <v>29691</v>
          </cell>
          <cell r="H229">
            <v>0</v>
          </cell>
          <cell r="I229">
            <v>0</v>
          </cell>
          <cell r="J229">
            <v>29691</v>
          </cell>
          <cell r="K229">
            <v>0</v>
          </cell>
          <cell r="L229">
            <v>29691</v>
          </cell>
        </row>
        <row r="232">
          <cell r="B232">
            <v>0</v>
          </cell>
          <cell r="C232">
            <v>0</v>
          </cell>
          <cell r="D232">
            <v>0</v>
          </cell>
          <cell r="E232">
            <v>5299</v>
          </cell>
          <cell r="F232">
            <v>178</v>
          </cell>
          <cell r="G232">
            <v>5477</v>
          </cell>
          <cell r="H232">
            <v>5477</v>
          </cell>
          <cell r="L232">
            <v>5477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287</v>
          </cell>
          <cell r="F233">
            <v>0</v>
          </cell>
          <cell r="G233">
            <v>287</v>
          </cell>
          <cell r="H233">
            <v>287</v>
          </cell>
          <cell r="L233">
            <v>287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136</v>
          </cell>
          <cell r="F234">
            <v>0</v>
          </cell>
          <cell r="G234">
            <v>136</v>
          </cell>
          <cell r="H234">
            <v>136</v>
          </cell>
          <cell r="L234">
            <v>136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858</v>
          </cell>
          <cell r="F235">
            <v>25</v>
          </cell>
          <cell r="G235">
            <v>883</v>
          </cell>
          <cell r="H235">
            <v>883</v>
          </cell>
          <cell r="L235">
            <v>883</v>
          </cell>
        </row>
        <row r="236">
          <cell r="B236">
            <v>0</v>
          </cell>
          <cell r="C236">
            <v>0</v>
          </cell>
          <cell r="D236">
            <v>0</v>
          </cell>
          <cell r="E236">
            <v>2684</v>
          </cell>
          <cell r="F236">
            <v>44</v>
          </cell>
          <cell r="G236">
            <v>2728</v>
          </cell>
          <cell r="H236">
            <v>2728</v>
          </cell>
          <cell r="L236">
            <v>2728</v>
          </cell>
        </row>
        <row r="237">
          <cell r="B237">
            <v>0</v>
          </cell>
          <cell r="C237">
            <v>0</v>
          </cell>
          <cell r="D237">
            <v>0</v>
          </cell>
          <cell r="E237">
            <v>9264</v>
          </cell>
          <cell r="F237">
            <v>247</v>
          </cell>
          <cell r="G237">
            <v>9511</v>
          </cell>
          <cell r="H237">
            <v>0</v>
          </cell>
          <cell r="I237">
            <v>0</v>
          </cell>
          <cell r="J237">
            <v>9511</v>
          </cell>
          <cell r="K237">
            <v>0</v>
          </cell>
          <cell r="L237">
            <v>9511</v>
          </cell>
        </row>
        <row r="240">
          <cell r="B240">
            <v>1250</v>
          </cell>
          <cell r="C240">
            <v>691</v>
          </cell>
          <cell r="D240">
            <v>0</v>
          </cell>
          <cell r="E240">
            <v>3929</v>
          </cell>
          <cell r="F240">
            <v>48</v>
          </cell>
          <cell r="G240">
            <v>5918</v>
          </cell>
          <cell r="H240">
            <v>5918</v>
          </cell>
          <cell r="L240">
            <v>5918</v>
          </cell>
        </row>
        <row r="241">
          <cell r="B241">
            <v>317</v>
          </cell>
          <cell r="C241">
            <v>181</v>
          </cell>
          <cell r="D241">
            <v>0</v>
          </cell>
          <cell r="E241">
            <v>482</v>
          </cell>
          <cell r="F241">
            <v>15</v>
          </cell>
          <cell r="G241">
            <v>995</v>
          </cell>
          <cell r="H241">
            <v>995</v>
          </cell>
          <cell r="L241">
            <v>995</v>
          </cell>
        </row>
        <row r="242">
          <cell r="B242">
            <v>311</v>
          </cell>
          <cell r="C242">
            <v>42</v>
          </cell>
          <cell r="D242">
            <v>16</v>
          </cell>
          <cell r="E242">
            <v>357</v>
          </cell>
          <cell r="F242">
            <v>35</v>
          </cell>
          <cell r="G242">
            <v>761</v>
          </cell>
          <cell r="H242">
            <v>761</v>
          </cell>
          <cell r="L242">
            <v>761</v>
          </cell>
        </row>
        <row r="243">
          <cell r="B243">
            <v>159</v>
          </cell>
          <cell r="C243">
            <v>0</v>
          </cell>
          <cell r="D243">
            <v>0</v>
          </cell>
          <cell r="E243">
            <v>497</v>
          </cell>
          <cell r="F243">
            <v>1</v>
          </cell>
          <cell r="G243">
            <v>657</v>
          </cell>
          <cell r="H243">
            <v>12</v>
          </cell>
          <cell r="I243">
            <v>1133</v>
          </cell>
          <cell r="J243">
            <v>1790</v>
          </cell>
          <cell r="L243">
            <v>1790</v>
          </cell>
        </row>
        <row r="244">
          <cell r="B244">
            <v>677</v>
          </cell>
          <cell r="C244">
            <v>35</v>
          </cell>
          <cell r="D244">
            <v>0</v>
          </cell>
          <cell r="E244">
            <v>1108</v>
          </cell>
          <cell r="F244">
            <v>53</v>
          </cell>
          <cell r="G244">
            <v>1873</v>
          </cell>
          <cell r="H244">
            <v>1873</v>
          </cell>
          <cell r="L244">
            <v>1873</v>
          </cell>
        </row>
        <row r="245">
          <cell r="B245">
            <v>2714</v>
          </cell>
          <cell r="C245">
            <v>949</v>
          </cell>
          <cell r="D245">
            <v>16</v>
          </cell>
          <cell r="E245">
            <v>6373</v>
          </cell>
          <cell r="F245">
            <v>152</v>
          </cell>
          <cell r="G245">
            <v>10204</v>
          </cell>
          <cell r="H245">
            <v>1133</v>
          </cell>
          <cell r="I245">
            <v>1133</v>
          </cell>
          <cell r="J245">
            <v>11337</v>
          </cell>
          <cell r="K245">
            <v>0</v>
          </cell>
          <cell r="L245">
            <v>11337</v>
          </cell>
        </row>
        <row r="248">
          <cell r="B248">
            <v>-5</v>
          </cell>
          <cell r="C248">
            <v>4</v>
          </cell>
          <cell r="D248">
            <v>0</v>
          </cell>
          <cell r="E248">
            <v>-503</v>
          </cell>
          <cell r="F248">
            <v>0</v>
          </cell>
          <cell r="G248">
            <v>-504</v>
          </cell>
          <cell r="H248">
            <v>7</v>
          </cell>
          <cell r="I248">
            <v>154</v>
          </cell>
          <cell r="J248">
            <v>-350</v>
          </cell>
          <cell r="L248">
            <v>-350</v>
          </cell>
        </row>
        <row r="249">
          <cell r="B249">
            <v>-562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-562</v>
          </cell>
          <cell r="H249">
            <v>-562</v>
          </cell>
          <cell r="L249">
            <v>-562</v>
          </cell>
        </row>
        <row r="250">
          <cell r="B250">
            <v>-567</v>
          </cell>
          <cell r="C250">
            <v>4</v>
          </cell>
          <cell r="D250">
            <v>0</v>
          </cell>
          <cell r="E250">
            <v>-503</v>
          </cell>
          <cell r="F250">
            <v>0</v>
          </cell>
          <cell r="G250">
            <v>-1066</v>
          </cell>
          <cell r="H250">
            <v>154</v>
          </cell>
          <cell r="I250">
            <v>154</v>
          </cell>
          <cell r="J250">
            <v>-912</v>
          </cell>
          <cell r="K250">
            <v>0</v>
          </cell>
          <cell r="L250">
            <v>-912</v>
          </cell>
        </row>
        <row r="253">
          <cell r="B253">
            <v>276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276</v>
          </cell>
          <cell r="H253">
            <v>276</v>
          </cell>
          <cell r="L253">
            <v>276</v>
          </cell>
        </row>
        <row r="254">
          <cell r="B254">
            <v>19</v>
          </cell>
          <cell r="C254">
            <v>0</v>
          </cell>
          <cell r="D254">
            <v>0</v>
          </cell>
          <cell r="E254">
            <v>634</v>
          </cell>
          <cell r="F254">
            <v>0</v>
          </cell>
          <cell r="G254">
            <v>653</v>
          </cell>
          <cell r="H254">
            <v>653</v>
          </cell>
          <cell r="L254">
            <v>653</v>
          </cell>
        </row>
        <row r="255">
          <cell r="B255">
            <v>-18</v>
          </cell>
          <cell r="C255">
            <v>-400</v>
          </cell>
          <cell r="D255">
            <v>0</v>
          </cell>
          <cell r="E255">
            <v>0</v>
          </cell>
          <cell r="F255">
            <v>0</v>
          </cell>
          <cell r="G255">
            <v>-418</v>
          </cell>
          <cell r="H255">
            <v>-418</v>
          </cell>
          <cell r="L255">
            <v>-418</v>
          </cell>
        </row>
        <row r="256">
          <cell r="B256">
            <v>277</v>
          </cell>
          <cell r="C256">
            <v>-400</v>
          </cell>
          <cell r="D256">
            <v>0</v>
          </cell>
          <cell r="E256">
            <v>634</v>
          </cell>
          <cell r="F256">
            <v>0</v>
          </cell>
          <cell r="G256">
            <v>511</v>
          </cell>
          <cell r="H256">
            <v>0</v>
          </cell>
          <cell r="I256">
            <v>0</v>
          </cell>
          <cell r="J256">
            <v>511</v>
          </cell>
          <cell r="K256">
            <v>0</v>
          </cell>
          <cell r="L256">
            <v>511</v>
          </cell>
        </row>
        <row r="259">
          <cell r="I259">
            <v>151403</v>
          </cell>
          <cell r="J259">
            <v>151274</v>
          </cell>
          <cell r="K259">
            <v>151274</v>
          </cell>
          <cell r="L259">
            <v>-129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>
        <row r="8">
          <cell r="B8">
            <v>12294</v>
          </cell>
        </row>
      </sheetData>
      <sheetData sheetId="21">
        <row r="8">
          <cell r="B8">
            <v>12294</v>
          </cell>
        </row>
      </sheetData>
      <sheetData sheetId="22">
        <row r="8">
          <cell r="B8">
            <v>12294</v>
          </cell>
        </row>
      </sheetData>
      <sheetData sheetId="23">
        <row r="8">
          <cell r="B8">
            <v>12294</v>
          </cell>
        </row>
      </sheetData>
      <sheetData sheetId="24">
        <row r="8">
          <cell r="B8">
            <v>12294</v>
          </cell>
        </row>
      </sheetData>
      <sheetData sheetId="25"/>
      <sheetData sheetId="26">
        <row r="8">
          <cell r="B8">
            <v>12294</v>
          </cell>
        </row>
      </sheetData>
      <sheetData sheetId="27">
        <row r="8">
          <cell r="B8">
            <v>12294</v>
          </cell>
        </row>
      </sheetData>
      <sheetData sheetId="28">
        <row r="8">
          <cell r="B8">
            <v>12294</v>
          </cell>
        </row>
      </sheetData>
      <sheetData sheetId="29">
        <row r="8">
          <cell r="B8">
            <v>12294</v>
          </cell>
        </row>
      </sheetData>
      <sheetData sheetId="30">
        <row r="8">
          <cell r="B8">
            <v>12294</v>
          </cell>
        </row>
      </sheetData>
      <sheetData sheetId="31"/>
      <sheetData sheetId="32">
        <row r="8">
          <cell r="B8">
            <v>12294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8">
          <cell r="B8">
            <v>12294</v>
          </cell>
        </row>
      </sheetData>
      <sheetData sheetId="57">
        <row r="8">
          <cell r="B8">
            <v>12294</v>
          </cell>
        </row>
      </sheetData>
      <sheetData sheetId="58">
        <row r="8">
          <cell r="B8">
            <v>12294</v>
          </cell>
        </row>
      </sheetData>
      <sheetData sheetId="59">
        <row r="8">
          <cell r="B8">
            <v>12294</v>
          </cell>
        </row>
      </sheetData>
      <sheetData sheetId="60">
        <row r="8">
          <cell r="B8">
            <v>12294</v>
          </cell>
        </row>
      </sheetData>
      <sheetData sheetId="61"/>
      <sheetData sheetId="62">
        <row r="8">
          <cell r="B8">
            <v>12294</v>
          </cell>
        </row>
      </sheetData>
      <sheetData sheetId="63"/>
      <sheetData sheetId="64">
        <row r="8">
          <cell r="B8">
            <v>12294</v>
          </cell>
        </row>
      </sheetData>
      <sheetData sheetId="65">
        <row r="8">
          <cell r="B8">
            <v>12294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>
        <row r="8">
          <cell r="B8">
            <v>12294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/>
      <sheetData sheetId="84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ט1392ד"/>
      <sheetName val="נ'6"/>
      <sheetName val="נ'7"/>
      <sheetName val="ר'7(1)"/>
      <sheetName val="ר'7(2)"/>
      <sheetName val="ר'7(3)"/>
      <sheetName val="ר'7(4)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3">
          <cell r="B13">
            <v>171.08</v>
          </cell>
        </row>
      </sheetData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 פיצויים"/>
      <sheetName val="מעגלים 6-1997"/>
      <sheetName val="גליון של ורד"/>
      <sheetName val="דוח פיצויים 1996"/>
      <sheetName val="מעגלים 1996"/>
      <sheetName val="מדדים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' נוספות"/>
      <sheetName val="פרוטים"/>
      <sheetName val="מס 99"/>
      <sheetName val="שמ&quot;מ מ&quot;ה"/>
      <sheetName val="מס-מד&quot;פ+טלפאואר"/>
      <sheetName val="מקדמות למס"/>
      <sheetName val="מיסים נדחים"/>
      <sheetName val="רווח הון קווי זהב"/>
      <sheetName val="MPS"/>
      <sheetName val="תזרים חברה"/>
      <sheetName val="תזרים מאוחד"/>
      <sheetName val="ריכוזים לדוח כספי"/>
      <sheetName val="טורים דולרי"/>
      <sheetName val="טורים נומינלי"/>
      <sheetName val="טורים מתואם"/>
      <sheetName val="תנועה בהשקעות"/>
      <sheetName val="מרכז ער&quot;ז"/>
      <sheetName val="יציאה מאיחוד נטקום"/>
      <sheetName val="מדריכי פנאי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' נוספות"/>
      <sheetName val="פרוטים"/>
      <sheetName val="מס 99"/>
      <sheetName val="שמ&quot;מ מ&quot;ה"/>
      <sheetName val="מס-מד&quot;פ+טלפאואר"/>
      <sheetName val="מקדמות למס"/>
      <sheetName val="מיסים נדחים"/>
      <sheetName val="רווח הון קווי זהב"/>
      <sheetName val="MPS"/>
      <sheetName val="תזרים חברה"/>
      <sheetName val="תזרים מאוחד"/>
      <sheetName val="ריכוזים לדוח כספי"/>
      <sheetName val="טורים דולרי"/>
      <sheetName val="טורים נומינלי"/>
      <sheetName val="טורים מתואם"/>
      <sheetName val="תנועה בהשקעות"/>
      <sheetName val="מרכז ער&quot;ז"/>
      <sheetName val="יציאה מאיחוד נטקום"/>
      <sheetName val="מדריכי פנאי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 מאוחד"/>
      <sheetName val="תזרים מאוחד"/>
      <sheetName val="וואלה ! סולו"/>
      <sheetName val="תזרים סולו"/>
      <sheetName val="טלטל"/>
      <sheetName val="וואלה שופמיינד"/>
      <sheetName val="שיווק פיננסים"/>
      <sheetName val="סבירות מימון"/>
      <sheetName val="השקעות"/>
      <sheetName val="אנליטי מאוחד"/>
      <sheetName val="היוון עלויות מו&quot;פ"/>
      <sheetName val="מעגל ר&quot;ק"/>
      <sheetName val="כניסה לאיחוד"/>
      <sheetName val="דוחות LTD"/>
      <sheetName val="נתונים לשינוי"/>
      <sheetName val="הגדרה"/>
      <sheetName val="מאזן + PN סולו"/>
      <sheetName val="שמ&quot;מ מ&quot;ה"/>
      <sheetName val="DBS מאוחד מתואם US"/>
      <sheetName val="הרכבה_מאוחד"/>
      <sheetName val="תזרים_מאוחד"/>
      <sheetName val="וואלה_!_סולו"/>
      <sheetName val="תזרים_סולו"/>
      <sheetName val="וואלה_שופמיינד"/>
      <sheetName val="שיווק_פיננסים"/>
      <sheetName val="סבירות_מימון"/>
      <sheetName val="אנליטי_מאוחד"/>
      <sheetName val="היוון_עלויות_מו&quot;פ"/>
      <sheetName val="מעגל_ר&quot;ק"/>
      <sheetName val="כניסה_לאיחוד"/>
      <sheetName val="דוחות_LTD"/>
      <sheetName val="נתונים_לשינוי"/>
      <sheetName val="מאזן_+_PN_סולו"/>
      <sheetName val="הרכבה_מאוחד4"/>
      <sheetName val="תזרים_מאוחד4"/>
      <sheetName val="וואלה_!_סולו4"/>
      <sheetName val="תזרים_סולו4"/>
      <sheetName val="וואלה_שופמיינד4"/>
      <sheetName val="שיווק_פיננסים4"/>
      <sheetName val="סבירות_מימון4"/>
      <sheetName val="אנליטי_מאוחד4"/>
      <sheetName val="היוון_עלויות_מו&quot;פ4"/>
      <sheetName val="מעגל_ר&quot;ק4"/>
      <sheetName val="כניסה_לאיחוד4"/>
      <sheetName val="דוחות_LTD4"/>
      <sheetName val="נתונים_לשינוי4"/>
      <sheetName val="הרכבה_מאוחד1"/>
      <sheetName val="תזרים_מאוחד1"/>
      <sheetName val="וואלה_!_סולו1"/>
      <sheetName val="תזרים_סולו1"/>
      <sheetName val="וואלה_שופמיינד1"/>
      <sheetName val="שיווק_פיננסים1"/>
      <sheetName val="סבירות_מימון1"/>
      <sheetName val="אנליטי_מאוחד1"/>
      <sheetName val="היוון_עלויות_מו&quot;פ1"/>
      <sheetName val="מעגל_ר&quot;ק1"/>
      <sheetName val="כניסה_לאיחוד1"/>
      <sheetName val="דוחות_LTD1"/>
      <sheetName val="נתונים_לשינוי1"/>
      <sheetName val="הרכבה_מאוחד2"/>
      <sheetName val="תזרים_מאוחד2"/>
      <sheetName val="וואלה_!_סולו2"/>
      <sheetName val="תזרים_סולו2"/>
      <sheetName val="וואלה_שופמיינד2"/>
      <sheetName val="שיווק_פיננסים2"/>
      <sheetName val="סבירות_מימון2"/>
      <sheetName val="אנליטי_מאוחד2"/>
      <sheetName val="היוון_עלויות_מו&quot;פ2"/>
      <sheetName val="מעגל_ר&quot;ק2"/>
      <sheetName val="כניסה_לאיחוד2"/>
      <sheetName val="דוחות_LTD2"/>
      <sheetName val="נתונים_לשינוי2"/>
      <sheetName val="הרכבה_מאוחד3"/>
      <sheetName val="תזרים_מאוחד3"/>
      <sheetName val="וואלה_!_סולו3"/>
      <sheetName val="תזרים_סולו3"/>
      <sheetName val="וואלה_שופמיינד3"/>
      <sheetName val="שיווק_פיננסים3"/>
      <sheetName val="סבירות_מימון3"/>
      <sheetName val="אנליטי_מאוחד3"/>
      <sheetName val="היוון_עלויות_מו&quot;פ3"/>
      <sheetName val="מעגל_ר&quot;ק3"/>
      <sheetName val="כניסה_לאיחוד3"/>
      <sheetName val="דוחות_LTD3"/>
      <sheetName val="נתונים_לשינוי3"/>
      <sheetName val="הרכבה_מאוחד6"/>
      <sheetName val="תזרים_מאוחד6"/>
      <sheetName val="וואלה_!_סולו6"/>
      <sheetName val="תזרים_סולו6"/>
      <sheetName val="וואלה_שופמיינד6"/>
      <sheetName val="שיווק_פיננסים6"/>
      <sheetName val="סבירות_מימון6"/>
      <sheetName val="אנליטי_מאוחד6"/>
      <sheetName val="היוון_עלויות_מו&quot;פ6"/>
      <sheetName val="מעגל_ר&quot;ק6"/>
      <sheetName val="כניסה_לאיחוד6"/>
      <sheetName val="דוחות_LTD6"/>
      <sheetName val="נתונים_לשינוי6"/>
      <sheetName val="הרכבה_מאוחד5"/>
      <sheetName val="תזרים_מאוחד5"/>
      <sheetName val="וואלה_!_סולו5"/>
      <sheetName val="תזרים_סולו5"/>
      <sheetName val="וואלה_שופמיינד5"/>
      <sheetName val="שיווק_פיננסים5"/>
      <sheetName val="סבירות_מימון5"/>
      <sheetName val="אנליטי_מאוחד5"/>
      <sheetName val="היוון_עלויות_מו&quot;פ5"/>
      <sheetName val="מעגל_ר&quot;ק5"/>
      <sheetName val="כניסה_לאיחוד5"/>
      <sheetName val="דוחות_LTD5"/>
      <sheetName val="נתונים_לשינוי5"/>
      <sheetName val="הרכבה_מאוחד7"/>
      <sheetName val="תזרים_מאוחד7"/>
      <sheetName val="וואלה_!_סולו7"/>
      <sheetName val="תזרים_סולו7"/>
      <sheetName val="וואלה_שופמיינד7"/>
      <sheetName val="שיווק_פיננסים7"/>
      <sheetName val="סבירות_מימון7"/>
      <sheetName val="אנליטי_מאוחד7"/>
      <sheetName val="היוון_עלויות_מו&quot;פ7"/>
      <sheetName val="מעגל_ר&quot;ק7"/>
      <sheetName val="כניסה_לאיחוד7"/>
      <sheetName val="דוחות_LTD7"/>
      <sheetName val="נתונים_לשינוי7"/>
      <sheetName val="הרכבה_מאוחד8"/>
      <sheetName val="תזרים_מאוחד8"/>
      <sheetName val="וואלה_!_סולו8"/>
      <sheetName val="תזרים_סולו8"/>
      <sheetName val="וואלה_שופמיינד8"/>
      <sheetName val="שיווק_פיננסים8"/>
      <sheetName val="סבירות_מימון8"/>
      <sheetName val="אנליטי_מאוחד8"/>
      <sheetName val="היוון_עלויות_מו&quot;פ8"/>
      <sheetName val="מעגל_ר&quot;ק8"/>
      <sheetName val="כניסה_לאיחוד8"/>
      <sheetName val="דוחות_LTD8"/>
      <sheetName val="נתונים_לשינוי8"/>
      <sheetName val="דוחות"/>
    </sheetNames>
    <sheetDataSet>
      <sheetData sheetId="0" refreshError="1">
        <row r="5">
          <cell r="C5">
            <v>8459</v>
          </cell>
          <cell r="D5">
            <v>1200</v>
          </cell>
          <cell r="E5">
            <v>0</v>
          </cell>
          <cell r="F5">
            <v>8</v>
          </cell>
          <cell r="G5">
            <v>9667</v>
          </cell>
          <cell r="L5">
            <v>9667</v>
          </cell>
        </row>
        <row r="6">
          <cell r="C6">
            <v>760</v>
          </cell>
          <cell r="D6">
            <v>0</v>
          </cell>
          <cell r="E6">
            <v>0</v>
          </cell>
          <cell r="F6">
            <v>0</v>
          </cell>
          <cell r="G6">
            <v>760</v>
          </cell>
          <cell r="L6">
            <v>760</v>
          </cell>
        </row>
        <row r="7">
          <cell r="C7">
            <v>0</v>
          </cell>
          <cell r="D7">
            <v>504</v>
          </cell>
          <cell r="E7">
            <v>1.5</v>
          </cell>
          <cell r="F7">
            <v>0</v>
          </cell>
          <cell r="G7">
            <v>505.5</v>
          </cell>
          <cell r="L7">
            <v>505.5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L8">
            <v>0</v>
          </cell>
        </row>
        <row r="9">
          <cell r="C9">
            <v>0</v>
          </cell>
          <cell r="D9">
            <v>6826</v>
          </cell>
          <cell r="E9">
            <v>90.5</v>
          </cell>
          <cell r="F9">
            <v>0</v>
          </cell>
          <cell r="G9">
            <v>6916.5</v>
          </cell>
          <cell r="L9">
            <v>6916.5</v>
          </cell>
        </row>
        <row r="10">
          <cell r="E10">
            <v>0</v>
          </cell>
          <cell r="L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L11">
            <v>0</v>
          </cell>
        </row>
        <row r="12">
          <cell r="C12">
            <v>0</v>
          </cell>
          <cell r="D12">
            <v>51</v>
          </cell>
          <cell r="E12">
            <v>0</v>
          </cell>
          <cell r="F12">
            <v>0</v>
          </cell>
          <cell r="G12">
            <v>51</v>
          </cell>
          <cell r="L12">
            <v>51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L13">
            <v>0</v>
          </cell>
        </row>
        <row r="14">
          <cell r="C14">
            <v>0</v>
          </cell>
          <cell r="D14">
            <v>114</v>
          </cell>
          <cell r="E14">
            <v>0</v>
          </cell>
          <cell r="F14">
            <v>0</v>
          </cell>
          <cell r="G14">
            <v>114</v>
          </cell>
          <cell r="L14">
            <v>114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L15">
            <v>0</v>
          </cell>
        </row>
        <row r="16">
          <cell r="C16">
            <v>0</v>
          </cell>
          <cell r="D16">
            <v>-283</v>
          </cell>
          <cell r="E16">
            <v>0</v>
          </cell>
          <cell r="F16">
            <v>0</v>
          </cell>
          <cell r="G16">
            <v>-283</v>
          </cell>
          <cell r="L16">
            <v>-283</v>
          </cell>
        </row>
        <row r="17">
          <cell r="C17">
            <v>0</v>
          </cell>
          <cell r="E17">
            <v>0</v>
          </cell>
          <cell r="L17">
            <v>0</v>
          </cell>
        </row>
        <row r="18">
          <cell r="C18">
            <v>0</v>
          </cell>
          <cell r="D18">
            <v>41</v>
          </cell>
          <cell r="E18">
            <v>-41</v>
          </cell>
          <cell r="F18">
            <v>0</v>
          </cell>
          <cell r="G18">
            <v>0</v>
          </cell>
          <cell r="L18">
            <v>0</v>
          </cell>
        </row>
        <row r="19">
          <cell r="C19">
            <v>0</v>
          </cell>
          <cell r="D19">
            <v>169</v>
          </cell>
          <cell r="E19">
            <v>0</v>
          </cell>
          <cell r="F19">
            <v>0</v>
          </cell>
          <cell r="G19">
            <v>169</v>
          </cell>
          <cell r="L19">
            <v>169</v>
          </cell>
        </row>
        <row r="20">
          <cell r="C20">
            <v>0</v>
          </cell>
          <cell r="D20">
            <v>13</v>
          </cell>
          <cell r="E20">
            <v>0</v>
          </cell>
          <cell r="F20">
            <v>0</v>
          </cell>
          <cell r="G20">
            <v>13</v>
          </cell>
          <cell r="L20">
            <v>13</v>
          </cell>
        </row>
        <row r="21">
          <cell r="C21">
            <v>-22</v>
          </cell>
          <cell r="D21">
            <v>0</v>
          </cell>
          <cell r="E21">
            <v>0</v>
          </cell>
          <cell r="F21">
            <v>0</v>
          </cell>
          <cell r="G21">
            <v>-22</v>
          </cell>
          <cell r="L21">
            <v>-22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L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L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L24">
            <v>0</v>
          </cell>
        </row>
        <row r="25">
          <cell r="C25">
            <v>178</v>
          </cell>
          <cell r="D25">
            <v>-204</v>
          </cell>
          <cell r="E25">
            <v>0</v>
          </cell>
          <cell r="F25">
            <v>0</v>
          </cell>
          <cell r="G25">
            <v>-26</v>
          </cell>
          <cell r="H25" t="str">
            <v>מה קורה  עם פקודה  בטלטל</v>
          </cell>
          <cell r="L25">
            <v>-26</v>
          </cell>
        </row>
        <row r="26">
          <cell r="C26">
            <v>108</v>
          </cell>
          <cell r="D26">
            <v>8</v>
          </cell>
          <cell r="E26">
            <v>0</v>
          </cell>
          <cell r="F26">
            <v>0</v>
          </cell>
          <cell r="G26">
            <v>116</v>
          </cell>
          <cell r="L26">
            <v>116</v>
          </cell>
        </row>
        <row r="27">
          <cell r="C27">
            <v>-650</v>
          </cell>
          <cell r="D27">
            <v>14</v>
          </cell>
          <cell r="E27">
            <v>0</v>
          </cell>
          <cell r="F27">
            <v>0</v>
          </cell>
          <cell r="G27">
            <v>-636</v>
          </cell>
          <cell r="L27">
            <v>-636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L28">
            <v>0</v>
          </cell>
        </row>
        <row r="29">
          <cell r="C29">
            <v>-200</v>
          </cell>
          <cell r="D29">
            <v>-103</v>
          </cell>
          <cell r="E29">
            <v>0</v>
          </cell>
          <cell r="F29">
            <v>0</v>
          </cell>
          <cell r="G29">
            <v>-303</v>
          </cell>
          <cell r="L29">
            <v>-303</v>
          </cell>
        </row>
        <row r="30">
          <cell r="C30">
            <v>-222</v>
          </cell>
          <cell r="D30">
            <v>222</v>
          </cell>
          <cell r="E30">
            <v>0</v>
          </cell>
          <cell r="F30">
            <v>0</v>
          </cell>
          <cell r="G30">
            <v>0</v>
          </cell>
          <cell r="L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L31">
            <v>0</v>
          </cell>
        </row>
        <row r="32">
          <cell r="C32">
            <v>623</v>
          </cell>
          <cell r="D32">
            <v>0</v>
          </cell>
          <cell r="E32">
            <v>0</v>
          </cell>
          <cell r="F32">
            <v>-623</v>
          </cell>
          <cell r="G32">
            <v>0</v>
          </cell>
          <cell r="L32">
            <v>0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L33">
            <v>0</v>
          </cell>
        </row>
        <row r="34">
          <cell r="C34">
            <v>0</v>
          </cell>
          <cell r="D34">
            <v>0</v>
          </cell>
          <cell r="E34">
            <v>73</v>
          </cell>
          <cell r="F34">
            <v>0</v>
          </cell>
          <cell r="G34">
            <v>73</v>
          </cell>
          <cell r="L34">
            <v>73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</row>
        <row r="36">
          <cell r="C36">
            <v>401.81068416119956</v>
          </cell>
          <cell r="D36">
            <v>0</v>
          </cell>
          <cell r="E36">
            <v>0</v>
          </cell>
          <cell r="F36">
            <v>0</v>
          </cell>
          <cell r="G36">
            <v>401.81068416119956</v>
          </cell>
          <cell r="L36">
            <v>401.81068416119956</v>
          </cell>
        </row>
        <row r="37">
          <cell r="C37">
            <v>494.02469135802465</v>
          </cell>
          <cell r="D37">
            <v>0</v>
          </cell>
          <cell r="E37">
            <v>0</v>
          </cell>
          <cell r="F37">
            <v>0</v>
          </cell>
          <cell r="G37">
            <v>494.02469135802465</v>
          </cell>
          <cell r="L37">
            <v>494.02469135802465</v>
          </cell>
        </row>
        <row r="38">
          <cell r="C38">
            <v>0.28775895270575802</v>
          </cell>
          <cell r="D38">
            <v>0</v>
          </cell>
          <cell r="E38">
            <v>0</v>
          </cell>
          <cell r="F38">
            <v>0</v>
          </cell>
          <cell r="G38">
            <v>0.28775895270575802</v>
          </cell>
          <cell r="L38">
            <v>0.28775895270575802</v>
          </cell>
        </row>
        <row r="39">
          <cell r="C39">
            <v>180.30738239362995</v>
          </cell>
          <cell r="D39">
            <v>0</v>
          </cell>
          <cell r="E39">
            <v>0</v>
          </cell>
          <cell r="F39">
            <v>0</v>
          </cell>
          <cell r="G39">
            <v>180.30738239362995</v>
          </cell>
          <cell r="L39">
            <v>180.30738239362995</v>
          </cell>
        </row>
        <row r="40">
          <cell r="C40">
            <v>135.65432098765433</v>
          </cell>
          <cell r="D40">
            <v>0</v>
          </cell>
          <cell r="E40">
            <v>0</v>
          </cell>
          <cell r="F40">
            <v>0</v>
          </cell>
          <cell r="G40">
            <v>135.65432098765433</v>
          </cell>
          <cell r="L40">
            <v>135.65432098765433</v>
          </cell>
        </row>
        <row r="41">
          <cell r="C41">
            <v>-612.46913580246917</v>
          </cell>
          <cell r="D41">
            <v>0</v>
          </cell>
          <cell r="E41">
            <v>0</v>
          </cell>
          <cell r="F41">
            <v>612</v>
          </cell>
          <cell r="G41">
            <v>-0.46913580246916808</v>
          </cell>
          <cell r="L41">
            <v>-0.46913580246916808</v>
          </cell>
        </row>
        <row r="42">
          <cell r="C42">
            <v>-2895</v>
          </cell>
          <cell r="D42">
            <v>0</v>
          </cell>
          <cell r="E42">
            <v>0</v>
          </cell>
          <cell r="F42">
            <v>0</v>
          </cell>
          <cell r="G42">
            <v>-2895</v>
          </cell>
          <cell r="H42">
            <v>1</v>
          </cell>
          <cell r="I42">
            <v>2895</v>
          </cell>
          <cell r="L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L43">
            <v>0</v>
          </cell>
        </row>
        <row r="44">
          <cell r="C44">
            <v>28610</v>
          </cell>
          <cell r="D44">
            <v>-28610</v>
          </cell>
          <cell r="E44">
            <v>0</v>
          </cell>
          <cell r="F44">
            <v>0</v>
          </cell>
          <cell r="G44">
            <v>0</v>
          </cell>
          <cell r="L44">
            <v>0</v>
          </cell>
        </row>
        <row r="45">
          <cell r="C45">
            <v>1314.0876531573988</v>
          </cell>
          <cell r="D45">
            <v>0</v>
          </cell>
          <cell r="E45">
            <v>-2386</v>
          </cell>
          <cell r="F45">
            <v>0</v>
          </cell>
          <cell r="G45">
            <v>-1071.9123468426012</v>
          </cell>
          <cell r="H45">
            <v>2</v>
          </cell>
          <cell r="I45">
            <v>1072</v>
          </cell>
          <cell r="L45">
            <v>8.7653157398790427E-2</v>
          </cell>
        </row>
        <row r="46">
          <cell r="C46">
            <v>1395.0123456790122</v>
          </cell>
          <cell r="D46">
            <v>0</v>
          </cell>
          <cell r="E46">
            <v>0</v>
          </cell>
          <cell r="F46">
            <v>0</v>
          </cell>
          <cell r="G46">
            <v>1395.0123456790122</v>
          </cell>
          <cell r="L46">
            <v>1395.0123456790122</v>
          </cell>
        </row>
        <row r="47">
          <cell r="C47">
            <v>0</v>
          </cell>
          <cell r="E47">
            <v>0</v>
          </cell>
          <cell r="L47">
            <v>0</v>
          </cell>
        </row>
        <row r="48">
          <cell r="C48">
            <v>103</v>
          </cell>
          <cell r="D48">
            <v>0</v>
          </cell>
          <cell r="E48">
            <v>0</v>
          </cell>
          <cell r="F48">
            <v>0</v>
          </cell>
          <cell r="G48">
            <v>103</v>
          </cell>
          <cell r="L48">
            <v>103</v>
          </cell>
        </row>
        <row r="49">
          <cell r="C49">
            <v>0</v>
          </cell>
          <cell r="D49">
            <v>0</v>
          </cell>
          <cell r="E49">
            <v>20.5</v>
          </cell>
          <cell r="F49">
            <v>0</v>
          </cell>
          <cell r="G49">
            <v>20.5</v>
          </cell>
          <cell r="L49">
            <v>20.5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1</v>
          </cell>
          <cell r="I50">
            <v>3816.9999999999995</v>
          </cell>
          <cell r="J50">
            <v>1</v>
          </cell>
          <cell r="K50">
            <v>-445.32982209945067</v>
          </cell>
          <cell r="L50">
            <v>3371.6701779005489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L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L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L53">
            <v>0</v>
          </cell>
        </row>
        <row r="54">
          <cell r="C54">
            <v>84</v>
          </cell>
          <cell r="D54">
            <v>1353</v>
          </cell>
          <cell r="E54">
            <v>57.5</v>
          </cell>
          <cell r="F54">
            <v>0</v>
          </cell>
          <cell r="G54">
            <v>1494.5</v>
          </cell>
          <cell r="L54">
            <v>1494.5</v>
          </cell>
        </row>
        <row r="55">
          <cell r="C55">
            <v>0</v>
          </cell>
          <cell r="E55">
            <v>0</v>
          </cell>
          <cell r="F55">
            <v>0</v>
          </cell>
          <cell r="G55">
            <v>0</v>
          </cell>
          <cell r="L55">
            <v>0</v>
          </cell>
        </row>
        <row r="56">
          <cell r="C56">
            <v>200</v>
          </cell>
          <cell r="D56">
            <v>78.495726495726501</v>
          </cell>
          <cell r="E56">
            <v>23</v>
          </cell>
          <cell r="F56">
            <v>3</v>
          </cell>
          <cell r="G56">
            <v>304.4957264957265</v>
          </cell>
          <cell r="L56">
            <v>304.4957264957265</v>
          </cell>
        </row>
        <row r="57">
          <cell r="C57">
            <v>0</v>
          </cell>
          <cell r="E57">
            <v>0</v>
          </cell>
          <cell r="G57">
            <v>0</v>
          </cell>
          <cell r="L57">
            <v>0</v>
          </cell>
        </row>
        <row r="58">
          <cell r="C58">
            <v>0</v>
          </cell>
          <cell r="D58">
            <v>130</v>
          </cell>
          <cell r="E58">
            <v>0</v>
          </cell>
          <cell r="F58">
            <v>0</v>
          </cell>
          <cell r="G58">
            <v>130</v>
          </cell>
          <cell r="L58">
            <v>130</v>
          </cell>
        </row>
        <row r="59">
          <cell r="C59">
            <v>0</v>
          </cell>
          <cell r="E59">
            <v>0</v>
          </cell>
          <cell r="L59">
            <v>0</v>
          </cell>
        </row>
        <row r="60">
          <cell r="C60">
            <v>0</v>
          </cell>
          <cell r="D60">
            <v>6836</v>
          </cell>
          <cell r="E60">
            <v>643.5</v>
          </cell>
          <cell r="F60">
            <v>0</v>
          </cell>
          <cell r="G60">
            <v>7479.5</v>
          </cell>
          <cell r="L60">
            <v>7479.5</v>
          </cell>
        </row>
        <row r="61">
          <cell r="C61">
            <v>0</v>
          </cell>
          <cell r="E61">
            <v>0</v>
          </cell>
          <cell r="L61">
            <v>0</v>
          </cell>
        </row>
        <row r="62">
          <cell r="C62">
            <v>0</v>
          </cell>
          <cell r="D62">
            <v>-2463.5</v>
          </cell>
          <cell r="E62">
            <v>-119.5</v>
          </cell>
          <cell r="F62">
            <v>0</v>
          </cell>
          <cell r="G62">
            <v>-2583</v>
          </cell>
          <cell r="L62">
            <v>-2583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L63">
            <v>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L64">
            <v>0</v>
          </cell>
        </row>
        <row r="65">
          <cell r="C65">
            <v>0</v>
          </cell>
          <cell r="D65">
            <v>0</v>
          </cell>
          <cell r="E65">
            <v>301.5</v>
          </cell>
          <cell r="F65">
            <v>0</v>
          </cell>
          <cell r="G65">
            <v>301.5</v>
          </cell>
          <cell r="L65">
            <v>301.5</v>
          </cell>
        </row>
        <row r="66">
          <cell r="C66">
            <v>0</v>
          </cell>
          <cell r="D66">
            <v>0</v>
          </cell>
          <cell r="E66">
            <v>-52</v>
          </cell>
          <cell r="F66">
            <v>0</v>
          </cell>
          <cell r="G66">
            <v>-52</v>
          </cell>
          <cell r="L66">
            <v>-52</v>
          </cell>
        </row>
        <row r="67">
          <cell r="C67">
            <v>0</v>
          </cell>
          <cell r="D67">
            <v>0</v>
          </cell>
          <cell r="E67">
            <v>-141.5</v>
          </cell>
          <cell r="F67">
            <v>0</v>
          </cell>
          <cell r="G67">
            <v>-141.5</v>
          </cell>
          <cell r="L67">
            <v>-141.5</v>
          </cell>
        </row>
        <row r="68">
          <cell r="C68">
            <v>0</v>
          </cell>
          <cell r="E68">
            <v>0</v>
          </cell>
          <cell r="L68">
            <v>0</v>
          </cell>
        </row>
        <row r="69">
          <cell r="C69">
            <v>-280</v>
          </cell>
          <cell r="D69">
            <v>-3842</v>
          </cell>
          <cell r="E69">
            <v>-110.5</v>
          </cell>
          <cell r="F69">
            <v>0</v>
          </cell>
          <cell r="G69">
            <v>-4232.5</v>
          </cell>
          <cell r="L69">
            <v>-4232.5</v>
          </cell>
        </row>
        <row r="70">
          <cell r="C70">
            <v>0</v>
          </cell>
          <cell r="E70">
            <v>0</v>
          </cell>
          <cell r="L70">
            <v>0</v>
          </cell>
        </row>
        <row r="71">
          <cell r="C71">
            <v>0</v>
          </cell>
          <cell r="D71">
            <v>-1134</v>
          </cell>
          <cell r="E71">
            <v>-390.5</v>
          </cell>
          <cell r="F71">
            <v>0</v>
          </cell>
          <cell r="G71">
            <v>-1524.5</v>
          </cell>
          <cell r="L71">
            <v>-1524.5</v>
          </cell>
        </row>
        <row r="72">
          <cell r="C72">
            <v>0</v>
          </cell>
          <cell r="E72">
            <v>0</v>
          </cell>
          <cell r="L72">
            <v>0</v>
          </cell>
        </row>
        <row r="73">
          <cell r="C73">
            <v>0</v>
          </cell>
          <cell r="D73">
            <v>-368</v>
          </cell>
          <cell r="E73">
            <v>-35.5</v>
          </cell>
          <cell r="F73">
            <v>0</v>
          </cell>
          <cell r="G73">
            <v>-403.5</v>
          </cell>
          <cell r="L73">
            <v>-403.5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L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L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L76">
            <v>0</v>
          </cell>
        </row>
        <row r="77">
          <cell r="C77">
            <v>0</v>
          </cell>
          <cell r="D77">
            <v>-7</v>
          </cell>
          <cell r="E77">
            <v>0</v>
          </cell>
          <cell r="F77">
            <v>0</v>
          </cell>
          <cell r="G77">
            <v>-7</v>
          </cell>
          <cell r="L77">
            <v>-7</v>
          </cell>
        </row>
        <row r="78">
          <cell r="C78">
            <v>0</v>
          </cell>
          <cell r="D78">
            <v>-581</v>
          </cell>
          <cell r="E78">
            <v>0</v>
          </cell>
          <cell r="F78">
            <v>0</v>
          </cell>
          <cell r="G78">
            <v>-581</v>
          </cell>
          <cell r="L78">
            <v>-581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L79">
            <v>0</v>
          </cell>
        </row>
        <row r="80">
          <cell r="C80">
            <v>0</v>
          </cell>
          <cell r="E80">
            <v>0</v>
          </cell>
          <cell r="L80">
            <v>0</v>
          </cell>
        </row>
        <row r="81">
          <cell r="C81">
            <v>0</v>
          </cell>
          <cell r="D81">
            <v>-1175</v>
          </cell>
          <cell r="E81">
            <v>-79.5</v>
          </cell>
          <cell r="F81">
            <v>0</v>
          </cell>
          <cell r="G81">
            <v>-1254.5</v>
          </cell>
          <cell r="L81">
            <v>-1254.5</v>
          </cell>
        </row>
        <row r="82">
          <cell r="C82">
            <v>0</v>
          </cell>
          <cell r="E82">
            <v>0</v>
          </cell>
          <cell r="L82">
            <v>0</v>
          </cell>
        </row>
        <row r="83">
          <cell r="C83">
            <v>0</v>
          </cell>
          <cell r="D83">
            <v>-1034</v>
          </cell>
          <cell r="E83">
            <v>-69.5</v>
          </cell>
          <cell r="F83">
            <v>0</v>
          </cell>
          <cell r="G83">
            <v>-1103.5</v>
          </cell>
          <cell r="L83">
            <v>-1103.5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L84">
            <v>0</v>
          </cell>
        </row>
        <row r="85">
          <cell r="C85">
            <v>0</v>
          </cell>
          <cell r="D85">
            <v>-92</v>
          </cell>
          <cell r="E85">
            <v>0</v>
          </cell>
          <cell r="F85">
            <v>0</v>
          </cell>
          <cell r="G85">
            <v>-92</v>
          </cell>
          <cell r="L85">
            <v>-92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L86">
            <v>0</v>
          </cell>
        </row>
        <row r="87">
          <cell r="C87">
            <v>0</v>
          </cell>
          <cell r="D87">
            <v>-764</v>
          </cell>
          <cell r="E87">
            <v>0</v>
          </cell>
          <cell r="F87">
            <v>0</v>
          </cell>
          <cell r="G87">
            <v>-764</v>
          </cell>
          <cell r="L87">
            <v>-764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L88">
            <v>0</v>
          </cell>
        </row>
        <row r="89">
          <cell r="C89">
            <v>0</v>
          </cell>
          <cell r="D89">
            <v>-1204</v>
          </cell>
          <cell r="E89">
            <v>0</v>
          </cell>
          <cell r="F89">
            <v>0</v>
          </cell>
          <cell r="G89">
            <v>-1204</v>
          </cell>
          <cell r="L89">
            <v>-1204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L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L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L92">
            <v>0</v>
          </cell>
        </row>
        <row r="93">
          <cell r="C93">
            <v>252</v>
          </cell>
          <cell r="D93">
            <v>0</v>
          </cell>
          <cell r="E93">
            <v>0</v>
          </cell>
          <cell r="F93">
            <v>0</v>
          </cell>
          <cell r="G93">
            <v>252</v>
          </cell>
          <cell r="L93">
            <v>252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L94">
            <v>0</v>
          </cell>
        </row>
        <row r="95">
          <cell r="C95">
            <v>0</v>
          </cell>
          <cell r="D95">
            <v>-1157</v>
          </cell>
          <cell r="E95">
            <v>0</v>
          </cell>
          <cell r="F95">
            <v>0</v>
          </cell>
          <cell r="G95">
            <v>-1157</v>
          </cell>
          <cell r="L95">
            <v>-1157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L96">
            <v>0</v>
          </cell>
        </row>
        <row r="97">
          <cell r="C97">
            <v>1570</v>
          </cell>
          <cell r="D97">
            <v>0</v>
          </cell>
          <cell r="E97">
            <v>0</v>
          </cell>
          <cell r="F97">
            <v>0</v>
          </cell>
          <cell r="G97">
            <v>1570</v>
          </cell>
          <cell r="L97">
            <v>1570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L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L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L100">
            <v>0</v>
          </cell>
        </row>
        <row r="101">
          <cell r="C101">
            <v>-58075.398680490107</v>
          </cell>
          <cell r="D101">
            <v>-5873</v>
          </cell>
          <cell r="E101">
            <v>0</v>
          </cell>
          <cell r="F101">
            <v>0</v>
          </cell>
          <cell r="G101">
            <v>-63948.398680490107</v>
          </cell>
          <cell r="H101">
            <v>1</v>
          </cell>
          <cell r="I101">
            <v>5873</v>
          </cell>
          <cell r="L101">
            <v>-58075.398680490107</v>
          </cell>
        </row>
        <row r="102">
          <cell r="C102">
            <v>-6</v>
          </cell>
          <cell r="D102">
            <v>0</v>
          </cell>
          <cell r="E102">
            <v>0</v>
          </cell>
          <cell r="F102">
            <v>0</v>
          </cell>
          <cell r="G102">
            <v>-6</v>
          </cell>
          <cell r="L102">
            <v>-6</v>
          </cell>
        </row>
        <row r="103">
          <cell r="C103">
            <v>15417</v>
          </cell>
          <cell r="D103">
            <v>12585</v>
          </cell>
          <cell r="E103">
            <v>0</v>
          </cell>
          <cell r="F103">
            <v>0</v>
          </cell>
          <cell r="G103">
            <v>28002</v>
          </cell>
          <cell r="J103">
            <v>1</v>
          </cell>
          <cell r="K103">
            <v>-12585</v>
          </cell>
          <cell r="L103">
            <v>15417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L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L105">
            <v>0</v>
          </cell>
        </row>
        <row r="106">
          <cell r="C106">
            <v>2677.682979602956</v>
          </cell>
          <cell r="D106">
            <v>18750.004273504273</v>
          </cell>
          <cell r="E106">
            <v>2215.4952874646556</v>
          </cell>
          <cell r="F106">
            <v>0</v>
          </cell>
          <cell r="G106">
            <v>23643.182540571885</v>
          </cell>
          <cell r="L106">
            <v>23015.512362671339</v>
          </cell>
        </row>
        <row r="107">
          <cell r="C107">
            <v>0</v>
          </cell>
          <cell r="D107">
            <v>0</v>
          </cell>
          <cell r="E107">
            <v>0.9952874646555756</v>
          </cell>
          <cell r="F107">
            <v>0</v>
          </cell>
          <cell r="G107">
            <v>0.99528746465512086</v>
          </cell>
          <cell r="L107">
            <v>-4.7125353376031853E-3</v>
          </cell>
        </row>
        <row r="111">
          <cell r="L111">
            <v>0</v>
          </cell>
        </row>
        <row r="112">
          <cell r="C112">
            <v>0</v>
          </cell>
          <cell r="D112">
            <v>-7416.5700558775907</v>
          </cell>
          <cell r="E112">
            <v>0</v>
          </cell>
          <cell r="F112">
            <v>0</v>
          </cell>
          <cell r="G112">
            <v>-7416.5700558775907</v>
          </cell>
          <cell r="L112">
            <v>-7416.5700558775907</v>
          </cell>
        </row>
        <row r="113">
          <cell r="C113">
            <v>0</v>
          </cell>
          <cell r="E113">
            <v>0</v>
          </cell>
          <cell r="L113">
            <v>0</v>
          </cell>
        </row>
        <row r="114">
          <cell r="C114">
            <v>0</v>
          </cell>
          <cell r="D114">
            <v>-8692.6680244399176</v>
          </cell>
          <cell r="E114">
            <v>0</v>
          </cell>
          <cell r="F114">
            <v>0</v>
          </cell>
          <cell r="G114">
            <v>-8692.6680244399176</v>
          </cell>
          <cell r="L114">
            <v>-8692.6680244399176</v>
          </cell>
        </row>
        <row r="115">
          <cell r="C115">
            <v>0</v>
          </cell>
          <cell r="E115">
            <v>0</v>
          </cell>
          <cell r="L115">
            <v>0</v>
          </cell>
        </row>
        <row r="116">
          <cell r="C116">
            <v>0</v>
          </cell>
          <cell r="D116">
            <v>-1309.6619144602851</v>
          </cell>
          <cell r="E116">
            <v>-68.545855560311807</v>
          </cell>
          <cell r="F116">
            <v>0</v>
          </cell>
          <cell r="G116">
            <v>-1378.2077700205969</v>
          </cell>
          <cell r="L116">
            <v>-1378.2077700205969</v>
          </cell>
        </row>
        <row r="117">
          <cell r="C117">
            <v>0</v>
          </cell>
          <cell r="E117">
            <v>0</v>
          </cell>
          <cell r="L117">
            <v>0</v>
          </cell>
        </row>
        <row r="118">
          <cell r="C118">
            <v>0</v>
          </cell>
          <cell r="D118">
            <v>-302.61507128309569</v>
          </cell>
          <cell r="E118">
            <v>0</v>
          </cell>
          <cell r="F118">
            <v>0</v>
          </cell>
          <cell r="G118">
            <v>-302.61507128309569</v>
          </cell>
          <cell r="L118">
            <v>-302.61507128309569</v>
          </cell>
        </row>
        <row r="119">
          <cell r="C119">
            <v>0</v>
          </cell>
          <cell r="D119">
            <v>-153.31160896130345</v>
          </cell>
          <cell r="E119">
            <v>0</v>
          </cell>
          <cell r="F119">
            <v>0</v>
          </cell>
          <cell r="G119">
            <v>-153.31160896130345</v>
          </cell>
          <cell r="L119">
            <v>-153.31160896130345</v>
          </cell>
        </row>
        <row r="120">
          <cell r="C120">
            <v>0</v>
          </cell>
          <cell r="D120">
            <v>-425.86558044806515</v>
          </cell>
          <cell r="E120">
            <v>0</v>
          </cell>
          <cell r="F120">
            <v>0</v>
          </cell>
          <cell r="G120">
            <v>-425.86558044806515</v>
          </cell>
          <cell r="L120">
            <v>-425.86558044806515</v>
          </cell>
        </row>
        <row r="121">
          <cell r="C121">
            <v>0</v>
          </cell>
          <cell r="D121">
            <v>0</v>
          </cell>
          <cell r="E121">
            <v>0</v>
          </cell>
          <cell r="L121">
            <v>0</v>
          </cell>
        </row>
        <row r="122">
          <cell r="C122">
            <v>0</v>
          </cell>
          <cell r="D122">
            <v>17045.645621181262</v>
          </cell>
          <cell r="E122">
            <v>222.34573309197981</v>
          </cell>
          <cell r="F122">
            <v>0</v>
          </cell>
          <cell r="G122">
            <v>17267.991354273243</v>
          </cell>
          <cell r="L122">
            <v>17267.991354273243</v>
          </cell>
        </row>
        <row r="123">
          <cell r="C123">
            <v>0</v>
          </cell>
          <cell r="E123">
            <v>0</v>
          </cell>
        </row>
        <row r="124">
          <cell r="C124">
            <v>0</v>
          </cell>
          <cell r="D124">
            <v>947.99307253463735</v>
          </cell>
          <cell r="E124">
            <v>15.051275552633864</v>
          </cell>
          <cell r="F124">
            <v>0</v>
          </cell>
          <cell r="G124">
            <v>963.04434808727126</v>
          </cell>
          <cell r="L124">
            <v>963.04434808727126</v>
          </cell>
        </row>
        <row r="125">
          <cell r="C125">
            <v>0</v>
          </cell>
          <cell r="D125">
            <v>2726.5417515274949</v>
          </cell>
          <cell r="E125">
            <v>219.87873331656908</v>
          </cell>
          <cell r="F125">
            <v>0</v>
          </cell>
          <cell r="G125">
            <v>2946.420484844064</v>
          </cell>
          <cell r="L125">
            <v>2946.420484844064</v>
          </cell>
        </row>
        <row r="126">
          <cell r="C126">
            <v>0</v>
          </cell>
          <cell r="D126">
            <v>113.75916870415648</v>
          </cell>
          <cell r="E126">
            <v>22.074046206607044</v>
          </cell>
          <cell r="F126">
            <v>0</v>
          </cell>
          <cell r="G126">
            <v>135.83321491076353</v>
          </cell>
          <cell r="L126">
            <v>135.83321491076353</v>
          </cell>
        </row>
        <row r="127">
          <cell r="C127">
            <v>0</v>
          </cell>
          <cell r="D127">
            <v>0</v>
          </cell>
          <cell r="E127">
            <v>-35.251178133835992</v>
          </cell>
          <cell r="F127">
            <v>0</v>
          </cell>
          <cell r="G127">
            <v>-35.251178133835992</v>
          </cell>
          <cell r="L127">
            <v>-35.251178133835992</v>
          </cell>
        </row>
        <row r="128">
          <cell r="C128">
            <v>0</v>
          </cell>
          <cell r="D128">
            <v>0</v>
          </cell>
          <cell r="E128">
            <v>40.948162111215836</v>
          </cell>
          <cell r="F128">
            <v>0</v>
          </cell>
          <cell r="G128">
            <v>40.948162111215836</v>
          </cell>
          <cell r="L128">
            <v>40.948162111215836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L129">
            <v>0</v>
          </cell>
        </row>
        <row r="130">
          <cell r="C130">
            <v>493.00203665987777</v>
          </cell>
          <cell r="D130">
            <v>12478.362525458248</v>
          </cell>
          <cell r="E130">
            <v>560.95982923537906</v>
          </cell>
          <cell r="F130">
            <v>0</v>
          </cell>
          <cell r="G130">
            <v>13532.324391353504</v>
          </cell>
          <cell r="L130">
            <v>13532.324391353504</v>
          </cell>
        </row>
        <row r="131">
          <cell r="C131">
            <v>0</v>
          </cell>
          <cell r="D131">
            <v>68.665444172779132</v>
          </cell>
          <cell r="E131">
            <v>6.0211232466596432</v>
          </cell>
          <cell r="F131">
            <v>0</v>
          </cell>
          <cell r="G131">
            <v>74.686567419438774</v>
          </cell>
          <cell r="L131">
            <v>74.686567419438774</v>
          </cell>
        </row>
        <row r="132">
          <cell r="C132">
            <v>791.60896130346225</v>
          </cell>
          <cell r="D132">
            <v>3653.4256619144599</v>
          </cell>
          <cell r="E132">
            <v>136.23212547821188</v>
          </cell>
          <cell r="F132">
            <v>0</v>
          </cell>
          <cell r="G132">
            <v>4581.2667486961336</v>
          </cell>
          <cell r="L132">
            <v>4581.2667486961336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L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L134">
            <v>0</v>
          </cell>
        </row>
        <row r="135">
          <cell r="C135">
            <v>0</v>
          </cell>
          <cell r="D135">
            <v>127.08231458842705</v>
          </cell>
          <cell r="E135">
            <v>4.0142524493303444</v>
          </cell>
          <cell r="F135">
            <v>0</v>
          </cell>
          <cell r="G135">
            <v>131.09656703775741</v>
          </cell>
          <cell r="L135">
            <v>131.09656703775741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L136">
            <v>0</v>
          </cell>
        </row>
        <row r="137">
          <cell r="C137">
            <v>755.53564154786147</v>
          </cell>
          <cell r="D137">
            <v>-780.58655804480645</v>
          </cell>
          <cell r="E137">
            <v>0</v>
          </cell>
          <cell r="F137">
            <v>0</v>
          </cell>
          <cell r="G137">
            <v>-25.050916496944978</v>
          </cell>
          <cell r="L137">
            <v>-25.050916496944978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1</v>
          </cell>
          <cell r="I138">
            <v>445.32982209945067</v>
          </cell>
          <cell r="L138">
            <v>445.32982209945067</v>
          </cell>
        </row>
        <row r="139"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L139">
            <v>0</v>
          </cell>
        </row>
        <row r="140">
          <cell r="C140">
            <v>-1179.1919830381507</v>
          </cell>
          <cell r="D140">
            <v>41.506101275961555</v>
          </cell>
          <cell r="E140">
            <v>19.73876525815276</v>
          </cell>
          <cell r="F140">
            <v>0</v>
          </cell>
          <cell r="G140">
            <v>-1117.9471165040363</v>
          </cell>
          <cell r="L140">
            <v>-1118.9471165040363</v>
          </cell>
        </row>
        <row r="141">
          <cell r="C141">
            <v>0</v>
          </cell>
          <cell r="E141">
            <v>0</v>
          </cell>
        </row>
        <row r="142">
          <cell r="C142">
            <v>-638.29735234215877</v>
          </cell>
          <cell r="D142">
            <v>640.30142566191444</v>
          </cell>
          <cell r="E142">
            <v>0</v>
          </cell>
          <cell r="F142">
            <v>0</v>
          </cell>
          <cell r="G142">
            <v>2.0040733197556619</v>
          </cell>
          <cell r="L142">
            <v>2.0040733197556619</v>
          </cell>
        </row>
        <row r="143">
          <cell r="C143">
            <v>2455.025675472064</v>
          </cell>
          <cell r="D143">
            <v>0</v>
          </cell>
          <cell r="E143">
            <v>1072.028275212064</v>
          </cell>
          <cell r="F143">
            <v>0</v>
          </cell>
          <cell r="G143">
            <v>3527.0539506841278</v>
          </cell>
          <cell r="J143">
            <v>2</v>
          </cell>
          <cell r="K143">
            <v>-1072</v>
          </cell>
          <cell r="L143">
            <v>2455.0539506841278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L144">
            <v>0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L145">
            <v>0</v>
          </cell>
        </row>
        <row r="146">
          <cell r="C146">
            <v>0</v>
          </cell>
          <cell r="D146">
            <v>-12</v>
          </cell>
          <cell r="E146">
            <v>0</v>
          </cell>
          <cell r="F146">
            <v>0</v>
          </cell>
          <cell r="G146">
            <v>-12</v>
          </cell>
          <cell r="L146">
            <v>-12</v>
          </cell>
        </row>
        <row r="147">
          <cell r="C147">
            <v>2677.682979602956</v>
          </cell>
          <cell r="D147">
            <v>18750.004273504273</v>
          </cell>
          <cell r="E147">
            <v>2215.4952874646556</v>
          </cell>
          <cell r="F147">
            <v>0</v>
          </cell>
          <cell r="G147">
            <v>23643.182540571888</v>
          </cell>
          <cell r="L147">
            <v>23015.512362671339</v>
          </cell>
        </row>
        <row r="149">
          <cell r="I149">
            <v>14102.329822099451</v>
          </cell>
          <cell r="K149">
            <v>-14102.329822099451</v>
          </cell>
        </row>
        <row r="151">
          <cell r="J15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5">
          <cell r="C5">
            <v>8459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5">
          <cell r="C5">
            <v>8459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>
        <row r="5">
          <cell r="C5">
            <v>8459</v>
          </cell>
        </row>
      </sheetData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>
        <row r="5">
          <cell r="C5">
            <v>8459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ות"/>
      <sheetName val="הרכבה"/>
      <sheetName val="אנליטי"/>
      <sheetName val="גיליון1"/>
      <sheetName val="?????"/>
      <sheetName val="הרכבה מאוחד"/>
      <sheetName val="פקודות נוספות קדנט בע&quot;מ"/>
      <sheetName val="TELEMAIL"/>
      <sheetName val="מעגל רכוש קבוע"/>
      <sheetName val="פקדונות וניירות ערך"/>
      <sheetName val="נומינלי"/>
      <sheetName val="מאזן + PN סולו"/>
      <sheetName val="הרכבה_מאוחד"/>
      <sheetName val="פקודות_נוספות_קדנט_בע&quot;מ"/>
      <sheetName val="הרכבה_מאוחד4"/>
      <sheetName val="פקודות_נוספות_קדנט_בע&quot;מ4"/>
      <sheetName val="הרכבה_מאוחד1"/>
      <sheetName val="פקודות_נוספות_קדנט_בע&quot;מ1"/>
      <sheetName val="הרכבה_מאוחד2"/>
      <sheetName val="פקודות_נוספות_קדנט_בע&quot;מ2"/>
      <sheetName val="הרכבה_מאוחד3"/>
      <sheetName val="פקודות_נוספות_קדנט_בע&quot;מ3"/>
      <sheetName val="הרכבה_מאוחד5"/>
      <sheetName val="פקודות_נוספות_קדנט_בע&quot;מ5"/>
      <sheetName val="הרכבה_מאוחד6"/>
      <sheetName val="פקודות_נוספות_קדנט_בע&quot;מ6"/>
      <sheetName val="הרכבה_מאוחד7"/>
      <sheetName val="פקודות_נוספות_קדנט_בע&quot;מ7"/>
      <sheetName val="דוחות כספיים"/>
    </sheetNames>
    <sheetDataSet>
      <sheetData sheetId="0">
        <row r="4">
          <cell r="K4" t="str">
            <v>טלגייט בע"מ</v>
          </cell>
        </row>
        <row r="6">
          <cell r="K6" t="str">
            <v>מאזן ליום 30 בספטמבר, 1997</v>
          </cell>
        </row>
        <row r="8">
          <cell r="N8" t="str">
            <v>$</v>
          </cell>
          <cell r="R8" t="str">
            <v>$</v>
          </cell>
        </row>
        <row r="9">
          <cell r="K9" t="str">
            <v>רכוש שוטף</v>
          </cell>
          <cell r="P9" t="str">
            <v>התחייבויות שוטפות</v>
          </cell>
        </row>
        <row r="11">
          <cell r="K11" t="str">
            <v>מזומנים ושווי מזומנים</v>
          </cell>
          <cell r="N11">
            <v>0</v>
          </cell>
          <cell r="P11" t="str">
            <v>ספקים</v>
          </cell>
          <cell r="R11">
            <v>0</v>
          </cell>
        </row>
        <row r="13">
          <cell r="K13" t="str">
            <v>בטוחות סחירות</v>
          </cell>
          <cell r="N13">
            <v>0</v>
          </cell>
          <cell r="P13" t="str">
            <v>עובדים ומוסדות בגין שכר</v>
          </cell>
          <cell r="R13">
            <v>0</v>
          </cell>
        </row>
        <row r="15">
          <cell r="K15" t="str">
            <v>הכנסות לקבל-השתתפות ממשלה</v>
          </cell>
          <cell r="N15">
            <v>0</v>
          </cell>
          <cell r="P15" t="str">
            <v>זכאים אחרים</v>
          </cell>
          <cell r="R15">
            <v>0</v>
          </cell>
        </row>
        <row r="17">
          <cell r="K17" t="str">
            <v>חייבים אחרים</v>
          </cell>
          <cell r="N17">
            <v>0</v>
          </cell>
          <cell r="P17" t="str">
            <v>סה"כ התחייבויות שוטפות</v>
          </cell>
          <cell r="R17">
            <v>0</v>
          </cell>
        </row>
        <row r="19">
          <cell r="K19" t="str">
            <v>סה"כ רכוש שוטף</v>
          </cell>
          <cell r="N19">
            <v>0</v>
          </cell>
        </row>
        <row r="20">
          <cell r="P20" t="str">
            <v>התחייבויות לזמן ארוך</v>
          </cell>
        </row>
        <row r="22">
          <cell r="P22" t="str">
            <v>התחייבויות לסיום יחסי</v>
          </cell>
        </row>
        <row r="23">
          <cell r="P23" t="str">
            <v>עובד-מעביד, נטו</v>
          </cell>
          <cell r="R23">
            <v>0</v>
          </cell>
        </row>
        <row r="25">
          <cell r="P25" t="str">
            <v>הלוואות בעלים</v>
          </cell>
          <cell r="R25">
            <v>0</v>
          </cell>
        </row>
        <row r="27">
          <cell r="K27" t="str">
            <v>רכוש קבוע</v>
          </cell>
          <cell r="R27">
            <v>0</v>
          </cell>
        </row>
        <row r="29">
          <cell r="K29" t="str">
            <v>עלות</v>
          </cell>
          <cell r="N29">
            <v>0</v>
          </cell>
        </row>
        <row r="30">
          <cell r="P30" t="str">
            <v>הון עצמי</v>
          </cell>
        </row>
        <row r="31">
          <cell r="K31" t="str">
            <v>פחת נצבר</v>
          </cell>
          <cell r="N31">
            <v>0</v>
          </cell>
        </row>
        <row r="32">
          <cell r="P32" t="str">
            <v>הון מניות</v>
          </cell>
          <cell r="R32">
            <v>0</v>
          </cell>
        </row>
        <row r="33">
          <cell r="K33" t="str">
            <v>רכוש קבוע, נטו</v>
          </cell>
          <cell r="N33">
            <v>0</v>
          </cell>
        </row>
        <row r="34">
          <cell r="P34" t="str">
            <v>פרמיה על מניות</v>
          </cell>
          <cell r="R34">
            <v>0</v>
          </cell>
        </row>
        <row r="36">
          <cell r="P36" t="str">
            <v>קרן הון- אופציות</v>
          </cell>
          <cell r="R36">
            <v>0</v>
          </cell>
        </row>
        <row r="38">
          <cell r="P38" t="str">
            <v>הפסד נצבר</v>
          </cell>
          <cell r="R38">
            <v>0</v>
          </cell>
        </row>
        <row r="40">
          <cell r="P40" t="str">
            <v>סה"כ הון עצמי</v>
          </cell>
          <cell r="R40">
            <v>0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 ורוו&quot;ה"/>
      <sheetName val="הון עצמי"/>
      <sheetName val="ביאור ר&quot;ק"/>
      <sheetName val="תזרים 96"/>
      <sheetName val="תזרים 95"/>
      <sheetName val="תזרים 97"/>
      <sheetName val="תזרים 3_97"/>
      <sheetName val="תזרים 3_98"/>
      <sheetName val="בעלי ענין"/>
      <sheetName val="גיליון9"/>
      <sheetName val="גיליון10"/>
      <sheetName val="גיליון11"/>
      <sheetName val="גיליון12"/>
      <sheetName val="גיליון13"/>
      <sheetName val="גיליון14"/>
      <sheetName val="גיליון15"/>
      <sheetName val="גיליון16"/>
      <sheetName val="דוחות"/>
      <sheetName val="???? ????&quot;?"/>
      <sheetName val="ASP Projections"/>
      <sheetName val="מאזן_ורוו&quot;ה"/>
      <sheetName val="הון_עצמי"/>
      <sheetName val="ביאור_ר&quot;ק"/>
      <sheetName val="תזרים_96"/>
      <sheetName val="תזרים_95"/>
      <sheetName val="תזרים_97"/>
      <sheetName val="תזרים_3_97"/>
      <sheetName val="תזרים_3_98"/>
      <sheetName val="בעלי_ענין"/>
      <sheetName val="????_????&quot;?"/>
      <sheetName val="ASP_Projections"/>
      <sheetName val="מאזן_ורוו&quot;ה1"/>
      <sheetName val="הון_עצמי1"/>
      <sheetName val="ביאור_ר&quot;ק1"/>
      <sheetName val="תזרים_961"/>
      <sheetName val="תזרים_951"/>
      <sheetName val="תזרים_971"/>
      <sheetName val="תזרים_3_971"/>
      <sheetName val="תזרים_3_981"/>
      <sheetName val="בעלי_ענין1"/>
      <sheetName val="????_????&quot;?1"/>
      <sheetName val="ASP_Projections1"/>
      <sheetName val="מאזן_ורוו&quot;ה4"/>
      <sheetName val="ביאור_ר&quot;ק4"/>
      <sheetName val="הון_עצמי4"/>
      <sheetName val="תזרים_964"/>
      <sheetName val="תזרים_954"/>
      <sheetName val="תזרים_974"/>
      <sheetName val="תזרים_3_974"/>
      <sheetName val="תזרים_3_984"/>
      <sheetName val="בעלי_ענין4"/>
      <sheetName val="????_????&quot;?4"/>
      <sheetName val="מאזן_ורוו&quot;ה2"/>
      <sheetName val="ביאור_ר&quot;ק2"/>
      <sheetName val="הון_עצמי2"/>
      <sheetName val="תזרים_962"/>
      <sheetName val="תזרים_952"/>
      <sheetName val="תזרים_972"/>
      <sheetName val="תזרים_3_972"/>
      <sheetName val="תזרים_3_982"/>
      <sheetName val="בעלי_ענין2"/>
      <sheetName val="????_????&quot;?2"/>
      <sheetName val="מאזן_ורוו&quot;ה3"/>
      <sheetName val="ביאור_ר&quot;ק3"/>
      <sheetName val="הון_עצמי3"/>
      <sheetName val="תזרים_963"/>
      <sheetName val="תזרים_953"/>
      <sheetName val="תזרים_973"/>
      <sheetName val="תזרים_3_973"/>
      <sheetName val="תזרים_3_983"/>
      <sheetName val="בעלי_ענין3"/>
      <sheetName val="????_????&quot;?3"/>
      <sheetName val="מאזן_ורוו&quot;ה6"/>
      <sheetName val="ביאור_ר&quot;ק6"/>
      <sheetName val="הון_עצמי6"/>
      <sheetName val="תזרים_966"/>
      <sheetName val="תזרים_956"/>
      <sheetName val="תזרים_976"/>
      <sheetName val="תזרים_3_976"/>
      <sheetName val="תזרים_3_986"/>
      <sheetName val="בעלי_ענין6"/>
      <sheetName val="????_????&quot;?6"/>
      <sheetName val="מאזן_ורוו&quot;ה5"/>
      <sheetName val="ביאור_ר&quot;ק5"/>
      <sheetName val="הון_עצמי5"/>
      <sheetName val="תזרים_965"/>
      <sheetName val="תזרים_955"/>
      <sheetName val="תזרים_975"/>
      <sheetName val="תזרים_3_975"/>
      <sheetName val="תזרים_3_985"/>
      <sheetName val="בעלי_ענין5"/>
      <sheetName val="????_????&quot;?5"/>
      <sheetName val="מאזן_ורוו&quot;ה7"/>
      <sheetName val="ביאור_ר&quot;ק7"/>
      <sheetName val="הון_עצמי7"/>
      <sheetName val="תזרים_967"/>
      <sheetName val="תזרים_957"/>
      <sheetName val="תזרים_977"/>
      <sheetName val="תזרים_3_977"/>
      <sheetName val="תזרים_3_987"/>
      <sheetName val="בעלי_ענין7"/>
      <sheetName val="????_????&quot;?7"/>
      <sheetName val="מאזן_ורוו&quot;ה8"/>
      <sheetName val="ביאור_ר&quot;ק8"/>
      <sheetName val="הון_עצמי8"/>
      <sheetName val="תזרים_968"/>
      <sheetName val="תזרים_958"/>
      <sheetName val="תזרים_978"/>
      <sheetName val="תזרים_3_978"/>
      <sheetName val="תזרים_3_988"/>
      <sheetName val="בעלי_ענין8"/>
      <sheetName val="????_????&quot;?8"/>
      <sheetName val="הרכבה מאוחד"/>
      <sheetName val="ASP_Projections2"/>
    </sheetNames>
    <sheetDataSet>
      <sheetData sheetId="0" refreshError="1">
        <row r="2">
          <cell r="A2" t="str">
            <v>טלגייט בע"מ</v>
          </cell>
        </row>
        <row r="3">
          <cell r="A3" t="str">
            <v>דוחות באלפי ש"ח מותאמים למדד 31.3.98</v>
          </cell>
        </row>
        <row r="7">
          <cell r="B7" t="str">
            <v>ליום 31 במרס</v>
          </cell>
          <cell r="E7" t="str">
            <v>ליום 31 בדצמבר</v>
          </cell>
          <cell r="M7" t="str">
            <v>ליום 31 בדצמבר</v>
          </cell>
          <cell r="R7">
            <v>12.97</v>
          </cell>
        </row>
        <row r="8">
          <cell r="B8">
            <v>1998</v>
          </cell>
          <cell r="C8">
            <v>1997</v>
          </cell>
          <cell r="E8">
            <v>1997</v>
          </cell>
          <cell r="F8">
            <v>1996</v>
          </cell>
          <cell r="G8">
            <v>1995</v>
          </cell>
          <cell r="H8">
            <v>1994</v>
          </cell>
          <cell r="K8">
            <v>1997</v>
          </cell>
          <cell r="M8">
            <v>1997</v>
          </cell>
          <cell r="N8">
            <v>1996</v>
          </cell>
          <cell r="O8">
            <v>1995</v>
          </cell>
          <cell r="P8">
            <v>1994</v>
          </cell>
          <cell r="R8">
            <v>3.97</v>
          </cell>
        </row>
        <row r="9">
          <cell r="B9" t="str">
            <v>אלפי ש"ח מותאמים למדד 31.3.98</v>
          </cell>
          <cell r="E9" t="str">
            <v>אלפי ש"ח מותאמים למדד 31.3.98</v>
          </cell>
          <cell r="K9" t="str">
            <v>אלפי $</v>
          </cell>
          <cell r="M9" t="str">
            <v>אלפי $</v>
          </cell>
          <cell r="N9" t="str">
            <v>אלפי $</v>
          </cell>
          <cell r="O9" t="str">
            <v>$</v>
          </cell>
          <cell r="P9" t="str">
            <v>$ מותאם ל-12/95</v>
          </cell>
          <cell r="R9">
            <v>12.96</v>
          </cell>
        </row>
        <row r="10">
          <cell r="A10" t="str">
            <v>רכוש שוטף</v>
          </cell>
          <cell r="R10">
            <v>12.95</v>
          </cell>
        </row>
        <row r="11">
          <cell r="A11" t="str">
            <v>מזומנים ושווי מזומנים</v>
          </cell>
          <cell r="B11">
            <v>2273</v>
          </cell>
          <cell r="C11">
            <v>9533</v>
          </cell>
          <cell r="E11">
            <v>8524</v>
          </cell>
          <cell r="F11">
            <v>12561</v>
          </cell>
          <cell r="G11">
            <v>3081</v>
          </cell>
          <cell r="H11">
            <v>2267</v>
          </cell>
          <cell r="K11">
            <v>2718</v>
          </cell>
          <cell r="M11">
            <v>2409</v>
          </cell>
          <cell r="N11">
            <v>3609</v>
          </cell>
          <cell r="O11">
            <v>830168</v>
          </cell>
          <cell r="P11">
            <v>1835604</v>
          </cell>
          <cell r="R11">
            <v>12.94</v>
          </cell>
        </row>
        <row r="12">
          <cell r="A12" t="str">
            <v>ניירות ערך סחירים</v>
          </cell>
          <cell r="B12">
            <v>0</v>
          </cell>
          <cell r="C12">
            <v>786</v>
          </cell>
          <cell r="E12">
            <v>0</v>
          </cell>
          <cell r="F12">
            <v>769</v>
          </cell>
          <cell r="G12">
            <v>847</v>
          </cell>
          <cell r="H12">
            <v>1896</v>
          </cell>
          <cell r="K12">
            <v>224</v>
          </cell>
          <cell r="M12">
            <v>0</v>
          </cell>
          <cell r="N12">
            <v>221</v>
          </cell>
          <cell r="O12">
            <v>228265</v>
          </cell>
          <cell r="P12">
            <v>1535102</v>
          </cell>
          <cell r="R12">
            <v>12.93</v>
          </cell>
        </row>
        <row r="13">
          <cell r="A13" t="str">
            <v>הכנסות לקבל - השתתפות ממשלה</v>
          </cell>
          <cell r="B13">
            <v>2496</v>
          </cell>
          <cell r="C13">
            <v>1803</v>
          </cell>
          <cell r="E13">
            <v>821</v>
          </cell>
          <cell r="F13">
            <v>1197</v>
          </cell>
          <cell r="G13">
            <v>943</v>
          </cell>
          <cell r="H13">
            <v>517</v>
          </cell>
          <cell r="K13">
            <v>514</v>
          </cell>
          <cell r="M13">
            <v>232</v>
          </cell>
          <cell r="N13">
            <v>344</v>
          </cell>
          <cell r="O13">
            <v>254041</v>
          </cell>
          <cell r="P13">
            <v>418636</v>
          </cell>
        </row>
        <row r="14">
          <cell r="A14" t="str">
            <v>חייבים ויתרות חובה</v>
          </cell>
          <cell r="B14">
            <v>432</v>
          </cell>
          <cell r="C14">
            <v>330</v>
          </cell>
          <cell r="E14">
            <v>393</v>
          </cell>
          <cell r="F14">
            <v>449</v>
          </cell>
          <cell r="G14">
            <v>70</v>
          </cell>
          <cell r="H14">
            <v>117</v>
          </cell>
          <cell r="K14">
            <v>94</v>
          </cell>
          <cell r="M14">
            <v>111</v>
          </cell>
          <cell r="N14">
            <v>129</v>
          </cell>
          <cell r="O14">
            <v>18990</v>
          </cell>
          <cell r="P14">
            <v>94920</v>
          </cell>
          <cell r="R14" t="str">
            <v>1-3.98</v>
          </cell>
        </row>
        <row r="15">
          <cell r="A15" t="str">
            <v>מלאי</v>
          </cell>
          <cell r="B15">
            <v>2741</v>
          </cell>
          <cell r="C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K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R15" t="str">
            <v>1-12.97</v>
          </cell>
        </row>
        <row r="16">
          <cell r="R16" t="str">
            <v>1-3.97</v>
          </cell>
        </row>
        <row r="17">
          <cell r="B17">
            <v>7942</v>
          </cell>
          <cell r="C17">
            <v>12452</v>
          </cell>
          <cell r="E17">
            <v>9738</v>
          </cell>
          <cell r="F17">
            <v>14976</v>
          </cell>
          <cell r="G17">
            <v>4941</v>
          </cell>
          <cell r="H17">
            <v>4797</v>
          </cell>
          <cell r="K17">
            <v>3550</v>
          </cell>
          <cell r="M17">
            <v>2752</v>
          </cell>
          <cell r="N17">
            <v>4303</v>
          </cell>
          <cell r="O17">
            <v>1331464</v>
          </cell>
          <cell r="P17">
            <v>3884262</v>
          </cell>
          <cell r="R17" t="str">
            <v>1-12.96</v>
          </cell>
        </row>
        <row r="18">
          <cell r="A18" t="str">
            <v>רכוש קבוע</v>
          </cell>
          <cell r="R18" t="str">
            <v>1-12.95</v>
          </cell>
        </row>
        <row r="19">
          <cell r="A19" t="str">
            <v>עלות</v>
          </cell>
          <cell r="B19">
            <v>3521</v>
          </cell>
          <cell r="C19">
            <v>2416</v>
          </cell>
          <cell r="E19">
            <v>3305</v>
          </cell>
          <cell r="F19">
            <v>2032</v>
          </cell>
          <cell r="G19">
            <v>1513</v>
          </cell>
          <cell r="H19">
            <v>988</v>
          </cell>
          <cell r="K19">
            <v>866</v>
          </cell>
          <cell r="M19">
            <v>1298</v>
          </cell>
          <cell r="N19">
            <v>720</v>
          </cell>
          <cell r="O19">
            <v>450981.18022328551</v>
          </cell>
          <cell r="P19">
            <v>794663</v>
          </cell>
          <cell r="R19" t="str">
            <v>1-12.94</v>
          </cell>
        </row>
        <row r="20">
          <cell r="A20" t="str">
            <v>בניכוי - פחת נצבר</v>
          </cell>
          <cell r="K20">
            <v>232</v>
          </cell>
          <cell r="M20">
            <v>400</v>
          </cell>
          <cell r="N20">
            <v>190</v>
          </cell>
          <cell r="O20">
            <v>79769.696969696975</v>
          </cell>
          <cell r="P20">
            <v>69908</v>
          </cell>
          <cell r="R20" t="str">
            <v>1-12.93</v>
          </cell>
        </row>
        <row r="22">
          <cell r="B22">
            <v>3521</v>
          </cell>
          <cell r="C22">
            <v>2416</v>
          </cell>
          <cell r="E22">
            <v>3305</v>
          </cell>
          <cell r="F22">
            <v>2032</v>
          </cell>
          <cell r="G22">
            <v>1513</v>
          </cell>
          <cell r="H22">
            <v>988</v>
          </cell>
          <cell r="K22">
            <v>634</v>
          </cell>
          <cell r="M22">
            <v>898</v>
          </cell>
          <cell r="N22">
            <v>530</v>
          </cell>
          <cell r="O22">
            <v>371211.48325358855</v>
          </cell>
          <cell r="P22">
            <v>724755</v>
          </cell>
        </row>
        <row r="24">
          <cell r="B24">
            <v>11463</v>
          </cell>
          <cell r="C24">
            <v>14868</v>
          </cell>
          <cell r="E24">
            <v>13043</v>
          </cell>
          <cell r="F24">
            <v>17008</v>
          </cell>
          <cell r="G24">
            <v>6454</v>
          </cell>
          <cell r="H24">
            <v>5785</v>
          </cell>
          <cell r="K24">
            <v>4184</v>
          </cell>
          <cell r="M24">
            <v>3650</v>
          </cell>
          <cell r="N24">
            <v>4833</v>
          </cell>
          <cell r="O24">
            <v>1702675.4832535884</v>
          </cell>
          <cell r="P24">
            <v>4609017</v>
          </cell>
        </row>
        <row r="26">
          <cell r="A26" t="str">
            <v>התחיבויות שוטפות</v>
          </cell>
        </row>
        <row r="27">
          <cell r="A27" t="str">
            <v>אשראי מתאגידים בנקאים</v>
          </cell>
          <cell r="B27">
            <v>79</v>
          </cell>
          <cell r="C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K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A28" t="str">
            <v>התחיבויות לספקים ונותני שירותים</v>
          </cell>
          <cell r="B28">
            <v>4259</v>
          </cell>
          <cell r="C28">
            <v>972</v>
          </cell>
          <cell r="E28">
            <v>2629</v>
          </cell>
          <cell r="F28">
            <v>1002</v>
          </cell>
          <cell r="G28">
            <v>545</v>
          </cell>
          <cell r="H28">
            <v>466</v>
          </cell>
          <cell r="K28">
            <v>277</v>
          </cell>
          <cell r="M28">
            <v>743</v>
          </cell>
          <cell r="N28">
            <v>288</v>
          </cell>
          <cell r="O28">
            <v>146775</v>
          </cell>
          <cell r="P28">
            <v>376967</v>
          </cell>
        </row>
        <row r="29">
          <cell r="A29" t="str">
            <v>עובדים ומוסדות בגין שכר</v>
          </cell>
          <cell r="B29">
            <v>2834</v>
          </cell>
          <cell r="C29">
            <v>1438</v>
          </cell>
          <cell r="E29">
            <v>1914</v>
          </cell>
          <cell r="F29">
            <v>1082</v>
          </cell>
          <cell r="G29">
            <v>801</v>
          </cell>
          <cell r="H29">
            <v>785</v>
          </cell>
          <cell r="K29">
            <v>410</v>
          </cell>
          <cell r="M29">
            <v>541</v>
          </cell>
          <cell r="N29">
            <v>311</v>
          </cell>
          <cell r="O29">
            <v>215715</v>
          </cell>
          <cell r="P29">
            <v>635529</v>
          </cell>
        </row>
        <row r="30">
          <cell r="A30" t="str">
            <v>זכאים ויתרות זכות</v>
          </cell>
          <cell r="B30">
            <v>303</v>
          </cell>
          <cell r="C30">
            <v>470</v>
          </cell>
          <cell r="E30">
            <v>287</v>
          </cell>
          <cell r="F30">
            <v>310</v>
          </cell>
          <cell r="G30">
            <v>221</v>
          </cell>
          <cell r="H30">
            <v>335</v>
          </cell>
          <cell r="K30">
            <v>134</v>
          </cell>
          <cell r="M30">
            <v>81</v>
          </cell>
          <cell r="N30">
            <v>89</v>
          </cell>
          <cell r="O30">
            <v>59590</v>
          </cell>
          <cell r="P30">
            <v>271501</v>
          </cell>
        </row>
        <row r="32">
          <cell r="B32">
            <v>7475</v>
          </cell>
          <cell r="C32">
            <v>2880</v>
          </cell>
          <cell r="E32">
            <v>4830</v>
          </cell>
          <cell r="F32">
            <v>2394</v>
          </cell>
          <cell r="G32">
            <v>1567</v>
          </cell>
          <cell r="H32">
            <v>1586</v>
          </cell>
          <cell r="K32">
            <v>821</v>
          </cell>
          <cell r="M32">
            <v>1365</v>
          </cell>
          <cell r="N32">
            <v>688</v>
          </cell>
          <cell r="O32">
            <v>422080</v>
          </cell>
          <cell r="P32">
            <v>1283997</v>
          </cell>
        </row>
        <row r="33">
          <cell r="A33" t="str">
            <v>התחיבויות לז"א</v>
          </cell>
        </row>
        <row r="34">
          <cell r="A34" t="str">
            <v>הלוואות בעלים</v>
          </cell>
          <cell r="B34">
            <v>9118</v>
          </cell>
          <cell r="C34">
            <v>3059</v>
          </cell>
          <cell r="E34">
            <v>8846</v>
          </cell>
          <cell r="F34">
            <v>3780</v>
          </cell>
          <cell r="G34">
            <v>1113</v>
          </cell>
          <cell r="H34">
            <v>0</v>
          </cell>
          <cell r="K34">
            <v>872</v>
          </cell>
          <cell r="M34">
            <v>2500</v>
          </cell>
          <cell r="N34">
            <v>1086</v>
          </cell>
          <cell r="O34">
            <v>300000</v>
          </cell>
          <cell r="P34">
            <v>0</v>
          </cell>
        </row>
        <row r="35">
          <cell r="A35" t="str">
            <v>התחיבו בשל סיום יחסי עובד - מעביד, נטו</v>
          </cell>
          <cell r="B35">
            <v>860</v>
          </cell>
          <cell r="C35">
            <v>445</v>
          </cell>
          <cell r="E35">
            <v>492</v>
          </cell>
          <cell r="F35">
            <v>240</v>
          </cell>
          <cell r="G35">
            <v>114</v>
          </cell>
          <cell r="H35">
            <v>54</v>
          </cell>
          <cell r="K35">
            <v>127</v>
          </cell>
          <cell r="M35">
            <v>139</v>
          </cell>
          <cell r="N35">
            <v>69</v>
          </cell>
          <cell r="O35">
            <v>30651</v>
          </cell>
          <cell r="P35">
            <v>43752</v>
          </cell>
        </row>
        <row r="37">
          <cell r="B37">
            <v>9978</v>
          </cell>
          <cell r="C37">
            <v>3504</v>
          </cell>
          <cell r="E37">
            <v>9338</v>
          </cell>
          <cell r="F37">
            <v>4020</v>
          </cell>
          <cell r="G37">
            <v>1227</v>
          </cell>
          <cell r="H37">
            <v>54</v>
          </cell>
          <cell r="K37">
            <v>999</v>
          </cell>
          <cell r="M37">
            <v>2639</v>
          </cell>
          <cell r="N37">
            <v>1155</v>
          </cell>
          <cell r="O37">
            <v>330651</v>
          </cell>
          <cell r="P37">
            <v>43752</v>
          </cell>
        </row>
        <row r="38">
          <cell r="A38" t="str">
            <v>הון עצמי (גרעון בהון)</v>
          </cell>
        </row>
        <row r="39">
          <cell r="A39" t="str">
            <v>הון מניות</v>
          </cell>
          <cell r="B39">
            <v>90</v>
          </cell>
          <cell r="C39">
            <v>88</v>
          </cell>
          <cell r="E39">
            <v>90</v>
          </cell>
          <cell r="F39">
            <v>86</v>
          </cell>
          <cell r="G39">
            <v>61</v>
          </cell>
          <cell r="H39">
            <v>45</v>
          </cell>
          <cell r="K39">
            <v>23</v>
          </cell>
          <cell r="M39">
            <v>23</v>
          </cell>
          <cell r="N39">
            <v>22</v>
          </cell>
          <cell r="O39">
            <v>14884</v>
          </cell>
          <cell r="P39">
            <v>33354</v>
          </cell>
        </row>
        <row r="40">
          <cell r="A40" t="str">
            <v>פרחיה על מניות</v>
          </cell>
          <cell r="B40">
            <v>35558</v>
          </cell>
          <cell r="C40">
            <v>34393</v>
          </cell>
          <cell r="E40">
            <v>35558</v>
          </cell>
          <cell r="F40">
            <v>33646</v>
          </cell>
          <cell r="G40">
            <v>13458</v>
          </cell>
          <cell r="H40">
            <v>8784</v>
          </cell>
          <cell r="K40">
            <v>9238</v>
          </cell>
          <cell r="M40">
            <v>9569</v>
          </cell>
          <cell r="N40">
            <v>9026</v>
          </cell>
          <cell r="O40">
            <v>3321655</v>
          </cell>
          <cell r="P40">
            <v>6516815</v>
          </cell>
        </row>
        <row r="41">
          <cell r="A41" t="str">
            <v>קרן הון</v>
          </cell>
          <cell r="B41">
            <v>-999</v>
          </cell>
          <cell r="C41">
            <v>-2239</v>
          </cell>
          <cell r="E41">
            <v>-1260</v>
          </cell>
          <cell r="F41">
            <v>-2555</v>
          </cell>
          <cell r="G41">
            <v>0</v>
          </cell>
          <cell r="H41">
            <v>0</v>
          </cell>
          <cell r="K41">
            <v>-644</v>
          </cell>
          <cell r="M41">
            <v>-362</v>
          </cell>
          <cell r="N41">
            <v>-734</v>
          </cell>
          <cell r="O41">
            <v>0</v>
          </cell>
          <cell r="P41">
            <v>0</v>
          </cell>
        </row>
        <row r="42">
          <cell r="A42" t="str">
            <v>יתרת הפסד</v>
          </cell>
          <cell r="B42">
            <v>-40639</v>
          </cell>
          <cell r="C42">
            <v>-23758</v>
          </cell>
          <cell r="E42">
            <v>-35513</v>
          </cell>
          <cell r="F42">
            <v>-20583</v>
          </cell>
          <cell r="G42">
            <v>-9859</v>
          </cell>
          <cell r="H42">
            <v>-4684</v>
          </cell>
          <cell r="K42">
            <v>-6253</v>
          </cell>
          <cell r="M42">
            <v>-9584</v>
          </cell>
          <cell r="N42">
            <v>-5324</v>
          </cell>
          <cell r="O42">
            <v>-2386595</v>
          </cell>
          <cell r="P42">
            <v>-3268901</v>
          </cell>
        </row>
        <row r="44">
          <cell r="B44">
            <v>-5990</v>
          </cell>
          <cell r="C44">
            <v>8484</v>
          </cell>
          <cell r="E44">
            <v>-1125</v>
          </cell>
          <cell r="F44">
            <v>10594</v>
          </cell>
          <cell r="G44">
            <v>3660</v>
          </cell>
          <cell r="H44">
            <v>4145</v>
          </cell>
          <cell r="K44">
            <v>2364</v>
          </cell>
          <cell r="M44">
            <v>-354</v>
          </cell>
          <cell r="N44">
            <v>2990</v>
          </cell>
          <cell r="O44">
            <v>949944</v>
          </cell>
          <cell r="P44">
            <v>3281268</v>
          </cell>
        </row>
        <row r="46">
          <cell r="B46">
            <v>11463</v>
          </cell>
          <cell r="C46">
            <v>14868</v>
          </cell>
          <cell r="E46">
            <v>13043</v>
          </cell>
          <cell r="F46">
            <v>17008</v>
          </cell>
          <cell r="G46">
            <v>6454</v>
          </cell>
          <cell r="H46">
            <v>5785</v>
          </cell>
          <cell r="K46">
            <v>4184</v>
          </cell>
          <cell r="M46">
            <v>3650</v>
          </cell>
          <cell r="N46">
            <v>4833</v>
          </cell>
          <cell r="O46">
            <v>1702675</v>
          </cell>
          <cell r="P46">
            <v>4609017</v>
          </cell>
        </row>
        <row r="48">
          <cell r="B48">
            <v>0</v>
          </cell>
          <cell r="C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K48">
            <v>0</v>
          </cell>
          <cell r="M48">
            <v>0</v>
          </cell>
          <cell r="N48">
            <v>0</v>
          </cell>
          <cell r="O48">
            <v>0.48325358843430877</v>
          </cell>
          <cell r="P48">
            <v>0</v>
          </cell>
        </row>
        <row r="49">
          <cell r="K49">
            <v>1.1473684210526315E-3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>
        <row r="2">
          <cell r="A2" t="str">
            <v>טלגייט בע"מ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A2" t="str">
            <v>טלגייט בע"מ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2">
          <cell r="A2" t="str">
            <v>טלגייט בע"מ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2">
          <cell r="A2" t="str">
            <v>טלגייט בע"מ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>
        <row r="2">
          <cell r="A2" t="str">
            <v>טלגייט בע"מ</v>
          </cell>
        </row>
      </sheetData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 עבודה בתוך  4500-05  -  "/>
    </sheetNames>
    <definedNames>
      <definedName name="מאקרו1"/>
      <definedName name="מאקרו2"/>
    </defined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"/>
      <sheetName val="#REF"/>
      <sheetName val="\DATA\FELLUS\036184\1996\06-96\"/>
      <sheetName val="דוחות"/>
    </sheetNames>
    <definedNames>
      <definedName name="מאקרו1" refersTo="#REF!"/>
      <definedName name="מאקרו10" refersTo="#REF!"/>
      <definedName name="מאקרו2" refersTo="#REF!"/>
      <definedName name="מאקרו3" refersTo="#REF!"/>
      <definedName name="מאקרו4" refersTo="#REF!"/>
      <definedName name="מאקרו5" refersTo="#REF!"/>
      <definedName name="מאקרו6" refersTo="#REF!"/>
      <definedName name="מאקרו7" refersTo="#REF!"/>
      <definedName name="מאקרו8" refersTo="#REF!"/>
      <definedName name="מאקרו9" refersTo="#REF!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200000"/>
      <sheetName val="anality bs"/>
      <sheetName val="anality pl"/>
      <sheetName val="אנליטי רוו&quot;ה"/>
      <sheetName val="אנליטי מאזן"/>
      <sheetName val="Consolidation "/>
      <sheetName val="INC"/>
      <sheetName val="BS"/>
      <sheetName val="P&amp;L"/>
      <sheetName val="AE"/>
      <sheetName val="cash flow"/>
      <sheetName val="Capital"/>
      <sheetName val="Fixed Assets"/>
      <sheetName val="lease"/>
      <sheetName val="NOTES"/>
      <sheetName val="EPS2000"/>
      <sheetName val="EPSprofo"/>
      <sheetName val="COGS Allocation"/>
      <sheetName val="Deferred compensation"/>
      <sheetName val="מאזן ורוו&quot;ה"/>
      <sheetName val="HARCAVA"/>
      <sheetName val="שאלון מלאי"/>
      <sheetName val="דוחות"/>
      <sheetName val="anality_bs"/>
      <sheetName val="anality_pl"/>
      <sheetName val="אנליטי_רוו&quot;ה"/>
      <sheetName val="אנליטי_מאזן"/>
      <sheetName val="Consolidation_"/>
      <sheetName val="cash_flow"/>
      <sheetName val="Fixed_Assets"/>
      <sheetName val="COGS_Allocation"/>
      <sheetName val="Deferred_compensation"/>
      <sheetName val="מאזן_ורוו&quot;ה"/>
      <sheetName val="investment- acounting"/>
      <sheetName val="anality_bs4"/>
      <sheetName val="anality_pl4"/>
      <sheetName val="אנליטי_רוו&quot;ה4"/>
      <sheetName val="אנליטי_מאזן4"/>
      <sheetName val="Consolidation_4"/>
      <sheetName val="cash_flow4"/>
      <sheetName val="Fixed_Assets4"/>
      <sheetName val="COGS_Allocation4"/>
      <sheetName val="Deferred_compensation4"/>
      <sheetName val="מאזן_ורוו&quot;ה2"/>
      <sheetName val="anality_bs1"/>
      <sheetName val="anality_pl1"/>
      <sheetName val="אנליטי_רוו&quot;ה1"/>
      <sheetName val="אנליטי_מאזן1"/>
      <sheetName val="Consolidation_1"/>
      <sheetName val="cash_flow1"/>
      <sheetName val="Fixed_Assets1"/>
      <sheetName val="COGS_Allocation1"/>
      <sheetName val="Deferred_compensation1"/>
      <sheetName val="anality_bs2"/>
      <sheetName val="anality_pl2"/>
      <sheetName val="אנליטי_רוו&quot;ה2"/>
      <sheetName val="אנליטי_מאזן2"/>
      <sheetName val="Consolidation_2"/>
      <sheetName val="cash_flow2"/>
      <sheetName val="Fixed_Assets2"/>
      <sheetName val="COGS_Allocation2"/>
      <sheetName val="Deferred_compensation2"/>
      <sheetName val="anality_bs3"/>
      <sheetName val="anality_pl3"/>
      <sheetName val="אנליטי_רוו&quot;ה3"/>
      <sheetName val="אנליטי_מאזן3"/>
      <sheetName val="Consolidation_3"/>
      <sheetName val="cash_flow3"/>
      <sheetName val="Fixed_Assets3"/>
      <sheetName val="COGS_Allocation3"/>
      <sheetName val="Deferred_compensation3"/>
      <sheetName val="מאזן_ורוו&quot;ה1"/>
      <sheetName val="anality_bs6"/>
      <sheetName val="anality_pl6"/>
      <sheetName val="אנליטי_רוו&quot;ה6"/>
      <sheetName val="אנליטי_מאזן6"/>
      <sheetName val="Consolidation_6"/>
      <sheetName val="cash_flow6"/>
      <sheetName val="Fixed_Assets6"/>
      <sheetName val="COGS_Allocation6"/>
      <sheetName val="Deferred_compensation6"/>
      <sheetName val="anality_bs5"/>
      <sheetName val="anality_pl5"/>
      <sheetName val="אנליטי_רוו&quot;ה5"/>
      <sheetName val="אנליטי_מאזן5"/>
      <sheetName val="Consolidation_5"/>
      <sheetName val="cash_flow5"/>
      <sheetName val="Fixed_Assets5"/>
      <sheetName val="COGS_Allocation5"/>
      <sheetName val="Deferred_compensation5"/>
      <sheetName val="מאזן_ורוו&quot;ה3"/>
      <sheetName val="anality_bs7"/>
      <sheetName val="anality_pl7"/>
      <sheetName val="אנליטי_רוו&quot;ה7"/>
      <sheetName val="אנליטי_מאזן7"/>
      <sheetName val="Consolidation_7"/>
      <sheetName val="cash_flow7"/>
      <sheetName val="Fixed_Assets7"/>
      <sheetName val="COGS_Allocation7"/>
      <sheetName val="Deferred_compensation7"/>
      <sheetName val="מאזן_ורוו&quot;ה4"/>
      <sheetName val="anality_bs8"/>
      <sheetName val="anality_pl8"/>
      <sheetName val="אנליטי_רוו&quot;ה8"/>
      <sheetName val="אנליטי_מאזן8"/>
      <sheetName val="Consolidation_8"/>
      <sheetName val="cash_flow8"/>
      <sheetName val="Fixed_Assets8"/>
      <sheetName val="COGS_Allocation8"/>
      <sheetName val="Deferred_compensation8"/>
      <sheetName val="מאזן_ורוו&quot;ה5"/>
      <sheetName val="פקוד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ווח למניה רבעוני 1997"/>
      <sheetName val="ניתוח אנליטי-רו&quot;ה"/>
      <sheetName val="options"/>
      <sheetName val="מיסים נדחים "/>
      <sheetName val="לקוחות עיקריים"/>
      <sheetName val="רווח למניה"/>
      <sheetName val="fasb 123"/>
      <sheetName val="מס 1998"/>
      <sheetName val="מס תאורטי"/>
      <sheetName val="ניתוח אנליטי- מאזן"/>
      <sheetName val="באורים"/>
      <sheetName val="capitalization"/>
      <sheetName val="F-1"/>
      <sheetName val="md&amp;a"/>
      <sheetName val="ניתוח אנליטי"/>
      <sheetName val="בעלי מניות"/>
      <sheetName val="reviews"/>
      <sheetName val="טבלת אופציות"/>
      <sheetName val="5 גדולים"/>
      <sheetName val="גיליון14"/>
      <sheetName val="גיליון15"/>
      <sheetName val="גיליון16"/>
      <sheetName val="???? ????? ?????? 1997"/>
      <sheetName val="הרכבה"/>
      <sheetName val="דוחות"/>
      <sheetName val="RD"/>
      <sheetName val="Consolidation "/>
      <sheetName val="רווח_למניה_רבעוני_19974"/>
      <sheetName val="ניתוח_אנליטי-רו&quot;ה4"/>
      <sheetName val="מיסים_נדחים_4"/>
      <sheetName val="לקוחות_עיקריים4"/>
      <sheetName val="רווח_למניה4"/>
      <sheetName val="fasb_1234"/>
      <sheetName val="מס_19984"/>
      <sheetName val="מס_תאורטי4"/>
      <sheetName val="ניתוח_אנליטי-_מאזן4"/>
      <sheetName val="ניתוח_אנליטי4"/>
      <sheetName val="בעלי_מניות4"/>
      <sheetName val="טבלת_אופציות4"/>
      <sheetName val="5_גדולים4"/>
      <sheetName val="????_?????_??????_19974"/>
      <sheetName val="Consolidation_2"/>
      <sheetName val="רווח_למניה_רבעוני_1997"/>
      <sheetName val="ניתוח_אנליטי-רו&quot;ה"/>
      <sheetName val="מיסים_נדחים_"/>
      <sheetName val="לקוחות_עיקריים"/>
      <sheetName val="רווח_למניה"/>
      <sheetName val="fasb_123"/>
      <sheetName val="מס_1998"/>
      <sheetName val="מס_תאורטי"/>
      <sheetName val="ניתוח_אנליטי-_מאזן"/>
      <sheetName val="ניתוח_אנליטי"/>
      <sheetName val="בעלי_מניות"/>
      <sheetName val="טבלת_אופציות"/>
      <sheetName val="5_גדולים"/>
      <sheetName val="????_?????_??????_1997"/>
      <sheetName val="רווח_למניה_רבעוני_19971"/>
      <sheetName val="ניתוח_אנליטי-רו&quot;ה1"/>
      <sheetName val="מיסים_נדחים_1"/>
      <sheetName val="לקוחות_עיקריים1"/>
      <sheetName val="רווח_למניה1"/>
      <sheetName val="fasb_1231"/>
      <sheetName val="מס_19981"/>
      <sheetName val="מס_תאורטי1"/>
      <sheetName val="ניתוח_אנליטי-_מאזן1"/>
      <sheetName val="ניתוח_אנליטי1"/>
      <sheetName val="בעלי_מניות1"/>
      <sheetName val="טבלת_אופציות1"/>
      <sheetName val="5_גדולים1"/>
      <sheetName val="????_?????_??????_19971"/>
      <sheetName val="רווח_למניה_רבעוני_19972"/>
      <sheetName val="ניתוח_אנליטי-רו&quot;ה2"/>
      <sheetName val="מיסים_נדחים_2"/>
      <sheetName val="לקוחות_עיקריים2"/>
      <sheetName val="רווח_למניה2"/>
      <sheetName val="fasb_1232"/>
      <sheetName val="מס_19982"/>
      <sheetName val="מס_תאורטי2"/>
      <sheetName val="ניתוח_אנליטי-_מאזן2"/>
      <sheetName val="ניתוח_אנליטי2"/>
      <sheetName val="בעלי_מניות2"/>
      <sheetName val="טבלת_אופציות2"/>
      <sheetName val="5_גדולים2"/>
      <sheetName val="????_?????_??????_19972"/>
      <sheetName val="Consolidation_"/>
      <sheetName val="רווח_למניה_רבעוני_19973"/>
      <sheetName val="ניתוח_אנליטי-רו&quot;ה3"/>
      <sheetName val="מיסים_נדחים_3"/>
      <sheetName val="לקוחות_עיקריים3"/>
      <sheetName val="רווח_למניה3"/>
      <sheetName val="fasb_1233"/>
      <sheetName val="מס_19983"/>
      <sheetName val="מס_תאורטי3"/>
      <sheetName val="ניתוח_אנליטי-_מאזן3"/>
      <sheetName val="ניתוח_אנליטי3"/>
      <sheetName val="בעלי_מניות3"/>
      <sheetName val="טבלת_אופציות3"/>
      <sheetName val="5_גדולים3"/>
      <sheetName val="????_?????_??????_19973"/>
      <sheetName val="Consolidation_1"/>
      <sheetName val="רווח_למניה_רבעוני_19976"/>
      <sheetName val="ניתוח_אנליטי-רו&quot;ה6"/>
      <sheetName val="מיסים_נדחים_6"/>
      <sheetName val="לקוחות_עיקריים6"/>
      <sheetName val="רווח_למניה6"/>
      <sheetName val="fasb_1236"/>
      <sheetName val="מס_19986"/>
      <sheetName val="מס_תאורטי6"/>
      <sheetName val="ניתוח_אנליטי-_מאזן6"/>
      <sheetName val="ניתוח_אנליטי6"/>
      <sheetName val="בעלי_מניות6"/>
      <sheetName val="טבלת_אופציות6"/>
      <sheetName val="5_גדולים6"/>
      <sheetName val="????_?????_??????_19976"/>
      <sheetName val="רווח_למניה_רבעוני_19975"/>
      <sheetName val="ניתוח_אנליטי-רו&quot;ה5"/>
      <sheetName val="מיסים_נדחים_5"/>
      <sheetName val="לקוחות_עיקריים5"/>
      <sheetName val="רווח_למניה5"/>
      <sheetName val="fasb_1235"/>
      <sheetName val="מס_19985"/>
      <sheetName val="מס_תאורטי5"/>
      <sheetName val="ניתוח_אנליטי-_מאזן5"/>
      <sheetName val="ניתוח_אנליטי5"/>
      <sheetName val="בעלי_מניות5"/>
      <sheetName val="טבלת_אופציות5"/>
      <sheetName val="5_גדולים5"/>
      <sheetName val="????_?????_??????_19975"/>
      <sheetName val="Consolidation_3"/>
      <sheetName val="רווח_למניה_רבעוני_19977"/>
      <sheetName val="ניתוח_אנליטי-רו&quot;ה7"/>
      <sheetName val="מיסים_נדחים_7"/>
      <sheetName val="לקוחות_עיקריים7"/>
      <sheetName val="רווח_למניה7"/>
      <sheetName val="fasb_1237"/>
      <sheetName val="מס_19987"/>
      <sheetName val="מס_תאורטי7"/>
      <sheetName val="ניתוח_אנליטי-_מאזן7"/>
      <sheetName val="ניתוח_אנליטי7"/>
      <sheetName val="בעלי_מניות7"/>
      <sheetName val="טבלת_אופציות7"/>
      <sheetName val="5_גדולים7"/>
      <sheetName val="????_?????_??????_19977"/>
      <sheetName val="Consolidation_4"/>
      <sheetName val="רווח_למניה_רבעוני_19978"/>
      <sheetName val="ניתוח_אנליטי-רו&quot;ה8"/>
      <sheetName val="מיסים_נדחים_8"/>
      <sheetName val="לקוחות_עיקריים8"/>
      <sheetName val="רווח_למניה8"/>
      <sheetName val="fasb_1238"/>
      <sheetName val="מס_19988"/>
      <sheetName val="מס_תאורטי8"/>
      <sheetName val="ניתוח_אנליטי-_מאזן8"/>
      <sheetName val="ניתוח_אנליטי8"/>
      <sheetName val="בעלי_מניות8"/>
      <sheetName val="טבלת_אופציות8"/>
      <sheetName val="5_גדולים8"/>
      <sheetName val="????_?????_??????_19978"/>
      <sheetName val="Consolidation_5"/>
      <sheetName val="מדדים ושע&quot;ח"/>
      <sheetName val="אלדור"/>
      <sheetName val="קבוצת טלדור"/>
      <sheetName val="טנדם"/>
      <sheetName val="מאזן ורוו&quot;ה"/>
      <sheetName val="תעודה א"/>
      <sheetName val="קניית מגרש"/>
      <sheetName val=" הוצאות בשלב התכנון עד היתר הבנ"/>
      <sheetName val="הוצאות לבניית שלד"/>
      <sheetName val="הוצאות לשלב הגמר"/>
      <sheetName val="לפני הכניסה לבית"/>
      <sheetName val="פינוקים לבית"/>
      <sheetName val="לוח מפתחות העמסה"/>
      <sheetName val="שינויים במלאי מאזן"/>
      <sheetName val="ביאורים"/>
    </sheetNames>
    <sheetDataSet>
      <sheetData sheetId="0"/>
      <sheetData sheetId="1">
        <row r="1">
          <cell r="N1" t="str">
            <v>TTI Team Telecom International Ltd.</v>
          </cell>
        </row>
      </sheetData>
      <sheetData sheetId="2"/>
      <sheetData sheetId="3"/>
      <sheetData sheetId="4">
        <row r="1">
          <cell r="N1" t="str">
            <v>TTI Team Telecom International Ltd.</v>
          </cell>
        </row>
      </sheetData>
      <sheetData sheetId="5">
        <row r="1">
          <cell r="N1" t="str">
            <v>TTI Team Telecom International Ltd.</v>
          </cell>
        </row>
      </sheetData>
      <sheetData sheetId="6">
        <row r="1">
          <cell r="N1" t="str">
            <v>TTI Team Telecom International Ltd.</v>
          </cell>
        </row>
      </sheetData>
      <sheetData sheetId="7">
        <row r="1">
          <cell r="N1" t="str">
            <v>TTI Team Telecom International Ltd.</v>
          </cell>
        </row>
      </sheetData>
      <sheetData sheetId="8">
        <row r="1">
          <cell r="N1" t="str">
            <v>TTI Team Telecom International Ltd.</v>
          </cell>
        </row>
      </sheetData>
      <sheetData sheetId="9">
        <row r="1">
          <cell r="N1" t="str">
            <v>TTI Team Telecom International Ltd.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>
        <row r="1">
          <cell r="N1" t="str">
            <v>TTI Team Telecom International Ltd.</v>
          </cell>
        </row>
      </sheetData>
      <sheetData sheetId="29"/>
      <sheetData sheetId="30">
        <row r="1">
          <cell r="N1" t="str">
            <v>TTI Team Telecom International Ltd.</v>
          </cell>
        </row>
      </sheetData>
      <sheetData sheetId="31"/>
      <sheetData sheetId="32"/>
      <sheetData sheetId="33"/>
      <sheetData sheetId="34"/>
      <sheetData sheetId="35">
        <row r="1">
          <cell r="N1" t="str">
            <v>TTI Team Telecom International Ltd.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>
        <row r="1">
          <cell r="N1" t="str">
            <v>TTI Team Telecom International Ltd.</v>
          </cell>
        </row>
      </sheetData>
      <sheetData sheetId="44"/>
      <sheetData sheetId="45">
        <row r="1">
          <cell r="N1" t="str">
            <v>TTI Team Telecom International Ltd.</v>
          </cell>
        </row>
      </sheetData>
      <sheetData sheetId="46">
        <row r="1">
          <cell r="N1" t="str">
            <v>TTI Team Telecom International Ltd.</v>
          </cell>
        </row>
      </sheetData>
      <sheetData sheetId="47">
        <row r="1">
          <cell r="N1" t="str">
            <v>TTI Team Telecom International Ltd.</v>
          </cell>
        </row>
      </sheetData>
      <sheetData sheetId="48">
        <row r="1">
          <cell r="N1" t="str">
            <v>TTI Team Telecom International Ltd.</v>
          </cell>
        </row>
      </sheetData>
      <sheetData sheetId="49">
        <row r="1">
          <cell r="N1" t="str">
            <v>TTI Team Telecom International Ltd.</v>
          </cell>
        </row>
      </sheetData>
      <sheetData sheetId="50">
        <row r="1">
          <cell r="N1" t="str">
            <v>TTI Team Telecom International Ltd.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>
        <row r="1">
          <cell r="N1" t="str">
            <v>TTI Team Telecom International Ltd.</v>
          </cell>
        </row>
      </sheetData>
      <sheetData sheetId="58"/>
      <sheetData sheetId="59">
        <row r="1">
          <cell r="N1" t="str">
            <v>TTI Team Telecom International Ltd.</v>
          </cell>
        </row>
      </sheetData>
      <sheetData sheetId="60"/>
      <sheetData sheetId="61"/>
      <sheetData sheetId="62"/>
      <sheetData sheetId="63"/>
      <sheetData sheetId="64">
        <row r="1">
          <cell r="N1" t="str">
            <v>TTI Team Telecom International Ltd.</v>
          </cell>
        </row>
      </sheetData>
      <sheetData sheetId="65"/>
      <sheetData sheetId="66"/>
      <sheetData sheetId="67"/>
      <sheetData sheetId="68"/>
      <sheetData sheetId="69"/>
      <sheetData sheetId="70"/>
      <sheetData sheetId="71">
        <row r="1">
          <cell r="N1" t="str">
            <v>TTI Team Telecom International Ltd.</v>
          </cell>
        </row>
      </sheetData>
      <sheetData sheetId="72"/>
      <sheetData sheetId="73">
        <row r="1">
          <cell r="N1" t="str">
            <v>TTI Team Telecom International Ltd.</v>
          </cell>
        </row>
      </sheetData>
      <sheetData sheetId="74"/>
      <sheetData sheetId="75"/>
      <sheetData sheetId="76"/>
      <sheetData sheetId="77"/>
      <sheetData sheetId="78">
        <row r="1">
          <cell r="N1" t="str">
            <v>TTI Team Telecom International Ltd.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>
        <row r="1">
          <cell r="N1" t="str">
            <v>TTI Team Telecom International Ltd.</v>
          </cell>
        </row>
      </sheetData>
      <sheetData sheetId="87"/>
      <sheetData sheetId="88">
        <row r="1">
          <cell r="N1" t="str">
            <v>TTI Team Telecom International Ltd.</v>
          </cell>
        </row>
      </sheetData>
      <sheetData sheetId="89"/>
      <sheetData sheetId="90"/>
      <sheetData sheetId="91"/>
      <sheetData sheetId="92"/>
      <sheetData sheetId="93">
        <row r="1">
          <cell r="N1" t="str">
            <v>TTI Team Telecom International Ltd.</v>
          </cell>
        </row>
      </sheetData>
      <sheetData sheetId="94"/>
      <sheetData sheetId="95"/>
      <sheetData sheetId="96"/>
      <sheetData sheetId="97"/>
      <sheetData sheetId="98"/>
      <sheetData sheetId="99"/>
      <sheetData sheetId="100"/>
      <sheetData sheetId="101">
        <row r="1">
          <cell r="N1" t="str">
            <v>TTI Team Telecom International Ltd.</v>
          </cell>
        </row>
      </sheetData>
      <sheetData sheetId="102"/>
      <sheetData sheetId="103">
        <row r="1">
          <cell r="N1" t="str">
            <v>TTI Team Telecom International Ltd.</v>
          </cell>
        </row>
      </sheetData>
      <sheetData sheetId="104"/>
      <sheetData sheetId="105"/>
      <sheetData sheetId="106"/>
      <sheetData sheetId="107"/>
      <sheetData sheetId="108">
        <row r="1">
          <cell r="N1" t="str">
            <v>TTI Team Telecom International Ltd.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>
        <row r="1">
          <cell r="N1" t="str">
            <v>TTI Team Telecom International Ltd.</v>
          </cell>
        </row>
      </sheetData>
      <sheetData sheetId="116"/>
      <sheetData sheetId="117">
        <row r="1">
          <cell r="N1" t="str">
            <v>TTI Team Telecom International Ltd.</v>
          </cell>
        </row>
      </sheetData>
      <sheetData sheetId="118"/>
      <sheetData sheetId="119"/>
      <sheetData sheetId="120"/>
      <sheetData sheetId="121"/>
      <sheetData sheetId="122">
        <row r="1">
          <cell r="N1" t="str">
            <v>TTI Team Telecom International Ltd.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1">
          <cell r="N1" t="str">
            <v>TTI Team Telecom International Ltd.</v>
          </cell>
        </row>
      </sheetData>
      <sheetData sheetId="131"/>
      <sheetData sheetId="132">
        <row r="1">
          <cell r="N1" t="str">
            <v>TTI Team Telecom International Ltd.</v>
          </cell>
        </row>
      </sheetData>
      <sheetData sheetId="133"/>
      <sheetData sheetId="134"/>
      <sheetData sheetId="135"/>
      <sheetData sheetId="136"/>
      <sheetData sheetId="137">
        <row r="1">
          <cell r="N1" t="str">
            <v>TTI Team Telecom International Ltd.</v>
          </cell>
        </row>
      </sheetData>
      <sheetData sheetId="138"/>
      <sheetData sheetId="139"/>
      <sheetData sheetId="140"/>
      <sheetData sheetId="141"/>
      <sheetData sheetId="142"/>
      <sheetData sheetId="143"/>
      <sheetData sheetId="144"/>
      <sheetData sheetId="145">
        <row r="1">
          <cell r="N1" t="str">
            <v>TTI Team Telecom International Ltd.</v>
          </cell>
        </row>
      </sheetData>
      <sheetData sheetId="146"/>
      <sheetData sheetId="147">
        <row r="1">
          <cell r="N1" t="str">
            <v>TTI Team Telecom International Ltd.</v>
          </cell>
        </row>
      </sheetData>
      <sheetData sheetId="148"/>
      <sheetData sheetId="149"/>
      <sheetData sheetId="150"/>
      <sheetData sheetId="151"/>
      <sheetData sheetId="152">
        <row r="1">
          <cell r="N1" t="str">
            <v>TTI Team Telecom International Ltd.</v>
          </cell>
        </row>
      </sheetData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-ALL"/>
      <sheetName val="Categories"/>
      <sheetName val="TB-EIDC"/>
      <sheetName val="TB-nLayers"/>
      <sheetName val="E2"/>
      <sheetName val="לתקן"/>
    </sheetNames>
    <sheetDataSet>
      <sheetData sheetId="0" refreshError="1"/>
      <sheetData sheetId="1">
        <row r="1">
          <cell r="D1" t="str">
            <v xml:space="preserve">סעיף ראשי </v>
          </cell>
          <cell r="F1" t="str">
            <v>סעיף משני</v>
          </cell>
        </row>
        <row r="2">
          <cell r="D2" t="str">
            <v>הון, פרמיה ועודפים</v>
          </cell>
          <cell r="F2" t="str">
            <v xml:space="preserve">אחר </v>
          </cell>
        </row>
        <row r="3">
          <cell r="D3" t="str">
            <v>הוצאות הנה"כ</v>
          </cell>
          <cell r="F3" t="str">
            <v xml:space="preserve">אחרות </v>
          </cell>
        </row>
        <row r="4">
          <cell r="D4" t="str">
            <v>הוצאות מו"פ</v>
          </cell>
          <cell r="F4" t="str">
            <v>הון מניות</v>
          </cell>
        </row>
        <row r="5">
          <cell r="D5" t="str">
            <v xml:space="preserve">הוצאות מימון </v>
          </cell>
          <cell r="F5" t="str">
            <v>הוצאות לשלם</v>
          </cell>
        </row>
        <row r="6">
          <cell r="D6" t="str">
            <v>הוצאות מכירה ושיווק</v>
          </cell>
          <cell r="F6" t="str">
            <v>הלוואה לז"א</v>
          </cell>
        </row>
        <row r="7">
          <cell r="D7" t="str">
            <v>הוצאות מראש</v>
          </cell>
          <cell r="F7" t="str">
            <v>המחאות לפרעון</v>
          </cell>
        </row>
        <row r="8">
          <cell r="D8" t="str">
            <v xml:space="preserve">הכנסות </v>
          </cell>
          <cell r="F8" t="str">
            <v>הפרשה לחופשה, בונוסים והבראה</v>
          </cell>
        </row>
        <row r="9">
          <cell r="D9" t="str">
            <v xml:space="preserve">זכאים </v>
          </cell>
          <cell r="F9" t="str">
            <v>חו"ז</v>
          </cell>
        </row>
        <row r="10">
          <cell r="D10" t="str">
            <v>חייבים</v>
          </cell>
          <cell r="F10" t="str">
            <v xml:space="preserve">מוסדות </v>
          </cell>
        </row>
        <row r="11">
          <cell r="D11" t="str">
            <v xml:space="preserve">לקוחות </v>
          </cell>
          <cell r="F11" t="str">
            <v>מזומנים ישראלי</v>
          </cell>
        </row>
        <row r="12">
          <cell r="D12" t="str">
            <v xml:space="preserve">מזומנים בקופה ובבנקים </v>
          </cell>
          <cell r="F12" t="str">
            <v>מזומנים מט"ח</v>
          </cell>
        </row>
        <row r="13">
          <cell r="D13" t="str">
            <v>צדדים קשורים</v>
          </cell>
          <cell r="F13" t="str">
            <v xml:space="preserve">מכירה ושיווק </v>
          </cell>
        </row>
        <row r="14">
          <cell r="D14" t="str">
            <v xml:space="preserve">רכוש </v>
          </cell>
          <cell r="F14" t="str">
            <v>מקדמות לספקים</v>
          </cell>
        </row>
        <row r="15">
          <cell r="D15" t="str">
            <v xml:space="preserve">רכוש קבוע </v>
          </cell>
          <cell r="F15" t="str">
            <v xml:space="preserve">נסיעות לחו"ל </v>
          </cell>
        </row>
        <row r="16">
          <cell r="D16" t="str">
            <v>עלות המכר</v>
          </cell>
          <cell r="F16" t="str">
            <v xml:space="preserve">נסיעות/נסיעות לחול </v>
          </cell>
        </row>
        <row r="17">
          <cell r="F17" t="str">
            <v>ספקים ארץ+חול (כולל ויזה )</v>
          </cell>
        </row>
        <row r="18">
          <cell r="F18" t="str">
            <v>עובדים ומוסדות עובדים</v>
          </cell>
        </row>
        <row r="19">
          <cell r="F19" t="str">
            <v>עודפים י.פ.</v>
          </cell>
        </row>
        <row r="20">
          <cell r="F20" t="str">
            <v xml:space="preserve">עלות </v>
          </cell>
        </row>
        <row r="21">
          <cell r="F21" t="str">
            <v xml:space="preserve">עלות המכר </v>
          </cell>
        </row>
        <row r="22">
          <cell r="F22" t="str">
            <v xml:space="preserve">עמלות </v>
          </cell>
        </row>
        <row r="23">
          <cell r="F23" t="str">
            <v xml:space="preserve">פחת </v>
          </cell>
        </row>
        <row r="24">
          <cell r="F24" t="str">
            <v xml:space="preserve">פחת נצבר </v>
          </cell>
        </row>
        <row r="25">
          <cell r="F25" t="str">
            <v>פקדון לזמן קצר</v>
          </cell>
        </row>
        <row r="26">
          <cell r="F26" t="str">
            <v>פקדון ליסינג ודרך ארץ</v>
          </cell>
        </row>
        <row r="27">
          <cell r="F27" t="str">
            <v>צדדים קשורים</v>
          </cell>
        </row>
        <row r="28">
          <cell r="F28" t="str">
            <v xml:space="preserve">קופה קטנה </v>
          </cell>
        </row>
        <row r="29">
          <cell r="F29" t="str">
            <v xml:space="preserve">רבית הפ"ש צד קשור </v>
          </cell>
        </row>
        <row r="30">
          <cell r="F30" t="str">
            <v>ריבית והפ"ש</v>
          </cell>
        </row>
        <row r="31">
          <cell r="F31" t="str">
            <v>רכב</v>
          </cell>
        </row>
        <row r="32">
          <cell r="F32" t="str">
            <v xml:space="preserve">שכ"ע </v>
          </cell>
        </row>
        <row r="33">
          <cell r="F33" t="str">
            <v xml:space="preserve">שכירות ואחזקת מבנה </v>
          </cell>
        </row>
        <row r="34">
          <cell r="F34" t="str">
            <v xml:space="preserve">שרותים מקצועיים וייעוץ 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.B.T "/>
      <sheetName val="מדדים ונתונים"/>
      <sheetName val="הרכבה מאוחד"/>
      <sheetName val="משוב שיווק"/>
      <sheetName val="הפרשה למס"/>
      <sheetName val="מאזן בוחן"/>
      <sheetName val="רווה&quot;ס"/>
      <sheetName val="Office Expenses"/>
      <sheetName val="רווח למניה רבעוני 1997"/>
      <sheetName val="TTI LTD"/>
      <sheetName val="סיון הדרכה "/>
      <sheetName val="MS1296"/>
      <sheetName val="ביאורים"/>
      <sheetName val="תזרים"/>
      <sheetName val="????? ?????"/>
      <sheetName val="???? ????? "/>
      <sheetName val="דוחות"/>
      <sheetName val="גיליון2"/>
      <sheetName val="C_B_T_"/>
      <sheetName val="מדדים_ונתונים"/>
      <sheetName val="הרכבה_מאוחד"/>
      <sheetName val="משוב_שיווק"/>
      <sheetName val="הפרשה_למס"/>
      <sheetName val="מאזן_בוחן"/>
      <sheetName val="Office_Expenses"/>
      <sheetName val="רווח_למניה_רבעוני_1997"/>
      <sheetName val="TTI_LTD"/>
      <sheetName val="סיון_הדרכה_"/>
      <sheetName val="שעת מכונות"/>
      <sheetName val="מאזן"/>
      <sheetName val="MS1296.XLS"/>
      <sheetName val="Work Papers 6-2000"/>
      <sheetName val="Work Papers Q2 2006"/>
      <sheetName val="6-2000"/>
    </sheetNames>
    <sheetDataSet>
      <sheetData sheetId="0" refreshError="1">
        <row r="5">
          <cell r="C5">
            <v>112</v>
          </cell>
          <cell r="H5">
            <v>112</v>
          </cell>
          <cell r="I5">
            <v>112</v>
          </cell>
        </row>
        <row r="7">
          <cell r="H7">
            <v>0</v>
          </cell>
          <cell r="I7">
            <v>0</v>
          </cell>
        </row>
        <row r="9">
          <cell r="C9">
            <v>0</v>
          </cell>
          <cell r="H9">
            <v>0</v>
          </cell>
          <cell r="I9">
            <v>0</v>
          </cell>
        </row>
        <row r="11">
          <cell r="C11">
            <v>226</v>
          </cell>
          <cell r="H11">
            <v>226</v>
          </cell>
          <cell r="I11">
            <v>226</v>
          </cell>
        </row>
        <row r="13">
          <cell r="C13">
            <v>1</v>
          </cell>
          <cell r="H13">
            <v>1</v>
          </cell>
          <cell r="I13">
            <v>1</v>
          </cell>
        </row>
        <row r="15">
          <cell r="C15">
            <v>0</v>
          </cell>
          <cell r="H15">
            <v>0</v>
          </cell>
          <cell r="I15">
            <v>0</v>
          </cell>
        </row>
        <row r="17">
          <cell r="C17">
            <v>0</v>
          </cell>
          <cell r="H17">
            <v>0</v>
          </cell>
          <cell r="I17">
            <v>0</v>
          </cell>
        </row>
        <row r="19">
          <cell r="C19">
            <v>64</v>
          </cell>
          <cell r="H19">
            <v>64</v>
          </cell>
          <cell r="I19">
            <v>64</v>
          </cell>
        </row>
        <row r="21">
          <cell r="C21">
            <v>0</v>
          </cell>
          <cell r="H21">
            <v>0</v>
          </cell>
          <cell r="I21">
            <v>0</v>
          </cell>
        </row>
        <row r="23">
          <cell r="C23">
            <v>0</v>
          </cell>
          <cell r="H23">
            <v>0</v>
          </cell>
          <cell r="I23">
            <v>0</v>
          </cell>
        </row>
        <row r="25">
          <cell r="C25">
            <v>-1404</v>
          </cell>
          <cell r="D25">
            <v>3</v>
          </cell>
          <cell r="E25">
            <v>163</v>
          </cell>
          <cell r="H25">
            <v>-1241</v>
          </cell>
          <cell r="I25">
            <v>-1241</v>
          </cell>
        </row>
        <row r="27">
          <cell r="C27">
            <v>0</v>
          </cell>
          <cell r="H27">
            <v>0</v>
          </cell>
          <cell r="I27">
            <v>0</v>
          </cell>
        </row>
        <row r="29">
          <cell r="C29">
            <v>0</v>
          </cell>
          <cell r="H29">
            <v>0</v>
          </cell>
          <cell r="I29">
            <v>0</v>
          </cell>
        </row>
        <row r="31">
          <cell r="C31">
            <v>0</v>
          </cell>
          <cell r="H31">
            <v>0</v>
          </cell>
          <cell r="I31">
            <v>0</v>
          </cell>
        </row>
        <row r="33">
          <cell r="C33">
            <v>94</v>
          </cell>
          <cell r="F33">
            <v>3</v>
          </cell>
          <cell r="G33">
            <v>8</v>
          </cell>
          <cell r="H33">
            <v>86</v>
          </cell>
          <cell r="I33">
            <v>86</v>
          </cell>
        </row>
        <row r="35">
          <cell r="C35">
            <v>19</v>
          </cell>
          <cell r="H35">
            <v>19</v>
          </cell>
          <cell r="I35">
            <v>19</v>
          </cell>
        </row>
        <row r="37">
          <cell r="C37">
            <v>0</v>
          </cell>
          <cell r="H37">
            <v>0</v>
          </cell>
          <cell r="I37">
            <v>0</v>
          </cell>
        </row>
        <row r="39">
          <cell r="C39">
            <v>0</v>
          </cell>
          <cell r="D39">
            <v>2</v>
          </cell>
          <cell r="E39">
            <v>30</v>
          </cell>
          <cell r="H39">
            <v>30</v>
          </cell>
          <cell r="I39">
            <v>30</v>
          </cell>
        </row>
        <row r="41">
          <cell r="C41">
            <v>0</v>
          </cell>
          <cell r="H41">
            <v>0</v>
          </cell>
          <cell r="I41">
            <v>0</v>
          </cell>
        </row>
        <row r="43">
          <cell r="C43">
            <v>0</v>
          </cell>
          <cell r="H43">
            <v>0</v>
          </cell>
          <cell r="I43">
            <v>0</v>
          </cell>
        </row>
        <row r="45">
          <cell r="C45">
            <v>45</v>
          </cell>
          <cell r="H45">
            <v>45</v>
          </cell>
          <cell r="I45">
            <v>45</v>
          </cell>
        </row>
        <row r="47">
          <cell r="C47">
            <v>0</v>
          </cell>
          <cell r="H47">
            <v>0</v>
          </cell>
          <cell r="I47">
            <v>0</v>
          </cell>
        </row>
        <row r="49">
          <cell r="C49">
            <v>0</v>
          </cell>
          <cell r="H49">
            <v>0</v>
          </cell>
          <cell r="I49">
            <v>0</v>
          </cell>
        </row>
        <row r="51">
          <cell r="C51">
            <v>0</v>
          </cell>
          <cell r="H51">
            <v>0</v>
          </cell>
          <cell r="I51">
            <v>0</v>
          </cell>
        </row>
        <row r="53">
          <cell r="C53">
            <v>0</v>
          </cell>
          <cell r="H53">
            <v>0</v>
          </cell>
          <cell r="I53">
            <v>0</v>
          </cell>
        </row>
        <row r="55">
          <cell r="C55">
            <v>0</v>
          </cell>
          <cell r="H55">
            <v>0</v>
          </cell>
          <cell r="I55">
            <v>0</v>
          </cell>
        </row>
        <row r="57">
          <cell r="C57">
            <v>0</v>
          </cell>
          <cell r="H57">
            <v>0</v>
          </cell>
          <cell r="I57">
            <v>0</v>
          </cell>
        </row>
        <row r="59">
          <cell r="C59">
            <v>0</v>
          </cell>
          <cell r="H59">
            <v>0</v>
          </cell>
          <cell r="I59">
            <v>0</v>
          </cell>
        </row>
        <row r="61">
          <cell r="C61">
            <v>0</v>
          </cell>
          <cell r="H61">
            <v>0</v>
          </cell>
          <cell r="I61">
            <v>0</v>
          </cell>
        </row>
        <row r="63">
          <cell r="C63">
            <v>0</v>
          </cell>
          <cell r="H63">
            <v>0</v>
          </cell>
          <cell r="I63">
            <v>0</v>
          </cell>
        </row>
        <row r="65">
          <cell r="C65">
            <v>0</v>
          </cell>
          <cell r="H65">
            <v>0</v>
          </cell>
          <cell r="I65">
            <v>0</v>
          </cell>
        </row>
        <row r="67">
          <cell r="C67">
            <v>637</v>
          </cell>
          <cell r="F67">
            <v>3</v>
          </cell>
          <cell r="G67">
            <v>155</v>
          </cell>
          <cell r="H67">
            <v>482</v>
          </cell>
          <cell r="I67">
            <v>493</v>
          </cell>
        </row>
        <row r="69">
          <cell r="C69">
            <v>-26</v>
          </cell>
          <cell r="F69">
            <v>1</v>
          </cell>
          <cell r="G69">
            <v>10</v>
          </cell>
          <cell r="H69">
            <v>-36</v>
          </cell>
          <cell r="I69">
            <v>-37</v>
          </cell>
        </row>
        <row r="71">
          <cell r="C71">
            <v>0</v>
          </cell>
          <cell r="H71">
            <v>0</v>
          </cell>
          <cell r="I71">
            <v>0</v>
          </cell>
        </row>
        <row r="73">
          <cell r="C73">
            <v>0</v>
          </cell>
          <cell r="H73">
            <v>0</v>
          </cell>
          <cell r="I73">
            <v>0</v>
          </cell>
        </row>
        <row r="75">
          <cell r="C75">
            <v>0</v>
          </cell>
          <cell r="H75">
            <v>0</v>
          </cell>
          <cell r="I75">
            <v>0</v>
          </cell>
        </row>
        <row r="77">
          <cell r="C77">
            <v>-86</v>
          </cell>
          <cell r="H77">
            <v>-86</v>
          </cell>
          <cell r="I77">
            <v>-86</v>
          </cell>
        </row>
        <row r="79">
          <cell r="C79">
            <v>-65</v>
          </cell>
          <cell r="H79">
            <v>-65</v>
          </cell>
          <cell r="I79">
            <v>-65</v>
          </cell>
        </row>
        <row r="81">
          <cell r="C81">
            <v>-151</v>
          </cell>
          <cell r="H81">
            <v>-151</v>
          </cell>
          <cell r="I81">
            <v>-151</v>
          </cell>
        </row>
        <row r="83">
          <cell r="C83">
            <v>-46</v>
          </cell>
          <cell r="H83">
            <v>-46</v>
          </cell>
          <cell r="I83">
            <v>-46</v>
          </cell>
        </row>
        <row r="85">
          <cell r="C85">
            <v>0</v>
          </cell>
          <cell r="H85">
            <v>0</v>
          </cell>
          <cell r="I85">
            <v>0</v>
          </cell>
        </row>
        <row r="87">
          <cell r="C87">
            <v>0</v>
          </cell>
          <cell r="H87">
            <v>0</v>
          </cell>
          <cell r="I87">
            <v>0</v>
          </cell>
        </row>
        <row r="89">
          <cell r="C89">
            <v>0</v>
          </cell>
          <cell r="H89">
            <v>0</v>
          </cell>
          <cell r="I89">
            <v>0</v>
          </cell>
        </row>
        <row r="91">
          <cell r="C91">
            <v>-60</v>
          </cell>
          <cell r="H91">
            <v>-60</v>
          </cell>
          <cell r="I91">
            <v>-60</v>
          </cell>
        </row>
        <row r="93">
          <cell r="C93">
            <v>0</v>
          </cell>
          <cell r="H93">
            <v>0</v>
          </cell>
          <cell r="I93">
            <v>0</v>
          </cell>
        </row>
        <row r="95">
          <cell r="C95">
            <v>0</v>
          </cell>
          <cell r="H95">
            <v>0</v>
          </cell>
          <cell r="I95">
            <v>0</v>
          </cell>
        </row>
        <row r="97">
          <cell r="C97">
            <v>-10</v>
          </cell>
          <cell r="H97">
            <v>-10</v>
          </cell>
          <cell r="I97">
            <v>-10</v>
          </cell>
        </row>
        <row r="99">
          <cell r="C99">
            <v>0</v>
          </cell>
          <cell r="H99">
            <v>0</v>
          </cell>
          <cell r="I99">
            <v>0</v>
          </cell>
        </row>
        <row r="101">
          <cell r="C101">
            <v>0</v>
          </cell>
          <cell r="H101">
            <v>0</v>
          </cell>
          <cell r="I101">
            <v>0</v>
          </cell>
        </row>
        <row r="103">
          <cell r="C103">
            <v>-1</v>
          </cell>
          <cell r="H103">
            <v>-1</v>
          </cell>
          <cell r="I103">
            <v>-1</v>
          </cell>
        </row>
        <row r="105">
          <cell r="C105">
            <v>-483</v>
          </cell>
          <cell r="H105">
            <v>-483</v>
          </cell>
          <cell r="I105">
            <v>-506</v>
          </cell>
        </row>
        <row r="107">
          <cell r="C107">
            <v>0</v>
          </cell>
          <cell r="H107">
            <v>0</v>
          </cell>
          <cell r="I107">
            <v>0</v>
          </cell>
        </row>
        <row r="109">
          <cell r="C109">
            <v>0</v>
          </cell>
          <cell r="H109">
            <v>0</v>
          </cell>
          <cell r="I109">
            <v>0</v>
          </cell>
        </row>
        <row r="111">
          <cell r="C111">
            <v>1134</v>
          </cell>
          <cell r="H111">
            <v>1114</v>
          </cell>
          <cell r="I111">
            <v>1127</v>
          </cell>
        </row>
        <row r="113">
          <cell r="C113">
            <v>0</v>
          </cell>
          <cell r="H113">
            <v>0</v>
          </cell>
          <cell r="I113">
            <v>0</v>
          </cell>
        </row>
        <row r="118">
          <cell r="C118">
            <v>-748</v>
          </cell>
          <cell r="F118">
            <v>2</v>
          </cell>
          <cell r="G118">
            <v>30</v>
          </cell>
          <cell r="H118">
            <v>-778</v>
          </cell>
          <cell r="I118">
            <v>-806</v>
          </cell>
        </row>
        <row r="120">
          <cell r="C120">
            <v>0</v>
          </cell>
          <cell r="H120">
            <v>0</v>
          </cell>
          <cell r="I120">
            <v>0</v>
          </cell>
        </row>
        <row r="122">
          <cell r="C122">
            <v>0</v>
          </cell>
          <cell r="H122">
            <v>0</v>
          </cell>
          <cell r="I122">
            <v>0</v>
          </cell>
        </row>
        <row r="124">
          <cell r="C124">
            <v>0</v>
          </cell>
          <cell r="H124">
            <v>0</v>
          </cell>
          <cell r="I124">
            <v>0</v>
          </cell>
        </row>
        <row r="126">
          <cell r="C126">
            <v>0</v>
          </cell>
          <cell r="H126">
            <v>0</v>
          </cell>
          <cell r="I126">
            <v>0</v>
          </cell>
        </row>
        <row r="128">
          <cell r="C128">
            <v>-45</v>
          </cell>
          <cell r="H128">
            <v>-45</v>
          </cell>
          <cell r="I128">
            <v>-47</v>
          </cell>
        </row>
        <row r="130">
          <cell r="C130">
            <v>155</v>
          </cell>
          <cell r="H130">
            <v>155</v>
          </cell>
          <cell r="I130">
            <v>161</v>
          </cell>
        </row>
        <row r="132">
          <cell r="C132">
            <v>677</v>
          </cell>
          <cell r="H132">
            <v>677</v>
          </cell>
          <cell r="I132">
            <v>701</v>
          </cell>
        </row>
        <row r="134">
          <cell r="C134">
            <v>0</v>
          </cell>
          <cell r="H134">
            <v>0</v>
          </cell>
          <cell r="I134">
            <v>0</v>
          </cell>
        </row>
        <row r="136">
          <cell r="C136">
            <v>0</v>
          </cell>
          <cell r="H136">
            <v>0</v>
          </cell>
          <cell r="I136">
            <v>0</v>
          </cell>
        </row>
        <row r="138">
          <cell r="C138">
            <v>18</v>
          </cell>
          <cell r="D138">
            <v>1</v>
          </cell>
          <cell r="E138">
            <v>4</v>
          </cell>
          <cell r="H138">
            <v>22</v>
          </cell>
          <cell r="I138">
            <v>23</v>
          </cell>
        </row>
        <row r="140">
          <cell r="C140">
            <v>97</v>
          </cell>
          <cell r="H140">
            <v>97</v>
          </cell>
          <cell r="I140">
            <v>100</v>
          </cell>
        </row>
        <row r="142">
          <cell r="C142">
            <v>385</v>
          </cell>
          <cell r="H142">
            <v>385</v>
          </cell>
          <cell r="I142">
            <v>399</v>
          </cell>
        </row>
        <row r="144">
          <cell r="C144">
            <v>0</v>
          </cell>
          <cell r="H144">
            <v>0</v>
          </cell>
          <cell r="I144">
            <v>0</v>
          </cell>
        </row>
        <row r="146">
          <cell r="C146">
            <v>153</v>
          </cell>
          <cell r="H146">
            <v>153</v>
          </cell>
          <cell r="I146">
            <v>159</v>
          </cell>
        </row>
        <row r="148">
          <cell r="C148">
            <v>8</v>
          </cell>
          <cell r="D148">
            <v>1</v>
          </cell>
          <cell r="E148">
            <v>6</v>
          </cell>
          <cell r="H148">
            <v>14</v>
          </cell>
          <cell r="I148">
            <v>14</v>
          </cell>
        </row>
        <row r="150">
          <cell r="C150">
            <v>15</v>
          </cell>
          <cell r="H150">
            <v>15</v>
          </cell>
          <cell r="I150">
            <v>16</v>
          </cell>
        </row>
        <row r="152">
          <cell r="C152">
            <v>209</v>
          </cell>
          <cell r="H152">
            <v>209</v>
          </cell>
          <cell r="I152">
            <v>217</v>
          </cell>
        </row>
        <row r="154">
          <cell r="C154">
            <v>163</v>
          </cell>
          <cell r="H154">
            <v>163</v>
          </cell>
          <cell r="I154">
            <v>169</v>
          </cell>
        </row>
        <row r="156">
          <cell r="C156">
            <v>0</v>
          </cell>
          <cell r="H156">
            <v>0</v>
          </cell>
          <cell r="I156">
            <v>0</v>
          </cell>
        </row>
        <row r="158">
          <cell r="H158">
            <v>0</v>
          </cell>
          <cell r="I158">
            <v>0</v>
          </cell>
        </row>
        <row r="160">
          <cell r="H160">
            <v>0</v>
          </cell>
          <cell r="I160">
            <v>0</v>
          </cell>
        </row>
        <row r="162">
          <cell r="C162">
            <v>46</v>
          </cell>
          <cell r="H162">
            <v>46</v>
          </cell>
          <cell r="I162">
            <v>48</v>
          </cell>
        </row>
        <row r="164">
          <cell r="C164">
            <v>0</v>
          </cell>
          <cell r="H164">
            <v>0</v>
          </cell>
          <cell r="I164">
            <v>0</v>
          </cell>
        </row>
        <row r="166">
          <cell r="C166">
            <v>0</v>
          </cell>
          <cell r="H166">
            <v>0</v>
          </cell>
          <cell r="I166">
            <v>0</v>
          </cell>
        </row>
        <row r="168">
          <cell r="C168">
            <v>0</v>
          </cell>
          <cell r="H168">
            <v>0</v>
          </cell>
          <cell r="I168">
            <v>0</v>
          </cell>
        </row>
        <row r="170">
          <cell r="C170">
            <v>1</v>
          </cell>
          <cell r="H170">
            <v>1</v>
          </cell>
          <cell r="I170">
            <v>-27</v>
          </cell>
        </row>
        <row r="172">
          <cell r="C172">
            <v>0</v>
          </cell>
          <cell r="H172">
            <v>0</v>
          </cell>
          <cell r="I172">
            <v>0</v>
          </cell>
        </row>
        <row r="174">
          <cell r="C174">
            <v>0</v>
          </cell>
          <cell r="H174">
            <v>0</v>
          </cell>
          <cell r="I174">
            <v>0</v>
          </cell>
        </row>
        <row r="176">
          <cell r="C176">
            <v>0</v>
          </cell>
          <cell r="H176">
            <v>0</v>
          </cell>
          <cell r="I176">
            <v>0</v>
          </cell>
        </row>
        <row r="178">
          <cell r="C178">
            <v>0</v>
          </cell>
          <cell r="H178">
            <v>0</v>
          </cell>
          <cell r="I178">
            <v>0</v>
          </cell>
        </row>
        <row r="180">
          <cell r="C180">
            <v>0</v>
          </cell>
          <cell r="H180">
            <v>0</v>
          </cell>
          <cell r="I180">
            <v>0</v>
          </cell>
        </row>
        <row r="182">
          <cell r="C182">
            <v>0</v>
          </cell>
          <cell r="H182">
            <v>0</v>
          </cell>
          <cell r="I182">
            <v>0</v>
          </cell>
        </row>
        <row r="184">
          <cell r="C184">
            <v>0</v>
          </cell>
          <cell r="H184">
            <v>0</v>
          </cell>
          <cell r="I184">
            <v>0</v>
          </cell>
        </row>
        <row r="186">
          <cell r="C186">
            <v>0</v>
          </cell>
          <cell r="H186">
            <v>0</v>
          </cell>
          <cell r="I186">
            <v>0</v>
          </cell>
        </row>
        <row r="188">
          <cell r="C188">
            <v>1134</v>
          </cell>
          <cell r="E188">
            <v>203</v>
          </cell>
          <cell r="G188">
            <v>203</v>
          </cell>
          <cell r="H188">
            <v>1114</v>
          </cell>
          <cell r="I188">
            <v>1127</v>
          </cell>
        </row>
      </sheetData>
      <sheetData sheetId="1" refreshError="1"/>
      <sheetData sheetId="2" refreshError="1"/>
      <sheetData sheetId="3">
        <row r="5">
          <cell r="C5">
            <v>4521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5">
          <cell r="C5">
            <v>112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עודה א"/>
      <sheetName val="עודפות"/>
      <sheetName val="אגרות"/>
      <sheetName val="הוצאות מו&quot;פ"/>
      <sheetName val="רכב מובילאיי"/>
      <sheetName val="נסיעות"/>
      <sheetName val="ניכוי במקור"/>
      <sheetName val="מעגל ני&quot;ע"/>
      <sheetName val="נספח ל-1214"/>
      <sheetName val="ביקור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ל&quot;מ (2)"/>
      <sheetName val="רל&quot;מ"/>
      <sheetName val="תזרים ש&quot;ח נט"/>
      <sheetName val="אופציות"/>
      <sheetName val="מאזנים"/>
      <sheetName val="רווח והפסד"/>
      <sheetName val="באורים"/>
      <sheetName val="מעגלים"/>
      <sheetName val="פקודה להקמת אראל נט (2)"/>
      <sheetName val="רכוש קבוע"/>
      <sheetName val="דוח על השינויים"/>
      <sheetName val="%החזקה"/>
      <sheetName val="מדדים"/>
      <sheetName val="עודפו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">
          <cell r="L10">
            <v>1.1777078965758212</v>
          </cell>
        </row>
        <row r="11">
          <cell r="L11">
            <v>1.1007838014369693</v>
          </cell>
        </row>
        <row r="12">
          <cell r="L12">
            <v>1.0134095009019843</v>
          </cell>
        </row>
      </sheetData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יחס מחזורים לאחר הפיצול- זיגזג"/>
      <sheetName val="יחס מחזורים לאחר הפיצול- תפוקות"/>
      <sheetName val="תעודה ב"/>
      <sheetName val="חלוקת מפעלים - 1999"/>
      <sheetName val="רשימת חברות קשורות"/>
      <sheetName val="רכב"/>
      <sheetName val="מתנות"/>
      <sheetName val="השתלמויות"/>
      <sheetName val="נסיעות, כלכלה ולינה"/>
      <sheetName val="כיבודים ואירוח"/>
      <sheetName val="ריבית והפרשי הצמדה ממה"/>
      <sheetName val="הוצ בקשר לעובדים"/>
      <sheetName val="תעודות"/>
      <sheetName val="ט1392ד"/>
      <sheetName val="נ'4"/>
      <sheetName val="נ'6"/>
      <sheetName val="נ'7"/>
      <sheetName val="ר'7(1)"/>
      <sheetName val="ר'7(2)"/>
      <sheetName val="ר'7(3)"/>
      <sheetName val="ר'7(4)"/>
      <sheetName val="נ'2א"/>
      <sheetName val="נ'2"/>
      <sheetName val="F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.ב"/>
      <sheetName val="Discotech"/>
      <sheetName val="נוספות"/>
      <sheetName val="מרכז"/>
      <sheetName val="פ.נ. איחוד"/>
      <sheetName val="ניע תזרים 1-12"/>
      <sheetName val="תזרים 1-12"/>
      <sheetName val="השקעות"/>
      <sheetName val="הון"/>
      <sheetName val="מיסים"/>
      <sheetName val="העמסת הוצאות"/>
      <sheetName val="יחס עובדים"/>
      <sheetName val="עמודים 2 עד 10 לטופס"/>
      <sheetName val="עמוד 1 לטופס"/>
      <sheetName val=" הנחיות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ר&quot;ק"/>
      <sheetName val="חישובים"/>
      <sheetName val="פקודות נוספות"/>
      <sheetName val="מאזן בוחן"/>
      <sheetName val="דוחות כספיים"/>
      <sheetName val="מאזן"/>
      <sheetName val="רווה&quot;ס"/>
      <sheetName val="מדדים ונתונים"/>
      <sheetName val="כרטיסים שלא שולבו"/>
      <sheetName val="מודול1"/>
      <sheetName val="מודול2"/>
      <sheetName val="Module1"/>
      <sheetName val="Module2"/>
      <sheetName val="Module3"/>
      <sheetName val="C.B.T "/>
      <sheetName val="תוכנית מדען סיכום"/>
      <sheetName val="ריכוז עודפות"/>
      <sheetName val="דוח התאמה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ודול מעבר והדפסות"/>
      <sheetName val="legal fees and expenses"/>
      <sheetName val="מאזן בוחן"/>
      <sheetName val="עודפות"/>
      <sheetName val="ני&quot;ע"/>
      <sheetName val="סקירת מאזן"/>
      <sheetName val="סקירת רווה&quot;ס"/>
      <sheetName val="דוחות"/>
      <sheetName val="רכוש קבוע"/>
      <sheetName val="העמסת הוצאות"/>
      <sheetName val="vacation"/>
      <sheetName val="הון מניות"/>
      <sheetName val="כרטיסים שלא שולבו"/>
      <sheetName val="נתונים לשינוי"/>
      <sheetName val="mti"/>
      <sheetName val="consolidated"/>
      <sheetName val="B.S+P&amp;L"/>
      <sheetName val="C.F."/>
      <sheetName val="דוח מתכונת הגשה "/>
      <sheetName val="עודפות רימון"/>
      <sheetName val="תזרים חברה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 מאוחד"/>
      <sheetName val="C.B.T "/>
      <sheetName val="משוב שיווק"/>
      <sheetName val="הפרשה למס"/>
      <sheetName val="מאזן בוחן"/>
      <sheetName val="רווה&quot;ס"/>
      <sheetName val="TTI LTD"/>
      <sheetName val="מדדים ונתונים"/>
      <sheetName val="Office Expenses"/>
      <sheetName val="סיון הדרכה "/>
      <sheetName val="MS1296"/>
      <sheetName val="ביאורים"/>
      <sheetName val="דוחות"/>
      <sheetName val="????? ?????"/>
      <sheetName val="???? ????? "/>
      <sheetName val="תזרים"/>
      <sheetName val="רווח למניה רבעוני 1997"/>
      <sheetName val="מאזן בוחן LTD"/>
      <sheetName val="נתונים לשינוי"/>
      <sheetName val="תעודה א"/>
      <sheetName val="נסיעות 9.05"/>
      <sheetName val="הרכבה_מאוחד"/>
      <sheetName val="C_B_T_"/>
      <sheetName val="משוב_שיווק"/>
      <sheetName val="הפרשה_למס"/>
      <sheetName val="מאזן_בוחן"/>
      <sheetName val="TTI_LTD"/>
      <sheetName val="מדדים_ונתונים"/>
      <sheetName val="Office_Expenses"/>
      <sheetName val="סיון_הדרכה_"/>
      <sheetName val="?????_?????"/>
      <sheetName val="????_?????_"/>
      <sheetName val="רווח_למניה_רבעוני_1997"/>
      <sheetName val="מאזן_בוחן_LTD"/>
      <sheetName val="נתונים_לשינוי"/>
      <sheetName val="C_B_T_4"/>
      <sheetName val="מדדים_ונתונים4"/>
      <sheetName val="הרכבה_מאוחד4"/>
      <sheetName val="משוב_שיווק4"/>
      <sheetName val="הפרשה_למס4"/>
      <sheetName val="מאזן_בוחן4"/>
      <sheetName val="Office_Expenses4"/>
      <sheetName val="TTI_LTD2"/>
      <sheetName val="C_B_T_1"/>
      <sheetName val="מדדים_ונתונים1"/>
      <sheetName val="הרכבה_מאוחד1"/>
      <sheetName val="משוב_שיווק1"/>
      <sheetName val="הפרשה_למס1"/>
      <sheetName val="מאזן_בוחן1"/>
      <sheetName val="Office_Expenses1"/>
      <sheetName val="C_B_T_2"/>
      <sheetName val="מדדים_ונתונים2"/>
      <sheetName val="הרכבה_מאוחד2"/>
      <sheetName val="משוב_שיווק2"/>
      <sheetName val="הפרשה_למס2"/>
      <sheetName val="מאזן_בוחן2"/>
      <sheetName val="Office_Expenses2"/>
      <sheetName val="C_B_T_3"/>
      <sheetName val="מדדים_ונתונים3"/>
      <sheetName val="הרכבה_מאוחד3"/>
      <sheetName val="משוב_שיווק3"/>
      <sheetName val="הפרשה_למס3"/>
      <sheetName val="מאזן_בוחן3"/>
      <sheetName val="Office_Expenses3"/>
      <sheetName val="TTI_LTD1"/>
      <sheetName val="TTI_LTD4"/>
      <sheetName val="TTI_LTD3"/>
      <sheetName val="C_B_T_5"/>
      <sheetName val="מדדים_ונתונים5"/>
      <sheetName val="הרכבה_מאוחד5"/>
      <sheetName val="משוב_שיווק5"/>
      <sheetName val="הפרשה_למס5"/>
      <sheetName val="מאזן_בוחן5"/>
      <sheetName val="Office_Expenses5"/>
      <sheetName val="C_B_T_6"/>
      <sheetName val="מדדים_ונתונים6"/>
      <sheetName val="הרכבה_מאוחד6"/>
      <sheetName val="משוב_שיווק6"/>
      <sheetName val="הפרשה_למס6"/>
      <sheetName val="מאזן_בוחן6"/>
      <sheetName val="Office_Expenses6"/>
      <sheetName val="TTI_LTD6"/>
      <sheetName val="TTI_LTD5"/>
      <sheetName val="הרכבה_מאוחד7"/>
      <sheetName val="C_B_T_7"/>
      <sheetName val="משוב_שיווק7"/>
      <sheetName val="הפרשה_למס7"/>
      <sheetName val="מאזן_בוחן7"/>
      <sheetName val="TTI_LTD7"/>
      <sheetName val="מדדים_ונתונים7"/>
      <sheetName val="Office_Expenses7"/>
      <sheetName val="הרכבה_מאוחד8"/>
      <sheetName val="C_B_T_8"/>
      <sheetName val="משוב_שיווק8"/>
      <sheetName val="הפרשה_למס8"/>
      <sheetName val="מאזן_בוחן8"/>
      <sheetName val="TTI_LTD8"/>
      <sheetName val="מדדים_ונתונים8"/>
      <sheetName val="Office_Expenses8"/>
      <sheetName val="MS1296.XLS"/>
      <sheetName val="Work Papers 6-2000"/>
      <sheetName val="Work Papers Q2 2006"/>
      <sheetName val="6-2000"/>
      <sheetName val="[∢ _x0000__x0000__x0000__x0000__x0000__x0000__x0000__x0000__x0000__x0000__x0000__x0000__x0000__x0000__x0000__x0000__x0000__x0000__x0000__x0000_"/>
      <sheetName val="פקודות נוספות קדנט בע&quot;מ"/>
    </sheetNames>
    <sheetDataSet>
      <sheetData sheetId="0">
        <row r="5">
          <cell r="C5">
            <v>4521</v>
          </cell>
        </row>
      </sheetData>
      <sheetData sheetId="1">
        <row r="5">
          <cell r="C5">
            <v>112</v>
          </cell>
        </row>
      </sheetData>
      <sheetData sheetId="2" refreshError="1">
        <row r="5">
          <cell r="C5">
            <v>4521</v>
          </cell>
          <cell r="D5">
            <v>1</v>
          </cell>
          <cell r="E5">
            <v>51</v>
          </cell>
          <cell r="H5">
            <v>4521</v>
          </cell>
          <cell r="I5">
            <v>4521</v>
          </cell>
        </row>
        <row r="7">
          <cell r="C7">
            <v>1237</v>
          </cell>
          <cell r="H7">
            <v>1237</v>
          </cell>
          <cell r="I7">
            <v>1237</v>
          </cell>
        </row>
        <row r="9">
          <cell r="C9">
            <v>1790</v>
          </cell>
          <cell r="H9">
            <v>1790</v>
          </cell>
          <cell r="I9">
            <v>1790</v>
          </cell>
        </row>
        <row r="11">
          <cell r="C11">
            <v>551</v>
          </cell>
          <cell r="D11">
            <v>7</v>
          </cell>
          <cell r="E11">
            <v>6</v>
          </cell>
          <cell r="F11">
            <v>4</v>
          </cell>
          <cell r="G11">
            <v>2</v>
          </cell>
          <cell r="H11">
            <v>549</v>
          </cell>
          <cell r="I11">
            <v>549</v>
          </cell>
        </row>
        <row r="12">
          <cell r="D12">
            <v>10</v>
          </cell>
          <cell r="E12">
            <v>1</v>
          </cell>
        </row>
        <row r="13">
          <cell r="C13">
            <v>67</v>
          </cell>
          <cell r="D13">
            <v>5</v>
          </cell>
          <cell r="E13">
            <v>28</v>
          </cell>
          <cell r="H13">
            <v>95</v>
          </cell>
          <cell r="I13">
            <v>95</v>
          </cell>
        </row>
        <row r="15">
          <cell r="C15">
            <v>-355</v>
          </cell>
          <cell r="F15">
            <v>11</v>
          </cell>
          <cell r="G15">
            <v>40</v>
          </cell>
          <cell r="H15">
            <v>-355</v>
          </cell>
          <cell r="I15">
            <v>-355</v>
          </cell>
        </row>
        <row r="17">
          <cell r="C17">
            <v>533</v>
          </cell>
          <cell r="D17">
            <v>16</v>
          </cell>
          <cell r="E17">
            <v>56</v>
          </cell>
          <cell r="H17">
            <v>589</v>
          </cell>
          <cell r="I17">
            <v>589</v>
          </cell>
        </row>
        <row r="19">
          <cell r="C19">
            <v>3111</v>
          </cell>
          <cell r="D19">
            <v>4</v>
          </cell>
          <cell r="E19">
            <v>2</v>
          </cell>
          <cell r="F19">
            <v>5</v>
          </cell>
          <cell r="G19">
            <v>28</v>
          </cell>
          <cell r="H19">
            <v>3500</v>
          </cell>
          <cell r="I19">
            <v>3500</v>
          </cell>
        </row>
        <row r="20">
          <cell r="D20">
            <v>7</v>
          </cell>
          <cell r="E20">
            <v>155</v>
          </cell>
          <cell r="F20">
            <v>13</v>
          </cell>
          <cell r="G20">
            <v>155</v>
          </cell>
        </row>
        <row r="21">
          <cell r="D21">
            <v>18</v>
          </cell>
          <cell r="E21">
            <v>260</v>
          </cell>
          <cell r="F21">
            <v>16</v>
          </cell>
          <cell r="G21">
            <v>260</v>
          </cell>
        </row>
        <row r="22">
          <cell r="C22">
            <v>664</v>
          </cell>
          <cell r="D22">
            <v>20</v>
          </cell>
          <cell r="E22">
            <v>18</v>
          </cell>
          <cell r="H22">
            <v>682</v>
          </cell>
          <cell r="I22">
            <v>682</v>
          </cell>
        </row>
        <row r="24">
          <cell r="C24">
            <v>36</v>
          </cell>
          <cell r="D24">
            <v>6</v>
          </cell>
          <cell r="E24">
            <v>13</v>
          </cell>
          <cell r="H24">
            <v>36</v>
          </cell>
          <cell r="I24">
            <v>36</v>
          </cell>
        </row>
        <row r="26">
          <cell r="C26">
            <v>1304</v>
          </cell>
          <cell r="D26">
            <v>19</v>
          </cell>
          <cell r="E26">
            <v>100</v>
          </cell>
          <cell r="F26">
            <v>7</v>
          </cell>
          <cell r="G26">
            <v>163</v>
          </cell>
          <cell r="H26">
            <v>1241</v>
          </cell>
          <cell r="I26">
            <v>1241</v>
          </cell>
        </row>
        <row r="28">
          <cell r="C28">
            <v>0</v>
          </cell>
          <cell r="H28">
            <v>0</v>
          </cell>
          <cell r="I28">
            <v>0</v>
          </cell>
        </row>
        <row r="30">
          <cell r="C30">
            <v>25</v>
          </cell>
          <cell r="F30">
            <v>7</v>
          </cell>
          <cell r="G30">
            <v>6</v>
          </cell>
          <cell r="H30">
            <v>25</v>
          </cell>
          <cell r="I30">
            <v>25</v>
          </cell>
        </row>
        <row r="31">
          <cell r="F31">
            <v>8</v>
          </cell>
          <cell r="G31">
            <v>50</v>
          </cell>
        </row>
        <row r="32">
          <cell r="C32">
            <v>0</v>
          </cell>
          <cell r="H32">
            <v>0</v>
          </cell>
          <cell r="I32">
            <v>1220</v>
          </cell>
        </row>
        <row r="34">
          <cell r="C34">
            <v>-35</v>
          </cell>
          <cell r="D34">
            <v>6</v>
          </cell>
          <cell r="E34">
            <v>65</v>
          </cell>
          <cell r="F34">
            <v>14</v>
          </cell>
          <cell r="G34">
            <v>143</v>
          </cell>
          <cell r="H34">
            <v>38</v>
          </cell>
          <cell r="I34">
            <v>38</v>
          </cell>
        </row>
        <row r="35">
          <cell r="D35">
            <v>7</v>
          </cell>
          <cell r="E35">
            <v>8</v>
          </cell>
          <cell r="F35">
            <v>15</v>
          </cell>
          <cell r="G35">
            <v>34</v>
          </cell>
        </row>
        <row r="36">
          <cell r="C36">
            <v>171</v>
          </cell>
          <cell r="D36">
            <v>1</v>
          </cell>
          <cell r="E36">
            <v>1</v>
          </cell>
          <cell r="H36">
            <v>172</v>
          </cell>
          <cell r="I36">
            <v>172</v>
          </cell>
        </row>
        <row r="38">
          <cell r="C38">
            <v>611</v>
          </cell>
          <cell r="F38">
            <v>3</v>
          </cell>
          <cell r="G38">
            <v>112</v>
          </cell>
          <cell r="H38">
            <v>611</v>
          </cell>
          <cell r="I38">
            <v>611</v>
          </cell>
        </row>
        <row r="40">
          <cell r="C40">
            <v>0</v>
          </cell>
          <cell r="H40">
            <v>0</v>
          </cell>
          <cell r="I40">
            <v>0</v>
          </cell>
        </row>
        <row r="42">
          <cell r="C42">
            <v>0</v>
          </cell>
          <cell r="H42">
            <v>0</v>
          </cell>
          <cell r="I42">
            <v>0</v>
          </cell>
        </row>
        <row r="44">
          <cell r="C44">
            <v>0</v>
          </cell>
          <cell r="H44">
            <v>0</v>
          </cell>
          <cell r="I44">
            <v>0</v>
          </cell>
        </row>
        <row r="46">
          <cell r="C46">
            <v>0</v>
          </cell>
          <cell r="H46">
            <v>0</v>
          </cell>
          <cell r="I46">
            <v>0</v>
          </cell>
        </row>
        <row r="48">
          <cell r="C48">
            <v>1190</v>
          </cell>
          <cell r="H48">
            <v>1190</v>
          </cell>
          <cell r="I48">
            <v>1230</v>
          </cell>
        </row>
        <row r="50">
          <cell r="C50">
            <v>-524</v>
          </cell>
          <cell r="F50">
            <v>11</v>
          </cell>
          <cell r="G50">
            <v>31</v>
          </cell>
          <cell r="H50">
            <v>-555</v>
          </cell>
          <cell r="I50">
            <v>-554</v>
          </cell>
        </row>
        <row r="52">
          <cell r="C52">
            <v>276</v>
          </cell>
          <cell r="D52">
            <v>17</v>
          </cell>
          <cell r="E52">
            <v>207</v>
          </cell>
          <cell r="F52">
            <v>10</v>
          </cell>
          <cell r="G52">
            <v>991</v>
          </cell>
          <cell r="H52">
            <v>-508</v>
          </cell>
          <cell r="I52">
            <v>-491</v>
          </cell>
        </row>
        <row r="54">
          <cell r="C54">
            <v>2037</v>
          </cell>
          <cell r="D54">
            <v>13</v>
          </cell>
          <cell r="E54">
            <v>54</v>
          </cell>
          <cell r="H54">
            <v>2091</v>
          </cell>
          <cell r="I54">
            <v>2091</v>
          </cell>
        </row>
        <row r="56">
          <cell r="C56">
            <v>253</v>
          </cell>
          <cell r="D56">
            <v>12</v>
          </cell>
          <cell r="E56">
            <v>792</v>
          </cell>
          <cell r="H56">
            <v>1045</v>
          </cell>
          <cell r="I56">
            <v>1045</v>
          </cell>
        </row>
        <row r="58">
          <cell r="C58">
            <v>0</v>
          </cell>
          <cell r="H58">
            <v>0</v>
          </cell>
          <cell r="I58">
            <v>0</v>
          </cell>
        </row>
        <row r="60">
          <cell r="C60">
            <v>0</v>
          </cell>
          <cell r="H60">
            <v>0</v>
          </cell>
          <cell r="I60">
            <v>0</v>
          </cell>
        </row>
        <row r="62">
          <cell r="C62">
            <v>-362</v>
          </cell>
          <cell r="F62">
            <v>9</v>
          </cell>
          <cell r="G62">
            <v>1144</v>
          </cell>
          <cell r="H62">
            <v>-1506</v>
          </cell>
          <cell r="I62">
            <v>213</v>
          </cell>
        </row>
        <row r="64">
          <cell r="C64">
            <v>8663</v>
          </cell>
          <cell r="H64">
            <v>8663</v>
          </cell>
          <cell r="I64">
            <v>8663</v>
          </cell>
        </row>
        <row r="66">
          <cell r="C66">
            <v>0</v>
          </cell>
          <cell r="D66">
            <v>8</v>
          </cell>
          <cell r="E66">
            <v>50</v>
          </cell>
          <cell r="H66">
            <v>0</v>
          </cell>
          <cell r="I66">
            <v>0</v>
          </cell>
        </row>
        <row r="67">
          <cell r="D67">
            <v>12</v>
          </cell>
          <cell r="E67">
            <v>87</v>
          </cell>
        </row>
        <row r="68">
          <cell r="C68">
            <v>3602</v>
          </cell>
          <cell r="D68">
            <v>13</v>
          </cell>
          <cell r="E68">
            <v>137</v>
          </cell>
          <cell r="F68">
            <v>17</v>
          </cell>
          <cell r="G68">
            <v>313</v>
          </cell>
          <cell r="H68">
            <v>3197</v>
          </cell>
          <cell r="I68">
            <v>4205</v>
          </cell>
        </row>
        <row r="69">
          <cell r="F69">
            <v>15</v>
          </cell>
          <cell r="G69">
            <v>92</v>
          </cell>
        </row>
        <row r="70">
          <cell r="C70">
            <v>-1138</v>
          </cell>
          <cell r="D70">
            <v>17</v>
          </cell>
          <cell r="E70">
            <v>103</v>
          </cell>
          <cell r="F70">
            <v>14</v>
          </cell>
          <cell r="G70">
            <v>77</v>
          </cell>
          <cell r="H70">
            <v>-1020</v>
          </cell>
          <cell r="I70">
            <v>-1622</v>
          </cell>
        </row>
        <row r="71">
          <cell r="D71">
            <v>15</v>
          </cell>
          <cell r="E71">
            <v>92</v>
          </cell>
        </row>
        <row r="72">
          <cell r="C72">
            <v>0</v>
          </cell>
          <cell r="H72">
            <v>0</v>
          </cell>
          <cell r="I72">
            <v>0</v>
          </cell>
        </row>
        <row r="74">
          <cell r="C74">
            <v>0</v>
          </cell>
          <cell r="H74">
            <v>0</v>
          </cell>
          <cell r="I74">
            <v>47</v>
          </cell>
        </row>
        <row r="76">
          <cell r="C76">
            <v>-90</v>
          </cell>
          <cell r="H76">
            <v>-90</v>
          </cell>
          <cell r="I76">
            <v>-90</v>
          </cell>
        </row>
        <row r="78">
          <cell r="C78">
            <v>-31</v>
          </cell>
          <cell r="D78">
            <v>3</v>
          </cell>
          <cell r="E78">
            <v>112</v>
          </cell>
          <cell r="F78">
            <v>4</v>
          </cell>
          <cell r="G78">
            <v>4</v>
          </cell>
          <cell r="H78">
            <v>-31</v>
          </cell>
          <cell r="I78">
            <v>-31</v>
          </cell>
        </row>
        <row r="80">
          <cell r="C80">
            <v>0</v>
          </cell>
          <cell r="D80">
            <v>9</v>
          </cell>
          <cell r="E80">
            <v>27</v>
          </cell>
          <cell r="F80">
            <v>1</v>
          </cell>
          <cell r="G80">
            <v>44</v>
          </cell>
          <cell r="H80">
            <v>0</v>
          </cell>
          <cell r="I80">
            <v>0</v>
          </cell>
        </row>
        <row r="82">
          <cell r="C82">
            <v>-71</v>
          </cell>
          <cell r="H82">
            <v>-71</v>
          </cell>
          <cell r="I82">
            <v>-71</v>
          </cell>
        </row>
        <row r="84">
          <cell r="C84">
            <v>-12</v>
          </cell>
          <cell r="F84">
            <v>3</v>
          </cell>
          <cell r="G84">
            <v>1</v>
          </cell>
          <cell r="H84">
            <v>-13</v>
          </cell>
          <cell r="I84">
            <v>-13</v>
          </cell>
        </row>
        <row r="86">
          <cell r="C86">
            <v>0</v>
          </cell>
          <cell r="H86">
            <v>0</v>
          </cell>
          <cell r="I86">
            <v>0</v>
          </cell>
        </row>
        <row r="88">
          <cell r="C88">
            <v>0</v>
          </cell>
          <cell r="H88">
            <v>0</v>
          </cell>
          <cell r="I88">
            <v>0</v>
          </cell>
        </row>
        <row r="90">
          <cell r="C90">
            <v>-39</v>
          </cell>
          <cell r="H90">
            <v>-39</v>
          </cell>
          <cell r="I90">
            <v>-39</v>
          </cell>
        </row>
        <row r="92">
          <cell r="C92">
            <v>-75</v>
          </cell>
          <cell r="H92">
            <v>-75</v>
          </cell>
          <cell r="I92">
            <v>-75</v>
          </cell>
        </row>
        <row r="94">
          <cell r="C94">
            <v>0</v>
          </cell>
          <cell r="H94">
            <v>0</v>
          </cell>
          <cell r="I94">
            <v>0</v>
          </cell>
        </row>
        <row r="96">
          <cell r="C96">
            <v>0</v>
          </cell>
          <cell r="H96">
            <v>0</v>
          </cell>
          <cell r="I96">
            <v>0</v>
          </cell>
        </row>
        <row r="98">
          <cell r="C98">
            <v>-319</v>
          </cell>
          <cell r="F98">
            <v>2</v>
          </cell>
          <cell r="G98">
            <v>10</v>
          </cell>
          <cell r="H98">
            <v>-329</v>
          </cell>
          <cell r="I98">
            <v>-329</v>
          </cell>
        </row>
        <row r="100">
          <cell r="C100">
            <v>174</v>
          </cell>
          <cell r="H100">
            <v>174</v>
          </cell>
          <cell r="I100">
            <v>174</v>
          </cell>
        </row>
        <row r="102">
          <cell r="C102">
            <v>0</v>
          </cell>
          <cell r="H102">
            <v>0</v>
          </cell>
          <cell r="I102">
            <v>0</v>
          </cell>
        </row>
        <row r="104">
          <cell r="C104">
            <v>-15207</v>
          </cell>
          <cell r="H104">
            <v>-15207</v>
          </cell>
          <cell r="I104">
            <v>-20396</v>
          </cell>
        </row>
        <row r="106">
          <cell r="C106">
            <v>-7912</v>
          </cell>
          <cell r="H106">
            <v>-7912</v>
          </cell>
          <cell r="I106">
            <v>-10038</v>
          </cell>
        </row>
        <row r="108">
          <cell r="C108">
            <v>0</v>
          </cell>
          <cell r="H108">
            <v>0</v>
          </cell>
          <cell r="I108">
            <v>-3323</v>
          </cell>
        </row>
        <row r="110">
          <cell r="C110">
            <v>-2783</v>
          </cell>
          <cell r="H110">
            <v>-2783</v>
          </cell>
          <cell r="I110">
            <v>2298</v>
          </cell>
        </row>
        <row r="112">
          <cell r="C112">
            <v>-1863</v>
          </cell>
          <cell r="H112">
            <v>-952</v>
          </cell>
          <cell r="I112">
            <v>1155</v>
          </cell>
        </row>
        <row r="114">
          <cell r="C114">
            <v>0</v>
          </cell>
          <cell r="H114">
            <v>0</v>
          </cell>
          <cell r="I114">
            <v>0</v>
          </cell>
        </row>
        <row r="119">
          <cell r="C119">
            <v>0</v>
          </cell>
          <cell r="H119">
            <v>0</v>
          </cell>
          <cell r="I119">
            <v>0</v>
          </cell>
        </row>
        <row r="121">
          <cell r="C121">
            <v>0</v>
          </cell>
          <cell r="H121">
            <v>0</v>
          </cell>
          <cell r="I121">
            <v>0</v>
          </cell>
        </row>
        <row r="123">
          <cell r="C123">
            <v>0</v>
          </cell>
          <cell r="D123">
            <v>6</v>
          </cell>
          <cell r="E123">
            <v>18</v>
          </cell>
          <cell r="H123">
            <v>0</v>
          </cell>
          <cell r="I123">
            <v>0</v>
          </cell>
        </row>
        <row r="125">
          <cell r="C125">
            <v>0</v>
          </cell>
          <cell r="H125">
            <v>0</v>
          </cell>
          <cell r="I125">
            <v>0</v>
          </cell>
        </row>
        <row r="127">
          <cell r="C127">
            <v>0</v>
          </cell>
          <cell r="D127">
            <v>13</v>
          </cell>
          <cell r="E127">
            <v>11</v>
          </cell>
          <cell r="H127">
            <v>0</v>
          </cell>
          <cell r="I127">
            <v>0</v>
          </cell>
        </row>
        <row r="128">
          <cell r="D128">
            <v>13</v>
          </cell>
          <cell r="E128">
            <v>16</v>
          </cell>
        </row>
        <row r="129">
          <cell r="C129">
            <v>0</v>
          </cell>
          <cell r="H129">
            <v>0</v>
          </cell>
          <cell r="I129">
            <v>0</v>
          </cell>
        </row>
        <row r="131">
          <cell r="C131">
            <v>0</v>
          </cell>
          <cell r="H131">
            <v>0</v>
          </cell>
          <cell r="I131">
            <v>0</v>
          </cell>
        </row>
        <row r="133">
          <cell r="C133">
            <v>0</v>
          </cell>
          <cell r="H133">
            <v>0</v>
          </cell>
          <cell r="I133">
            <v>0</v>
          </cell>
        </row>
        <row r="135">
          <cell r="C135">
            <v>0</v>
          </cell>
          <cell r="H135">
            <v>0</v>
          </cell>
          <cell r="I135">
            <v>0</v>
          </cell>
        </row>
        <row r="137">
          <cell r="C137">
            <v>0</v>
          </cell>
          <cell r="H137">
            <v>0</v>
          </cell>
          <cell r="I137">
            <v>0</v>
          </cell>
        </row>
        <row r="139">
          <cell r="C139">
            <v>0</v>
          </cell>
          <cell r="H139">
            <v>0</v>
          </cell>
          <cell r="I139">
            <v>0</v>
          </cell>
        </row>
        <row r="141">
          <cell r="C141">
            <v>0</v>
          </cell>
          <cell r="H141">
            <v>0</v>
          </cell>
          <cell r="I141">
            <v>0</v>
          </cell>
        </row>
        <row r="143">
          <cell r="C143">
            <v>0</v>
          </cell>
          <cell r="H143">
            <v>0</v>
          </cell>
          <cell r="I143">
            <v>0</v>
          </cell>
        </row>
        <row r="145">
          <cell r="C145">
            <v>0</v>
          </cell>
          <cell r="H145">
            <v>0</v>
          </cell>
          <cell r="I145">
            <v>0</v>
          </cell>
        </row>
        <row r="147">
          <cell r="C147">
            <v>0</v>
          </cell>
          <cell r="H147">
            <v>0</v>
          </cell>
          <cell r="I147">
            <v>0</v>
          </cell>
        </row>
        <row r="149">
          <cell r="C149">
            <v>0</v>
          </cell>
          <cell r="H149">
            <v>0</v>
          </cell>
          <cell r="I149">
            <v>0</v>
          </cell>
        </row>
        <row r="151">
          <cell r="C151">
            <v>0</v>
          </cell>
          <cell r="H151">
            <v>0</v>
          </cell>
          <cell r="I151">
            <v>0</v>
          </cell>
        </row>
        <row r="153">
          <cell r="C153">
            <v>1380</v>
          </cell>
          <cell r="D153">
            <v>2</v>
          </cell>
          <cell r="E153">
            <v>10</v>
          </cell>
          <cell r="H153">
            <v>1391</v>
          </cell>
          <cell r="I153">
            <v>1447</v>
          </cell>
        </row>
        <row r="154">
          <cell r="D154">
            <v>3</v>
          </cell>
          <cell r="E154">
            <v>1</v>
          </cell>
        </row>
        <row r="155">
          <cell r="C155">
            <v>913</v>
          </cell>
          <cell r="H155">
            <v>913</v>
          </cell>
          <cell r="I155">
            <v>950</v>
          </cell>
        </row>
        <row r="157">
          <cell r="C157">
            <v>341</v>
          </cell>
          <cell r="D157">
            <v>14</v>
          </cell>
          <cell r="E157">
            <v>77</v>
          </cell>
          <cell r="H157">
            <v>418</v>
          </cell>
          <cell r="I157">
            <v>553</v>
          </cell>
        </row>
        <row r="159">
          <cell r="C159">
            <v>78</v>
          </cell>
          <cell r="H159">
            <v>0</v>
          </cell>
          <cell r="I159">
            <v>0</v>
          </cell>
        </row>
        <row r="161">
          <cell r="C161">
            <v>1943</v>
          </cell>
          <cell r="D161">
            <v>16</v>
          </cell>
          <cell r="E161">
            <v>260</v>
          </cell>
          <cell r="H161">
            <v>0</v>
          </cell>
          <cell r="I161">
            <v>0</v>
          </cell>
        </row>
        <row r="163">
          <cell r="C163">
            <v>47</v>
          </cell>
          <cell r="D163">
            <v>8</v>
          </cell>
          <cell r="E163">
            <v>288</v>
          </cell>
          <cell r="H163">
            <v>335</v>
          </cell>
          <cell r="I163">
            <v>348</v>
          </cell>
        </row>
        <row r="165">
          <cell r="C165">
            <v>-2766</v>
          </cell>
          <cell r="F165">
            <v>18</v>
          </cell>
          <cell r="G165">
            <v>260</v>
          </cell>
          <cell r="H165">
            <v>-3026</v>
          </cell>
          <cell r="I165">
            <v>-3147</v>
          </cell>
        </row>
        <row r="167">
          <cell r="C167">
            <v>-1380</v>
          </cell>
          <cell r="H167">
            <v>-1380</v>
          </cell>
          <cell r="I167">
            <v>-520</v>
          </cell>
        </row>
        <row r="169">
          <cell r="C169">
            <v>-154</v>
          </cell>
          <cell r="H169">
            <v>-154</v>
          </cell>
          <cell r="I169">
            <v>20</v>
          </cell>
        </row>
        <row r="171">
          <cell r="C171">
            <v>-708</v>
          </cell>
          <cell r="D171">
            <v>4</v>
          </cell>
          <cell r="E171">
            <v>4</v>
          </cell>
          <cell r="F171">
            <v>1</v>
          </cell>
          <cell r="G171">
            <v>1</v>
          </cell>
          <cell r="H171">
            <v>-1002</v>
          </cell>
          <cell r="I171">
            <v>421</v>
          </cell>
        </row>
        <row r="172">
          <cell r="D172">
            <v>14</v>
          </cell>
          <cell r="E172">
            <v>34</v>
          </cell>
          <cell r="F172">
            <v>6</v>
          </cell>
          <cell r="G172">
            <v>65</v>
          </cell>
        </row>
        <row r="173">
          <cell r="C173">
            <v>0</v>
          </cell>
          <cell r="F173">
            <v>13</v>
          </cell>
          <cell r="G173">
            <v>54</v>
          </cell>
          <cell r="H173">
            <v>-1</v>
          </cell>
          <cell r="I173">
            <v>0</v>
          </cell>
        </row>
        <row r="174">
          <cell r="F174">
            <v>16</v>
          </cell>
          <cell r="G174">
            <v>56</v>
          </cell>
        </row>
        <row r="175">
          <cell r="C175">
            <v>0</v>
          </cell>
          <cell r="D175">
            <v>15</v>
          </cell>
          <cell r="E175">
            <v>34</v>
          </cell>
          <cell r="F175">
            <v>19</v>
          </cell>
          <cell r="G175">
            <v>100</v>
          </cell>
          <cell r="H175">
            <v>34</v>
          </cell>
          <cell r="I175">
            <v>34</v>
          </cell>
        </row>
        <row r="176">
          <cell r="F176">
            <v>20</v>
          </cell>
          <cell r="G176">
            <v>18</v>
          </cell>
        </row>
        <row r="177">
          <cell r="C177">
            <v>8</v>
          </cell>
          <cell r="D177">
            <v>17</v>
          </cell>
          <cell r="E177">
            <v>3</v>
          </cell>
          <cell r="H177">
            <v>11</v>
          </cell>
          <cell r="I177">
            <v>73</v>
          </cell>
        </row>
        <row r="179">
          <cell r="C179">
            <v>0</v>
          </cell>
          <cell r="H179">
            <v>0</v>
          </cell>
          <cell r="I179">
            <v>0</v>
          </cell>
        </row>
        <row r="181">
          <cell r="C181">
            <v>0</v>
          </cell>
          <cell r="H181">
            <v>0</v>
          </cell>
          <cell r="I181">
            <v>0</v>
          </cell>
        </row>
        <row r="183">
          <cell r="C183">
            <v>0</v>
          </cell>
          <cell r="H183">
            <v>0</v>
          </cell>
          <cell r="I183">
            <v>0</v>
          </cell>
        </row>
        <row r="185">
          <cell r="C185">
            <v>456</v>
          </cell>
          <cell r="F185">
            <v>8</v>
          </cell>
          <cell r="G185">
            <v>288</v>
          </cell>
          <cell r="H185">
            <v>168</v>
          </cell>
          <cell r="I185">
            <v>184</v>
          </cell>
        </row>
        <row r="187">
          <cell r="C187">
            <v>0</v>
          </cell>
          <cell r="F187">
            <v>12</v>
          </cell>
          <cell r="G187">
            <v>87</v>
          </cell>
          <cell r="H187">
            <v>0</v>
          </cell>
          <cell r="I187">
            <v>0</v>
          </cell>
        </row>
        <row r="189">
          <cell r="H189">
            <v>0</v>
          </cell>
          <cell r="I189">
            <v>0</v>
          </cell>
        </row>
        <row r="190">
          <cell r="C190">
            <v>984</v>
          </cell>
          <cell r="E190">
            <v>1029</v>
          </cell>
          <cell r="G190">
            <v>1029</v>
          </cell>
          <cell r="H190">
            <v>1440</v>
          </cell>
          <cell r="I190">
            <v>439</v>
          </cell>
        </row>
        <row r="191">
          <cell r="C191">
            <v>0</v>
          </cell>
          <cell r="D191">
            <v>9</v>
          </cell>
          <cell r="E191">
            <v>1144</v>
          </cell>
          <cell r="F191">
            <v>12</v>
          </cell>
          <cell r="G191">
            <v>792</v>
          </cell>
          <cell r="H191">
            <v>1374</v>
          </cell>
          <cell r="I191">
            <v>826</v>
          </cell>
        </row>
        <row r="192">
          <cell r="D192">
            <v>10</v>
          </cell>
          <cell r="E192">
            <v>991</v>
          </cell>
        </row>
        <row r="193">
          <cell r="D193">
            <v>11</v>
          </cell>
          <cell r="E193">
            <v>31</v>
          </cell>
        </row>
        <row r="194">
          <cell r="C194">
            <v>-1863</v>
          </cell>
          <cell r="E194">
            <v>4486</v>
          </cell>
          <cell r="G194">
            <v>4486</v>
          </cell>
          <cell r="H194">
            <v>-952</v>
          </cell>
          <cell r="I194">
            <v>1155</v>
          </cell>
        </row>
      </sheetData>
      <sheetData sheetId="3"/>
      <sheetData sheetId="4" refreshError="1"/>
      <sheetData sheetId="5" refreshError="1"/>
      <sheetData sheetId="6" refreshError="1"/>
      <sheetData sheetId="7">
        <row r="5">
          <cell r="C5">
            <v>112</v>
          </cell>
        </row>
      </sheetData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>
        <row r="5">
          <cell r="C5">
            <v>112</v>
          </cell>
        </row>
      </sheetData>
      <sheetData sheetId="23">
        <row r="5">
          <cell r="C5">
            <v>4521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5">
          <cell r="C5">
            <v>112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>
        <row r="5">
          <cell r="C5">
            <v>112</v>
          </cell>
        </row>
      </sheetData>
      <sheetData sheetId="44"/>
      <sheetData sheetId="45"/>
      <sheetData sheetId="46">
        <row r="5">
          <cell r="C5">
            <v>4521</v>
          </cell>
        </row>
      </sheetData>
      <sheetData sheetId="47"/>
      <sheetData sheetId="48"/>
      <sheetData sheetId="49"/>
      <sheetData sheetId="50">
        <row r="5">
          <cell r="C5">
            <v>112</v>
          </cell>
        </row>
      </sheetData>
      <sheetData sheetId="51"/>
      <sheetData sheetId="52"/>
      <sheetData sheetId="53"/>
      <sheetData sheetId="54"/>
      <sheetData sheetId="55"/>
      <sheetData sheetId="56"/>
      <sheetData sheetId="57">
        <row r="5">
          <cell r="C5">
            <v>112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>
        <row r="5">
          <cell r="C5">
            <v>112</v>
          </cell>
        </row>
      </sheetData>
      <sheetData sheetId="68"/>
      <sheetData sheetId="69"/>
      <sheetData sheetId="70"/>
      <sheetData sheetId="71"/>
      <sheetData sheetId="72"/>
      <sheetData sheetId="73"/>
      <sheetData sheetId="74">
        <row r="5">
          <cell r="C5">
            <v>112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5">
          <cell r="C5">
            <v>112</v>
          </cell>
        </row>
      </sheetData>
      <sheetData sheetId="85">
        <row r="5">
          <cell r="C5">
            <v>4521</v>
          </cell>
        </row>
      </sheetData>
      <sheetData sheetId="86"/>
      <sheetData sheetId="87"/>
      <sheetData sheetId="88"/>
      <sheetData sheetId="89"/>
      <sheetData sheetId="90"/>
      <sheetData sheetId="91"/>
      <sheetData sheetId="92">
        <row r="5">
          <cell r="C5">
            <v>112</v>
          </cell>
        </row>
      </sheetData>
      <sheetData sheetId="93">
        <row r="5">
          <cell r="C5">
            <v>4521</v>
          </cell>
        </row>
      </sheetData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"/>
      <sheetName val="דוחות"/>
      <sheetName val="גיליון1"/>
      <sheetName val="תזרים מזומנים $"/>
      <sheetName val="מאזן ורוו&quot;ה ש&quot;ח"/>
      <sheetName val="הון עצמי ש&quot;ח"/>
      <sheetName val="תזרים ש&quot;ח 97_6"/>
      <sheetName val="תזרים ש&quot;ח 98_6"/>
      <sheetName val="תזרים ש&quot;ח 97_12"/>
      <sheetName val="אנליטי"/>
      <sheetName val="הלואות בעלים"/>
      <sheetName val="בעלי עניין"/>
      <sheetName val="סבירות מימון"/>
      <sheetName val="רווח למניה"/>
      <sheetName val="ביאורים"/>
      <sheetName val="רכוש קבוע"/>
      <sheetName val="הון"/>
      <sheetName val="ניירות עבודה"/>
      <sheetName val="פקודות נוספות"/>
      <sheetName val="ש&quot;ח מותאם 3.98"/>
      <sheetName val="ש&quot;ח מותאם 12.97"/>
      <sheetName val="ש&quot;ח  מותאם 3.97"/>
      <sheetName val="ש&quot;ח מותאם 12.96"/>
      <sheetName val="מלאי "/>
      <sheetName val="משוב שיווק"/>
      <sheetName val="TRAIL BALANCE 12-2002"/>
      <sheetName val="הפרשות"/>
      <sheetName val="DBI"/>
      <sheetName val="מאזן בוחן"/>
      <sheetName val="רווה&quot;ס"/>
      <sheetName val="תזרים_מזומנים_$4"/>
      <sheetName val="מאזן_ורוו&quot;ה_ש&quot;ח4"/>
      <sheetName val="הון_עצמי_ש&quot;ח4"/>
      <sheetName val="תזרים_ש&quot;ח_97_64"/>
      <sheetName val="תזרים_ש&quot;ח_98_64"/>
      <sheetName val="תזרים_ש&quot;ח_97_124"/>
      <sheetName val="הלואות_בעלים4"/>
      <sheetName val="בעלי_עניין4"/>
      <sheetName val="סבירות_מימון4"/>
      <sheetName val="רווח_למניה4"/>
      <sheetName val="רכוש_קבוע4"/>
      <sheetName val="ניירות_עבודה4"/>
      <sheetName val="פקודות_נוספות4"/>
      <sheetName val="ש&quot;ח_מותאם_3_984"/>
      <sheetName val="ש&quot;ח_מותאם_12_974"/>
      <sheetName val="ש&quot;ח__מותאם_3_974"/>
      <sheetName val="ש&quot;ח_מותאם_12_964"/>
      <sheetName val="מלאי_4"/>
      <sheetName val="מאזן_בוחן2"/>
      <sheetName val="תזרים_מזומנים_$"/>
      <sheetName val="מאזן_ורוו&quot;ה_ש&quot;ח"/>
      <sheetName val="הון_עצמי_ש&quot;ח"/>
      <sheetName val="תזרים_ש&quot;ח_97_6"/>
      <sheetName val="תזרים_ש&quot;ח_98_6"/>
      <sheetName val="תזרים_ש&quot;ח_97_12"/>
      <sheetName val="הלואות_בעלים"/>
      <sheetName val="בעלי_עניין"/>
      <sheetName val="סבירות_מימון"/>
      <sheetName val="רווח_למניה"/>
      <sheetName val="רכוש_קבוע"/>
      <sheetName val="ניירות_עבודה"/>
      <sheetName val="פקודות_נוספות"/>
      <sheetName val="ש&quot;ח_מותאם_3_98"/>
      <sheetName val="ש&quot;ח_מותאם_12_97"/>
      <sheetName val="ש&quot;ח__מותאם_3_97"/>
      <sheetName val="ש&quot;ח_מותאם_12_96"/>
      <sheetName val="מלאי_"/>
      <sheetName val="תזרים_מזומנים_$1"/>
      <sheetName val="מאזן_ורוו&quot;ה_ש&quot;ח1"/>
      <sheetName val="הון_עצמי_ש&quot;ח1"/>
      <sheetName val="תזרים_ש&quot;ח_97_61"/>
      <sheetName val="תזרים_ש&quot;ח_98_61"/>
      <sheetName val="תזרים_ש&quot;ח_97_121"/>
      <sheetName val="הלואות_בעלים1"/>
      <sheetName val="בעלי_עניין1"/>
      <sheetName val="סבירות_מימון1"/>
      <sheetName val="רווח_למניה1"/>
      <sheetName val="רכוש_קבוע1"/>
      <sheetName val="ניירות_עבודה1"/>
      <sheetName val="פקודות_נוספות1"/>
      <sheetName val="ש&quot;ח_מותאם_3_981"/>
      <sheetName val="ש&quot;ח_מותאם_12_971"/>
      <sheetName val="ש&quot;ח__מותאם_3_971"/>
      <sheetName val="ש&quot;ח_מותאם_12_961"/>
      <sheetName val="מלאי_1"/>
      <sheetName val="תזרים_מזומנים_$2"/>
      <sheetName val="מאזן_ורוו&quot;ה_ש&quot;ח2"/>
      <sheetName val="הון_עצמי_ש&quot;ח2"/>
      <sheetName val="תזרים_ש&quot;ח_97_62"/>
      <sheetName val="תזרים_ש&quot;ח_98_62"/>
      <sheetName val="תזרים_ש&quot;ח_97_122"/>
      <sheetName val="הלואות_בעלים2"/>
      <sheetName val="בעלי_עניין2"/>
      <sheetName val="סבירות_מימון2"/>
      <sheetName val="רווח_למניה2"/>
      <sheetName val="רכוש_קבוע2"/>
      <sheetName val="ניירות_עבודה2"/>
      <sheetName val="פקודות_נוספות2"/>
      <sheetName val="ש&quot;ח_מותאם_3_982"/>
      <sheetName val="ש&quot;ח_מותאם_12_972"/>
      <sheetName val="ש&quot;ח__מותאם_3_972"/>
      <sheetName val="ש&quot;ח_מותאם_12_962"/>
      <sheetName val="מלאי_2"/>
      <sheetName val="מאזן_בוחן"/>
      <sheetName val="תזרים_מזומנים_$3"/>
      <sheetName val="מאזן_ורוו&quot;ה_ש&quot;ח3"/>
      <sheetName val="הון_עצמי_ש&quot;ח3"/>
      <sheetName val="תזרים_ש&quot;ח_97_63"/>
      <sheetName val="תזרים_ש&quot;ח_98_63"/>
      <sheetName val="תזרים_ש&quot;ח_97_123"/>
      <sheetName val="הלואות_בעלים3"/>
      <sheetName val="בעלי_עניין3"/>
      <sheetName val="סבירות_מימון3"/>
      <sheetName val="רווח_למניה3"/>
      <sheetName val="רכוש_קבוע3"/>
      <sheetName val="ניירות_עבודה3"/>
      <sheetName val="פקודות_נוספות3"/>
      <sheetName val="ש&quot;ח_מותאם_3_983"/>
      <sheetName val="ש&quot;ח_מותאם_12_973"/>
      <sheetName val="ש&quot;ח__מותאם_3_973"/>
      <sheetName val="ש&quot;ח_מותאם_12_963"/>
      <sheetName val="מלאי_3"/>
      <sheetName val="מאזן_בוחן1"/>
      <sheetName val="תזרים_מזומנים_$5"/>
      <sheetName val="מאזן_ורוו&quot;ה_ש&quot;ח5"/>
      <sheetName val="הון_עצמי_ש&quot;ח5"/>
      <sheetName val="תזרים_ש&quot;ח_97_65"/>
      <sheetName val="תזרים_ש&quot;ח_98_65"/>
      <sheetName val="תזרים_ש&quot;ח_97_125"/>
      <sheetName val="הלואות_בעלים5"/>
      <sheetName val="בעלי_עניין5"/>
      <sheetName val="סבירות_מימון5"/>
      <sheetName val="רווח_למניה5"/>
      <sheetName val="רכוש_קבוע5"/>
      <sheetName val="ניירות_עבודה5"/>
      <sheetName val="פקודות_נוספות5"/>
      <sheetName val="ש&quot;ח_מותאם_3_985"/>
      <sheetName val="ש&quot;ח_מותאם_12_975"/>
      <sheetName val="ש&quot;ח__מותאם_3_975"/>
      <sheetName val="ש&quot;ח_מותאם_12_965"/>
      <sheetName val="מלאי_5"/>
      <sheetName val="מאזן_בוחן3"/>
      <sheetName val="תזרים_מזומנים_$6"/>
      <sheetName val="מאזן_ורוו&quot;ה_ש&quot;ח6"/>
      <sheetName val="הון_עצמי_ש&quot;ח6"/>
      <sheetName val="תזרים_ש&quot;ח_97_66"/>
      <sheetName val="תזרים_ש&quot;ח_98_66"/>
      <sheetName val="תזרים_ש&quot;ח_97_126"/>
      <sheetName val="הלואות_בעלים6"/>
      <sheetName val="בעלי_עניין6"/>
      <sheetName val="סבירות_מימון6"/>
      <sheetName val="רווח_למניה6"/>
      <sheetName val="רכוש_קבוע6"/>
      <sheetName val="ניירות_עבודה6"/>
      <sheetName val="פקודות_נוספות6"/>
      <sheetName val="ש&quot;ח_מותאם_3_986"/>
      <sheetName val="ש&quot;ח_מותאם_12_976"/>
      <sheetName val="ש&quot;ח__מותאם_3_976"/>
      <sheetName val="ש&quot;ח_מותאם_12_966"/>
      <sheetName val="מלאי_6"/>
      <sheetName val="מאזן_בוחן4"/>
      <sheetName val="תזרים_מזומנים_$7"/>
      <sheetName val="מאזן_ורוו&quot;ה_ש&quot;ח7"/>
      <sheetName val="הון_עצמי_ש&quot;ח7"/>
      <sheetName val="תזרים_ש&quot;ח_97_67"/>
      <sheetName val="תזרים_ש&quot;ח_98_67"/>
      <sheetName val="תזרים_ש&quot;ח_97_127"/>
      <sheetName val="הלואות_בעלים7"/>
      <sheetName val="בעלי_עניין7"/>
      <sheetName val="סבירות_מימון7"/>
      <sheetName val="רווח_למניה7"/>
      <sheetName val="רכוש_קבוע7"/>
      <sheetName val="ניירות_עבודה7"/>
      <sheetName val="פקודות_נוספות7"/>
      <sheetName val="ש&quot;ח_מותאם_3_987"/>
      <sheetName val="ש&quot;ח_מותאם_12_977"/>
      <sheetName val="ש&quot;ח__מותאם_3_977"/>
      <sheetName val="ש&quot;ח_מותאם_12_967"/>
      <sheetName val="מלאי_7"/>
      <sheetName val="מאזן_בוחן5"/>
      <sheetName val="נתונים לשינוי"/>
      <sheetName val="הוצאות מראש"/>
      <sheetName val="משוב_שיווק"/>
      <sheetName val="TRAIL_BALANCE_12-2002"/>
      <sheetName val="נתונים_לשינוי"/>
      <sheetName val="Work Papers 12 2004"/>
      <sheetName val="מדדים"/>
    </sheetNames>
    <sheetDataSet>
      <sheetData sheetId="0">
        <row r="8">
          <cell r="G8">
            <v>3.6669999999999998</v>
          </cell>
        </row>
      </sheetData>
      <sheetData sheetId="1">
        <row r="8">
          <cell r="G8">
            <v>3.6669999999999998</v>
          </cell>
        </row>
      </sheetData>
      <sheetData sheetId="2">
        <row r="8">
          <cell r="G8">
            <v>3.6669999999999998</v>
          </cell>
        </row>
      </sheetData>
      <sheetData sheetId="3">
        <row r="8">
          <cell r="G8">
            <v>3.6669999999999998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8">
          <cell r="G8">
            <v>3.6669999999999998</v>
          </cell>
        </row>
      </sheetData>
      <sheetData sheetId="17">
        <row r="8">
          <cell r="G8">
            <v>3.6669999999999998</v>
          </cell>
        </row>
      </sheetData>
      <sheetData sheetId="18" refreshError="1"/>
      <sheetData sheetId="19">
        <row r="8">
          <cell r="G8">
            <v>3.6669999999999998</v>
          </cell>
        </row>
      </sheetData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8">
          <cell r="G8">
            <v>3.6669999999999998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8">
          <cell r="G8">
            <v>3.6669999999999998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>
        <row r="8">
          <cell r="G8">
            <v>3.6669999999999998</v>
          </cell>
        </row>
      </sheetData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>
        <row r="8">
          <cell r="G8">
            <v>3.6669999999999998</v>
          </cell>
        </row>
      </sheetData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/>
      <sheetData sheetId="183"/>
      <sheetData sheetId="184"/>
      <sheetData sheetId="185" refreshError="1"/>
      <sheetData sheetId="18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נתונים לשינוי"/>
      <sheetName val="השלמות"/>
      <sheetName val="כרטיסים שלא שולבו"/>
      <sheetName val="מאזן בוחן LTD"/>
      <sheetName val="CYDOOR03"/>
      <sheetName val="סקירת כרטיסים"/>
      <sheetName val="חישובים"/>
      <sheetName val="פקדון ניו קופל"/>
      <sheetName val="רכוש קבוע Ltd"/>
      <sheetName val="חבויות עובדים"/>
      <sheetName val="הכנסות לקוחות וע&quot;מ"/>
      <sheetName val="by Customer Ltd."/>
      <sheetName val="By customer Inc."/>
      <sheetName val="בדיקת התאמת מנהל לספרים"/>
      <sheetName val="option_total 2003"/>
      <sheetName val="תזרים חברה"/>
      <sheetName val="דוחות LTD"/>
      <sheetName val="מאזן בוחן inc"/>
      <sheetName val="Cydoor Inc TB 311203"/>
      <sheetName val="סקירת כרטיסים Inc"/>
      <sheetName val="ר&quot;ק inc"/>
      <sheetName val="איחוד"/>
      <sheetName val="FINAL REPORTS"/>
      <sheetName val="מודול מעבר והדפסות"/>
      <sheetName val="מודול1"/>
      <sheetName val="ש&quot;ח מותאם 3.98"/>
    </sheetNames>
    <sheetDataSet>
      <sheetData sheetId="0">
        <row r="6">
          <cell r="G6">
            <v>4.3789999999999996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BS"/>
      <sheetName val="CONSPL"/>
      <sheetName val="CONS CF"/>
      <sheetName val="Equity"/>
      <sheetName val="Consolidation sheet"/>
      <sheetName val="Consolidation entries"/>
      <sheetName val="LTD "/>
      <sheetName val="TB &amp; AJE LTD"/>
      <sheetName val="AJE LTD"/>
      <sheetName val="Allocation"/>
      <sheetName val="כמות עובדים"/>
      <sheetName val="TB LTD"/>
      <sheetName val="BS UK"/>
      <sheetName val="PL UK"/>
      <sheetName val="AJE INC"/>
      <sheetName val="Cash &amp; Restricted cash"/>
      <sheetName val="Other account receivable"/>
      <sheetName val="Property &amp; Equipment"/>
      <sheetName val=" Trade Payable"/>
      <sheetName val="Other Payables"/>
      <sheetName val="אנליטי"/>
    </sheetNames>
    <sheetDataSet>
      <sheetData sheetId="0">
        <row r="44">
          <cell r="G44">
            <v>-44027.35826244764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עודה א"/>
      <sheetName val="תעודה ב"/>
      <sheetName val="1344"/>
      <sheetName val="1385"/>
      <sheetName val="1235"/>
      <sheetName val="נייר עבודה עודפות"/>
      <sheetName val="32(9)"/>
      <sheetName val="טופס 1385"/>
      <sheetName val="מו&quot;פ - נספח"/>
      <sheetName val="LTD Final TB"/>
      <sheetName val="דוח התאמה למס 2014"/>
      <sheetName val="מאזן בוחן סופי 2014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lena Popov" id="{665070F6-02B4-456B-9D0B-D789F1F4F2AB}" userId="S::elenapo@guberman.co.il::01d23c94-23c7-4f11-bbfc-5451b1d32fc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850A42-2713-4939-A903-474618DFFA74}" name="טבלה2" displayName="טבלה2" ref="A9:G46" headerRowCount="0" totalsRowShown="0">
  <tableColumns count="7">
    <tableColumn id="1" xr3:uid="{4725A890-937C-4431-8728-208A510E6026}" name="עמודה1" headerRowDxfId="133" dataDxfId="132"/>
    <tableColumn id="2" xr3:uid="{D75677AC-7E92-4529-B906-362F89D9A374}" name="עמודה2" headerRowDxfId="131" dataDxfId="130"/>
    <tableColumn id="3" xr3:uid="{F636A0AE-755F-4572-8354-3496B322DDB1}" name="עמודה3" headerRowDxfId="129" headerRowCellStyle="Comma"/>
    <tableColumn id="5" xr3:uid="{84020799-9D24-4414-B9FF-15BCE6AB4068}" name="עמודה5" headerRowDxfId="128" headerRowCellStyle="Comma"/>
    <tableColumn id="6" xr3:uid="{AB7207DA-AB9C-40E7-B01A-20C8BC5DAF85}" name="עמודה6" headerRowDxfId="127" dataDxfId="126"/>
    <tableColumn id="25" xr3:uid="{BEFF2E90-A360-4378-9E25-5465876FDA81}" name="עמודה25" headerRowDxfId="125" headerRowCellStyle="Comma"/>
    <tableColumn id="4" xr3:uid="{0BB23851-18E7-4C19-A522-8B6E54DBD258}" name="עמודה4" headerRowDxfId="124" dataDxfId="123" headerRowCellStyle="Comma"/>
  </tableColumns>
  <tableStyleInfo name="GubermanFS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64682C-4E0E-43E6-B20F-70A884422818}" name="טבלה3" displayName="טבלה3" ref="A12:U34" headerRowCount="0" totalsRowShown="0">
  <tableColumns count="21">
    <tableColumn id="1" xr3:uid="{793491A9-1214-4A83-98F6-7F573942D1ED}" name="עמודה1" headerRowDxfId="122" dataDxfId="121"/>
    <tableColumn id="2" xr3:uid="{F84D6875-F132-4516-9F06-2E0488EF4E16}" name="עמודה2" headerRowDxfId="120" dataDxfId="119"/>
    <tableColumn id="3" xr3:uid="{173CAAB9-7D4D-46C5-990D-0A526AE75E00}" name="עמודה3" headerRowDxfId="118" dataDxfId="117"/>
    <tableColumn id="4" xr3:uid="{1D48F13B-1ACB-46B2-A703-D24E1843406F}" name="עמודה4" headerRowDxfId="116" headerRowCellStyle="Comma"/>
    <tableColumn id="5" xr3:uid="{14CB8F6C-A0DD-47BA-94C2-225E52AD0B2A}" name="עמודה5" headerRowDxfId="115" dataDxfId="114" headerRowCellStyle="Comma"/>
    <tableColumn id="11" xr3:uid="{4CCE14F3-4254-414A-90BA-07192E536FA4}" name="עמודה11" headerRowDxfId="113" dataDxfId="112" headerRowCellStyle="Comma">
      <calculatedColumnFormula>טבלה3[[#This Row],[עמודה6]]-#REF!</calculatedColumnFormula>
    </tableColumn>
    <tableColumn id="7" xr3:uid="{0E0F0597-30DE-4C22-A590-BFB1B3E859CF}" name="עמודה7" headerRowDxfId="111" dataDxfId="110" headerRowCellStyle="Comma"/>
    <tableColumn id="6" xr3:uid="{D8B03B60-734C-4157-8C65-E1966915A138}" name="עמודה6" headerRowDxfId="109" headerRowCellStyle="Comma"/>
    <tableColumn id="8" xr3:uid="{F56968AF-16F9-4B57-9449-847EDB598CE0}" name="עמודה8" headerRowDxfId="108" headerRowCellStyle="Comma"/>
    <tableColumn id="9" xr3:uid="{F2A36B39-2E6D-48BA-B6C1-D96D1F21DCF2}" name="עמודה9" headerRowDxfId="107"/>
    <tableColumn id="10" xr3:uid="{A097FA56-97E9-4BB5-AA5F-3BD1F5088799}" name="עמודה10"/>
    <tableColumn id="15" xr3:uid="{398A001D-D330-4B74-BC43-CFBEF4E5ADFD}" name="Column4" dataDxfId="106">
      <calculatedColumnFormula>טבלה3[[#This Row],[עמודה6]]/1000</calculatedColumnFormula>
    </tableColumn>
    <tableColumn id="14" xr3:uid="{8DEE5FFE-3D3A-428E-8AC8-F254A2A2A3F7}" name="Column3" dataDxfId="105">
      <calculatedColumnFormula>טבלה3[[#This Row],[עמודה8]]/1000</calculatedColumnFormula>
    </tableColumn>
    <tableColumn id="21" xr3:uid="{671DCE3F-1AC7-48D2-9BDE-1C1FBFA0A953}" name="Column10" dataDxfId="104"/>
    <tableColumn id="20" xr3:uid="{40AA0E3F-C29F-43CA-BE65-EA36C8926972}" name="Column9" dataDxfId="103"/>
    <tableColumn id="19" xr3:uid="{A9DE3AC8-7C65-41D8-B05B-7D28CD989591}" name="Column8" dataDxfId="102"/>
    <tableColumn id="18" xr3:uid="{74227D26-EA20-4952-BB4E-A200FB2B385E}" name="Column7" dataDxfId="101"/>
    <tableColumn id="17" xr3:uid="{D65BB7F9-005E-4F6B-86A6-91DE912CC3FE}" name="Column6" dataDxfId="100"/>
    <tableColumn id="16" xr3:uid="{0E5158F1-A65C-40EF-B241-8A3C6555F670}" name="Column5" dataDxfId="99"/>
    <tableColumn id="13" xr3:uid="{A93875A6-1E7A-41C6-90E2-1D0186E663B6}" name="Column2"/>
    <tableColumn id="12" xr3:uid="{C7FC62FE-A17E-46B4-8AD8-63FECE7F55E6}" name="Column1" headerRowDxfId="98" headerRowCellStyle="Comma"/>
  </tableColumns>
  <tableStyleInfo name="GubermanFS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4401E1-451A-47D1-A9B2-E9BB3BFB7EE3}" name="טבלה5" displayName="טבלה5" ref="A10:H69" headerRowCount="0" totalsRowShown="0" headerRowDxfId="97" dataDxfId="96" headerRowCellStyle="Comma">
  <tableColumns count="8">
    <tableColumn id="1" xr3:uid="{0EA69232-F49D-414C-B63C-14893E9C772E}" name="עמודה1" headerRowDxfId="95" dataDxfId="94"/>
    <tableColumn id="2" xr3:uid="{0C7F7456-3086-4EB2-A4D6-834013AC96C6}" name="עמודה2" headerRowDxfId="93" dataDxfId="92" headerRowCellStyle="Comma"/>
    <tableColumn id="3" xr3:uid="{D3183AAC-85D3-4615-8B8C-415B8AADF9A0}" name="עמודה3" headerRowDxfId="91" dataDxfId="90" headerRowCellStyle="Comma"/>
    <tableColumn id="45" xr3:uid="{62A1CAD4-E17A-4272-AE80-F7A03788F7DF}" name="עמודה45" headerRowDxfId="89" dataDxfId="88" headerRowCellStyle="Comma"/>
    <tableColumn id="5" xr3:uid="{8E34C064-23B6-43E7-BF0A-D6F9F8E0C201}" name="עמודה5" headerRowDxfId="87" dataDxfId="86" headerRowCellStyle="Comma"/>
    <tableColumn id="4" xr3:uid="{65BD061F-5C2E-4A87-98F6-D4C1C56FA8CF}" name="עמודה4" headerRowDxfId="85" dataDxfId="84" headerRowCellStyle="Comma"/>
    <tableColumn id="6" xr3:uid="{6C6F3842-FB67-4D0B-B55F-05115B35DA4E}" name="עמודה6" headerRowDxfId="83" dataDxfId="82" headerRowCellStyle="Comma"/>
    <tableColumn id="7" xr3:uid="{D4F28E25-D4A6-4E9E-9FDD-93BCE10EC827}" name="עמודה7" headerRowDxfId="81" dataDxfId="80"/>
  </tableColumns>
  <tableStyleInfo name="GubermanFS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9" dT="2023-01-18T08:54:56.25" personId="{665070F6-02B4-456B-9D0B-D789F1F4F2AB}" id="{82EC02F8-AE45-478F-BD4B-580E7A72D8B3}">
    <text xml:space="preserve">מתייחס לחו"ז בין חברתי וצריך להיות מאוזן במאוחד 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69" dT="2023-01-18T08:54:56.25" personId="{665070F6-02B4-456B-9D0B-D789F1F4F2AB}" id="{60FA932D-7E2F-45F1-90F3-9073B4DFA07B}">
    <text xml:space="preserve">מתייחס לחו"ז בין חברתי וצריך להיות מאוזן במאוחד 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8.bin"/><Relationship Id="rId4" Type="http://schemas.openxmlformats.org/officeDocument/2006/relationships/comments" Target="../comments4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8032-6799-427D-9508-5CE36C060A4B}">
  <dimension ref="A13:D99"/>
  <sheetViews>
    <sheetView view="pageBreakPreview" topLeftCell="A2" zoomScaleNormal="100" zoomScaleSheetLayoutView="100" workbookViewId="0">
      <selection activeCell="B27" sqref="B27"/>
    </sheetView>
  </sheetViews>
  <sheetFormatPr defaultRowHeight="12.75"/>
  <cols>
    <col min="1" max="1" width="41.5703125" bestFit="1" customWidth="1"/>
    <col min="2" max="2" width="63.5703125" bestFit="1" customWidth="1"/>
    <col min="3" max="4" width="14.5703125" customWidth="1"/>
    <col min="6" max="6" width="13.5703125" customWidth="1"/>
    <col min="9" max="9" width="10.5703125" bestFit="1" customWidth="1"/>
    <col min="257" max="257" width="41.5703125" bestFit="1" customWidth="1"/>
    <col min="258" max="258" width="63.5703125" bestFit="1" customWidth="1"/>
    <col min="259" max="260" width="14.5703125" customWidth="1"/>
    <col min="262" max="262" width="13.5703125" customWidth="1"/>
    <col min="265" max="265" width="10.5703125" bestFit="1" customWidth="1"/>
    <col min="513" max="513" width="41.5703125" bestFit="1" customWidth="1"/>
    <col min="514" max="514" width="63.5703125" bestFit="1" customWidth="1"/>
    <col min="515" max="516" width="14.5703125" customWidth="1"/>
    <col min="518" max="518" width="13.5703125" customWidth="1"/>
    <col min="521" max="521" width="10.5703125" bestFit="1" customWidth="1"/>
    <col min="769" max="769" width="41.5703125" bestFit="1" customWidth="1"/>
    <col min="770" max="770" width="63.5703125" bestFit="1" customWidth="1"/>
    <col min="771" max="772" width="14.5703125" customWidth="1"/>
    <col min="774" max="774" width="13.5703125" customWidth="1"/>
    <col min="777" max="777" width="10.5703125" bestFit="1" customWidth="1"/>
    <col min="1025" max="1025" width="41.5703125" bestFit="1" customWidth="1"/>
    <col min="1026" max="1026" width="63.5703125" bestFit="1" customWidth="1"/>
    <col min="1027" max="1028" width="14.5703125" customWidth="1"/>
    <col min="1030" max="1030" width="13.5703125" customWidth="1"/>
    <col min="1033" max="1033" width="10.5703125" bestFit="1" customWidth="1"/>
    <col min="1281" max="1281" width="41.5703125" bestFit="1" customWidth="1"/>
    <col min="1282" max="1282" width="63.5703125" bestFit="1" customWidth="1"/>
    <col min="1283" max="1284" width="14.5703125" customWidth="1"/>
    <col min="1286" max="1286" width="13.5703125" customWidth="1"/>
    <col min="1289" max="1289" width="10.5703125" bestFit="1" customWidth="1"/>
    <col min="1537" max="1537" width="41.5703125" bestFit="1" customWidth="1"/>
    <col min="1538" max="1538" width="63.5703125" bestFit="1" customWidth="1"/>
    <col min="1539" max="1540" width="14.5703125" customWidth="1"/>
    <col min="1542" max="1542" width="13.5703125" customWidth="1"/>
    <col min="1545" max="1545" width="10.5703125" bestFit="1" customWidth="1"/>
    <col min="1793" max="1793" width="41.5703125" bestFit="1" customWidth="1"/>
    <col min="1794" max="1794" width="63.5703125" bestFit="1" customWidth="1"/>
    <col min="1795" max="1796" width="14.5703125" customWidth="1"/>
    <col min="1798" max="1798" width="13.5703125" customWidth="1"/>
    <col min="1801" max="1801" width="10.5703125" bestFit="1" customWidth="1"/>
    <col min="2049" max="2049" width="41.5703125" bestFit="1" customWidth="1"/>
    <col min="2050" max="2050" width="63.5703125" bestFit="1" customWidth="1"/>
    <col min="2051" max="2052" width="14.5703125" customWidth="1"/>
    <col min="2054" max="2054" width="13.5703125" customWidth="1"/>
    <col min="2057" max="2057" width="10.5703125" bestFit="1" customWidth="1"/>
    <col min="2305" max="2305" width="41.5703125" bestFit="1" customWidth="1"/>
    <col min="2306" max="2306" width="63.5703125" bestFit="1" customWidth="1"/>
    <col min="2307" max="2308" width="14.5703125" customWidth="1"/>
    <col min="2310" max="2310" width="13.5703125" customWidth="1"/>
    <col min="2313" max="2313" width="10.5703125" bestFit="1" customWidth="1"/>
    <col min="2561" max="2561" width="41.5703125" bestFit="1" customWidth="1"/>
    <col min="2562" max="2562" width="63.5703125" bestFit="1" customWidth="1"/>
    <col min="2563" max="2564" width="14.5703125" customWidth="1"/>
    <col min="2566" max="2566" width="13.5703125" customWidth="1"/>
    <col min="2569" max="2569" width="10.5703125" bestFit="1" customWidth="1"/>
    <col min="2817" max="2817" width="41.5703125" bestFit="1" customWidth="1"/>
    <col min="2818" max="2818" width="63.5703125" bestFit="1" customWidth="1"/>
    <col min="2819" max="2820" width="14.5703125" customWidth="1"/>
    <col min="2822" max="2822" width="13.5703125" customWidth="1"/>
    <col min="2825" max="2825" width="10.5703125" bestFit="1" customWidth="1"/>
    <col min="3073" max="3073" width="41.5703125" bestFit="1" customWidth="1"/>
    <col min="3074" max="3074" width="63.5703125" bestFit="1" customWidth="1"/>
    <col min="3075" max="3076" width="14.5703125" customWidth="1"/>
    <col min="3078" max="3078" width="13.5703125" customWidth="1"/>
    <col min="3081" max="3081" width="10.5703125" bestFit="1" customWidth="1"/>
    <col min="3329" max="3329" width="41.5703125" bestFit="1" customWidth="1"/>
    <col min="3330" max="3330" width="63.5703125" bestFit="1" customWidth="1"/>
    <col min="3331" max="3332" width="14.5703125" customWidth="1"/>
    <col min="3334" max="3334" width="13.5703125" customWidth="1"/>
    <col min="3337" max="3337" width="10.5703125" bestFit="1" customWidth="1"/>
    <col min="3585" max="3585" width="41.5703125" bestFit="1" customWidth="1"/>
    <col min="3586" max="3586" width="63.5703125" bestFit="1" customWidth="1"/>
    <col min="3587" max="3588" width="14.5703125" customWidth="1"/>
    <col min="3590" max="3590" width="13.5703125" customWidth="1"/>
    <col min="3593" max="3593" width="10.5703125" bestFit="1" customWidth="1"/>
    <col min="3841" max="3841" width="41.5703125" bestFit="1" customWidth="1"/>
    <col min="3842" max="3842" width="63.5703125" bestFit="1" customWidth="1"/>
    <col min="3843" max="3844" width="14.5703125" customWidth="1"/>
    <col min="3846" max="3846" width="13.5703125" customWidth="1"/>
    <col min="3849" max="3849" width="10.5703125" bestFit="1" customWidth="1"/>
    <col min="4097" max="4097" width="41.5703125" bestFit="1" customWidth="1"/>
    <col min="4098" max="4098" width="63.5703125" bestFit="1" customWidth="1"/>
    <col min="4099" max="4100" width="14.5703125" customWidth="1"/>
    <col min="4102" max="4102" width="13.5703125" customWidth="1"/>
    <col min="4105" max="4105" width="10.5703125" bestFit="1" customWidth="1"/>
    <col min="4353" max="4353" width="41.5703125" bestFit="1" customWidth="1"/>
    <col min="4354" max="4354" width="63.5703125" bestFit="1" customWidth="1"/>
    <col min="4355" max="4356" width="14.5703125" customWidth="1"/>
    <col min="4358" max="4358" width="13.5703125" customWidth="1"/>
    <col min="4361" max="4361" width="10.5703125" bestFit="1" customWidth="1"/>
    <col min="4609" max="4609" width="41.5703125" bestFit="1" customWidth="1"/>
    <col min="4610" max="4610" width="63.5703125" bestFit="1" customWidth="1"/>
    <col min="4611" max="4612" width="14.5703125" customWidth="1"/>
    <col min="4614" max="4614" width="13.5703125" customWidth="1"/>
    <col min="4617" max="4617" width="10.5703125" bestFit="1" customWidth="1"/>
    <col min="4865" max="4865" width="41.5703125" bestFit="1" customWidth="1"/>
    <col min="4866" max="4866" width="63.5703125" bestFit="1" customWidth="1"/>
    <col min="4867" max="4868" width="14.5703125" customWidth="1"/>
    <col min="4870" max="4870" width="13.5703125" customWidth="1"/>
    <col min="4873" max="4873" width="10.5703125" bestFit="1" customWidth="1"/>
    <col min="5121" max="5121" width="41.5703125" bestFit="1" customWidth="1"/>
    <col min="5122" max="5122" width="63.5703125" bestFit="1" customWidth="1"/>
    <col min="5123" max="5124" width="14.5703125" customWidth="1"/>
    <col min="5126" max="5126" width="13.5703125" customWidth="1"/>
    <col min="5129" max="5129" width="10.5703125" bestFit="1" customWidth="1"/>
    <col min="5377" max="5377" width="41.5703125" bestFit="1" customWidth="1"/>
    <col min="5378" max="5378" width="63.5703125" bestFit="1" customWidth="1"/>
    <col min="5379" max="5380" width="14.5703125" customWidth="1"/>
    <col min="5382" max="5382" width="13.5703125" customWidth="1"/>
    <col min="5385" max="5385" width="10.5703125" bestFit="1" customWidth="1"/>
    <col min="5633" max="5633" width="41.5703125" bestFit="1" customWidth="1"/>
    <col min="5634" max="5634" width="63.5703125" bestFit="1" customWidth="1"/>
    <col min="5635" max="5636" width="14.5703125" customWidth="1"/>
    <col min="5638" max="5638" width="13.5703125" customWidth="1"/>
    <col min="5641" max="5641" width="10.5703125" bestFit="1" customWidth="1"/>
    <col min="5889" max="5889" width="41.5703125" bestFit="1" customWidth="1"/>
    <col min="5890" max="5890" width="63.5703125" bestFit="1" customWidth="1"/>
    <col min="5891" max="5892" width="14.5703125" customWidth="1"/>
    <col min="5894" max="5894" width="13.5703125" customWidth="1"/>
    <col min="5897" max="5897" width="10.5703125" bestFit="1" customWidth="1"/>
    <col min="6145" max="6145" width="41.5703125" bestFit="1" customWidth="1"/>
    <col min="6146" max="6146" width="63.5703125" bestFit="1" customWidth="1"/>
    <col min="6147" max="6148" width="14.5703125" customWidth="1"/>
    <col min="6150" max="6150" width="13.5703125" customWidth="1"/>
    <col min="6153" max="6153" width="10.5703125" bestFit="1" customWidth="1"/>
    <col min="6401" max="6401" width="41.5703125" bestFit="1" customWidth="1"/>
    <col min="6402" max="6402" width="63.5703125" bestFit="1" customWidth="1"/>
    <col min="6403" max="6404" width="14.5703125" customWidth="1"/>
    <col min="6406" max="6406" width="13.5703125" customWidth="1"/>
    <col min="6409" max="6409" width="10.5703125" bestFit="1" customWidth="1"/>
    <col min="6657" max="6657" width="41.5703125" bestFit="1" customWidth="1"/>
    <col min="6658" max="6658" width="63.5703125" bestFit="1" customWidth="1"/>
    <col min="6659" max="6660" width="14.5703125" customWidth="1"/>
    <col min="6662" max="6662" width="13.5703125" customWidth="1"/>
    <col min="6665" max="6665" width="10.5703125" bestFit="1" customWidth="1"/>
    <col min="6913" max="6913" width="41.5703125" bestFit="1" customWidth="1"/>
    <col min="6914" max="6914" width="63.5703125" bestFit="1" customWidth="1"/>
    <col min="6915" max="6916" width="14.5703125" customWidth="1"/>
    <col min="6918" max="6918" width="13.5703125" customWidth="1"/>
    <col min="6921" max="6921" width="10.5703125" bestFit="1" customWidth="1"/>
    <col min="7169" max="7169" width="41.5703125" bestFit="1" customWidth="1"/>
    <col min="7170" max="7170" width="63.5703125" bestFit="1" customWidth="1"/>
    <col min="7171" max="7172" width="14.5703125" customWidth="1"/>
    <col min="7174" max="7174" width="13.5703125" customWidth="1"/>
    <col min="7177" max="7177" width="10.5703125" bestFit="1" customWidth="1"/>
    <col min="7425" max="7425" width="41.5703125" bestFit="1" customWidth="1"/>
    <col min="7426" max="7426" width="63.5703125" bestFit="1" customWidth="1"/>
    <col min="7427" max="7428" width="14.5703125" customWidth="1"/>
    <col min="7430" max="7430" width="13.5703125" customWidth="1"/>
    <col min="7433" max="7433" width="10.5703125" bestFit="1" customWidth="1"/>
    <col min="7681" max="7681" width="41.5703125" bestFit="1" customWidth="1"/>
    <col min="7682" max="7682" width="63.5703125" bestFit="1" customWidth="1"/>
    <col min="7683" max="7684" width="14.5703125" customWidth="1"/>
    <col min="7686" max="7686" width="13.5703125" customWidth="1"/>
    <col min="7689" max="7689" width="10.5703125" bestFit="1" customWidth="1"/>
    <col min="7937" max="7937" width="41.5703125" bestFit="1" customWidth="1"/>
    <col min="7938" max="7938" width="63.5703125" bestFit="1" customWidth="1"/>
    <col min="7939" max="7940" width="14.5703125" customWidth="1"/>
    <col min="7942" max="7942" width="13.5703125" customWidth="1"/>
    <col min="7945" max="7945" width="10.5703125" bestFit="1" customWidth="1"/>
    <col min="8193" max="8193" width="41.5703125" bestFit="1" customWidth="1"/>
    <col min="8194" max="8194" width="63.5703125" bestFit="1" customWidth="1"/>
    <col min="8195" max="8196" width="14.5703125" customWidth="1"/>
    <col min="8198" max="8198" width="13.5703125" customWidth="1"/>
    <col min="8201" max="8201" width="10.5703125" bestFit="1" customWidth="1"/>
    <col min="8449" max="8449" width="41.5703125" bestFit="1" customWidth="1"/>
    <col min="8450" max="8450" width="63.5703125" bestFit="1" customWidth="1"/>
    <col min="8451" max="8452" width="14.5703125" customWidth="1"/>
    <col min="8454" max="8454" width="13.5703125" customWidth="1"/>
    <col min="8457" max="8457" width="10.5703125" bestFit="1" customWidth="1"/>
    <col min="8705" max="8705" width="41.5703125" bestFit="1" customWidth="1"/>
    <col min="8706" max="8706" width="63.5703125" bestFit="1" customWidth="1"/>
    <col min="8707" max="8708" width="14.5703125" customWidth="1"/>
    <col min="8710" max="8710" width="13.5703125" customWidth="1"/>
    <col min="8713" max="8713" width="10.5703125" bestFit="1" customWidth="1"/>
    <col min="8961" max="8961" width="41.5703125" bestFit="1" customWidth="1"/>
    <col min="8962" max="8962" width="63.5703125" bestFit="1" customWidth="1"/>
    <col min="8963" max="8964" width="14.5703125" customWidth="1"/>
    <col min="8966" max="8966" width="13.5703125" customWidth="1"/>
    <col min="8969" max="8969" width="10.5703125" bestFit="1" customWidth="1"/>
    <col min="9217" max="9217" width="41.5703125" bestFit="1" customWidth="1"/>
    <col min="9218" max="9218" width="63.5703125" bestFit="1" customWidth="1"/>
    <col min="9219" max="9220" width="14.5703125" customWidth="1"/>
    <col min="9222" max="9222" width="13.5703125" customWidth="1"/>
    <col min="9225" max="9225" width="10.5703125" bestFit="1" customWidth="1"/>
    <col min="9473" max="9473" width="41.5703125" bestFit="1" customWidth="1"/>
    <col min="9474" max="9474" width="63.5703125" bestFit="1" customWidth="1"/>
    <col min="9475" max="9476" width="14.5703125" customWidth="1"/>
    <col min="9478" max="9478" width="13.5703125" customWidth="1"/>
    <col min="9481" max="9481" width="10.5703125" bestFit="1" customWidth="1"/>
    <col min="9729" max="9729" width="41.5703125" bestFit="1" customWidth="1"/>
    <col min="9730" max="9730" width="63.5703125" bestFit="1" customWidth="1"/>
    <col min="9731" max="9732" width="14.5703125" customWidth="1"/>
    <col min="9734" max="9734" width="13.5703125" customWidth="1"/>
    <col min="9737" max="9737" width="10.5703125" bestFit="1" customWidth="1"/>
    <col min="9985" max="9985" width="41.5703125" bestFit="1" customWidth="1"/>
    <col min="9986" max="9986" width="63.5703125" bestFit="1" customWidth="1"/>
    <col min="9987" max="9988" width="14.5703125" customWidth="1"/>
    <col min="9990" max="9990" width="13.5703125" customWidth="1"/>
    <col min="9993" max="9993" width="10.5703125" bestFit="1" customWidth="1"/>
    <col min="10241" max="10241" width="41.5703125" bestFit="1" customWidth="1"/>
    <col min="10242" max="10242" width="63.5703125" bestFit="1" customWidth="1"/>
    <col min="10243" max="10244" width="14.5703125" customWidth="1"/>
    <col min="10246" max="10246" width="13.5703125" customWidth="1"/>
    <col min="10249" max="10249" width="10.5703125" bestFit="1" customWidth="1"/>
    <col min="10497" max="10497" width="41.5703125" bestFit="1" customWidth="1"/>
    <col min="10498" max="10498" width="63.5703125" bestFit="1" customWidth="1"/>
    <col min="10499" max="10500" width="14.5703125" customWidth="1"/>
    <col min="10502" max="10502" width="13.5703125" customWidth="1"/>
    <col min="10505" max="10505" width="10.5703125" bestFit="1" customWidth="1"/>
    <col min="10753" max="10753" width="41.5703125" bestFit="1" customWidth="1"/>
    <col min="10754" max="10754" width="63.5703125" bestFit="1" customWidth="1"/>
    <col min="10755" max="10756" width="14.5703125" customWidth="1"/>
    <col min="10758" max="10758" width="13.5703125" customWidth="1"/>
    <col min="10761" max="10761" width="10.5703125" bestFit="1" customWidth="1"/>
    <col min="11009" max="11009" width="41.5703125" bestFit="1" customWidth="1"/>
    <col min="11010" max="11010" width="63.5703125" bestFit="1" customWidth="1"/>
    <col min="11011" max="11012" width="14.5703125" customWidth="1"/>
    <col min="11014" max="11014" width="13.5703125" customWidth="1"/>
    <col min="11017" max="11017" width="10.5703125" bestFit="1" customWidth="1"/>
    <col min="11265" max="11265" width="41.5703125" bestFit="1" customWidth="1"/>
    <col min="11266" max="11266" width="63.5703125" bestFit="1" customWidth="1"/>
    <col min="11267" max="11268" width="14.5703125" customWidth="1"/>
    <col min="11270" max="11270" width="13.5703125" customWidth="1"/>
    <col min="11273" max="11273" width="10.5703125" bestFit="1" customWidth="1"/>
    <col min="11521" max="11521" width="41.5703125" bestFit="1" customWidth="1"/>
    <col min="11522" max="11522" width="63.5703125" bestFit="1" customWidth="1"/>
    <col min="11523" max="11524" width="14.5703125" customWidth="1"/>
    <col min="11526" max="11526" width="13.5703125" customWidth="1"/>
    <col min="11529" max="11529" width="10.5703125" bestFit="1" customWidth="1"/>
    <col min="11777" max="11777" width="41.5703125" bestFit="1" customWidth="1"/>
    <col min="11778" max="11778" width="63.5703125" bestFit="1" customWidth="1"/>
    <col min="11779" max="11780" width="14.5703125" customWidth="1"/>
    <col min="11782" max="11782" width="13.5703125" customWidth="1"/>
    <col min="11785" max="11785" width="10.5703125" bestFit="1" customWidth="1"/>
    <col min="12033" max="12033" width="41.5703125" bestFit="1" customWidth="1"/>
    <col min="12034" max="12034" width="63.5703125" bestFit="1" customWidth="1"/>
    <col min="12035" max="12036" width="14.5703125" customWidth="1"/>
    <col min="12038" max="12038" width="13.5703125" customWidth="1"/>
    <col min="12041" max="12041" width="10.5703125" bestFit="1" customWidth="1"/>
    <col min="12289" max="12289" width="41.5703125" bestFit="1" customWidth="1"/>
    <col min="12290" max="12290" width="63.5703125" bestFit="1" customWidth="1"/>
    <col min="12291" max="12292" width="14.5703125" customWidth="1"/>
    <col min="12294" max="12294" width="13.5703125" customWidth="1"/>
    <col min="12297" max="12297" width="10.5703125" bestFit="1" customWidth="1"/>
    <col min="12545" max="12545" width="41.5703125" bestFit="1" customWidth="1"/>
    <col min="12546" max="12546" width="63.5703125" bestFit="1" customWidth="1"/>
    <col min="12547" max="12548" width="14.5703125" customWidth="1"/>
    <col min="12550" max="12550" width="13.5703125" customWidth="1"/>
    <col min="12553" max="12553" width="10.5703125" bestFit="1" customWidth="1"/>
    <col min="12801" max="12801" width="41.5703125" bestFit="1" customWidth="1"/>
    <col min="12802" max="12802" width="63.5703125" bestFit="1" customWidth="1"/>
    <col min="12803" max="12804" width="14.5703125" customWidth="1"/>
    <col min="12806" max="12806" width="13.5703125" customWidth="1"/>
    <col min="12809" max="12809" width="10.5703125" bestFit="1" customWidth="1"/>
    <col min="13057" max="13057" width="41.5703125" bestFit="1" customWidth="1"/>
    <col min="13058" max="13058" width="63.5703125" bestFit="1" customWidth="1"/>
    <col min="13059" max="13060" width="14.5703125" customWidth="1"/>
    <col min="13062" max="13062" width="13.5703125" customWidth="1"/>
    <col min="13065" max="13065" width="10.5703125" bestFit="1" customWidth="1"/>
    <col min="13313" max="13313" width="41.5703125" bestFit="1" customWidth="1"/>
    <col min="13314" max="13314" width="63.5703125" bestFit="1" customWidth="1"/>
    <col min="13315" max="13316" width="14.5703125" customWidth="1"/>
    <col min="13318" max="13318" width="13.5703125" customWidth="1"/>
    <col min="13321" max="13321" width="10.5703125" bestFit="1" customWidth="1"/>
    <col min="13569" max="13569" width="41.5703125" bestFit="1" customWidth="1"/>
    <col min="13570" max="13570" width="63.5703125" bestFit="1" customWidth="1"/>
    <col min="13571" max="13572" width="14.5703125" customWidth="1"/>
    <col min="13574" max="13574" width="13.5703125" customWidth="1"/>
    <col min="13577" max="13577" width="10.5703125" bestFit="1" customWidth="1"/>
    <col min="13825" max="13825" width="41.5703125" bestFit="1" customWidth="1"/>
    <col min="13826" max="13826" width="63.5703125" bestFit="1" customWidth="1"/>
    <col min="13827" max="13828" width="14.5703125" customWidth="1"/>
    <col min="13830" max="13830" width="13.5703125" customWidth="1"/>
    <col min="13833" max="13833" width="10.5703125" bestFit="1" customWidth="1"/>
    <col min="14081" max="14081" width="41.5703125" bestFit="1" customWidth="1"/>
    <col min="14082" max="14082" width="63.5703125" bestFit="1" customWidth="1"/>
    <col min="14083" max="14084" width="14.5703125" customWidth="1"/>
    <col min="14086" max="14086" width="13.5703125" customWidth="1"/>
    <col min="14089" max="14089" width="10.5703125" bestFit="1" customWidth="1"/>
    <col min="14337" max="14337" width="41.5703125" bestFit="1" customWidth="1"/>
    <col min="14338" max="14338" width="63.5703125" bestFit="1" customWidth="1"/>
    <col min="14339" max="14340" width="14.5703125" customWidth="1"/>
    <col min="14342" max="14342" width="13.5703125" customWidth="1"/>
    <col min="14345" max="14345" width="10.5703125" bestFit="1" customWidth="1"/>
    <col min="14593" max="14593" width="41.5703125" bestFit="1" customWidth="1"/>
    <col min="14594" max="14594" width="63.5703125" bestFit="1" customWidth="1"/>
    <col min="14595" max="14596" width="14.5703125" customWidth="1"/>
    <col min="14598" max="14598" width="13.5703125" customWidth="1"/>
    <col min="14601" max="14601" width="10.5703125" bestFit="1" customWidth="1"/>
    <col min="14849" max="14849" width="41.5703125" bestFit="1" customWidth="1"/>
    <col min="14850" max="14850" width="63.5703125" bestFit="1" customWidth="1"/>
    <col min="14851" max="14852" width="14.5703125" customWidth="1"/>
    <col min="14854" max="14854" width="13.5703125" customWidth="1"/>
    <col min="14857" max="14857" width="10.5703125" bestFit="1" customWidth="1"/>
    <col min="15105" max="15105" width="41.5703125" bestFit="1" customWidth="1"/>
    <col min="15106" max="15106" width="63.5703125" bestFit="1" customWidth="1"/>
    <col min="15107" max="15108" width="14.5703125" customWidth="1"/>
    <col min="15110" max="15110" width="13.5703125" customWidth="1"/>
    <col min="15113" max="15113" width="10.5703125" bestFit="1" customWidth="1"/>
    <col min="15361" max="15361" width="41.5703125" bestFit="1" customWidth="1"/>
    <col min="15362" max="15362" width="63.5703125" bestFit="1" customWidth="1"/>
    <col min="15363" max="15364" width="14.5703125" customWidth="1"/>
    <col min="15366" max="15366" width="13.5703125" customWidth="1"/>
    <col min="15369" max="15369" width="10.5703125" bestFit="1" customWidth="1"/>
    <col min="15617" max="15617" width="41.5703125" bestFit="1" customWidth="1"/>
    <col min="15618" max="15618" width="63.5703125" bestFit="1" customWidth="1"/>
    <col min="15619" max="15620" width="14.5703125" customWidth="1"/>
    <col min="15622" max="15622" width="13.5703125" customWidth="1"/>
    <col min="15625" max="15625" width="10.5703125" bestFit="1" customWidth="1"/>
    <col min="15873" max="15873" width="41.5703125" bestFit="1" customWidth="1"/>
    <col min="15874" max="15874" width="63.5703125" bestFit="1" customWidth="1"/>
    <col min="15875" max="15876" width="14.5703125" customWidth="1"/>
    <col min="15878" max="15878" width="13.5703125" customWidth="1"/>
    <col min="15881" max="15881" width="10.5703125" bestFit="1" customWidth="1"/>
    <col min="16129" max="16129" width="41.5703125" bestFit="1" customWidth="1"/>
    <col min="16130" max="16130" width="63.5703125" bestFit="1" customWidth="1"/>
    <col min="16131" max="16132" width="14.5703125" customWidth="1"/>
    <col min="16134" max="16134" width="13.5703125" customWidth="1"/>
    <col min="16137" max="16137" width="10.5703125" bestFit="1" customWidth="1"/>
  </cols>
  <sheetData>
    <row r="13" spans="1:4" ht="35.25">
      <c r="A13" s="534" t="s">
        <v>787</v>
      </c>
      <c r="B13" s="535" t="s">
        <v>533</v>
      </c>
      <c r="C13" s="535"/>
      <c r="D13" s="535"/>
    </row>
    <row r="16" spans="1:4" ht="20.25">
      <c r="A16" s="838"/>
      <c r="B16" s="838"/>
      <c r="C16" s="838"/>
      <c r="D16" s="838"/>
    </row>
    <row r="17" spans="1:4" ht="20.25">
      <c r="A17" s="838"/>
      <c r="B17" s="838"/>
      <c r="C17" s="838"/>
      <c r="D17" s="838"/>
    </row>
    <row r="18" spans="1:4" ht="23.85" customHeight="1">
      <c r="A18" s="839"/>
      <c r="B18" s="839"/>
      <c r="C18" s="839"/>
      <c r="D18" s="839"/>
    </row>
    <row r="19" spans="1:4" ht="32.1" customHeight="1">
      <c r="A19" s="536" t="s">
        <v>788</v>
      </c>
      <c r="B19" s="537">
        <v>44926</v>
      </c>
      <c r="C19" s="537"/>
      <c r="D19" s="537"/>
    </row>
    <row r="20" spans="1:4" ht="20.25">
      <c r="A20" s="536" t="s">
        <v>789</v>
      </c>
      <c r="B20" s="538">
        <v>44561</v>
      </c>
      <c r="C20" s="532"/>
      <c r="D20" s="532"/>
    </row>
    <row r="21" spans="1:4" ht="13.5" thickBot="1">
      <c r="A21" s="532"/>
      <c r="B21" s="532"/>
      <c r="C21" s="532"/>
      <c r="D21" s="532"/>
    </row>
    <row r="22" spans="1:4" ht="13.5" thickBot="1">
      <c r="A22" s="539" t="s">
        <v>790</v>
      </c>
      <c r="B22" s="532"/>
      <c r="C22" s="532"/>
      <c r="D22" s="532"/>
    </row>
    <row r="23" spans="1:4">
      <c r="A23" s="540" t="s">
        <v>791</v>
      </c>
      <c r="B23" s="730">
        <v>3.5190000000000001</v>
      </c>
      <c r="C23" s="532"/>
      <c r="D23" s="532"/>
    </row>
    <row r="24" spans="1:4">
      <c r="A24" s="541" t="s">
        <v>792</v>
      </c>
      <c r="B24" s="730">
        <v>3.7530000000000001</v>
      </c>
      <c r="C24" s="532"/>
      <c r="D24" s="532"/>
    </row>
    <row r="25" spans="1:4">
      <c r="A25" s="542"/>
      <c r="B25" s="532"/>
      <c r="C25" s="532"/>
      <c r="D25" s="532"/>
    </row>
    <row r="27" spans="1:4">
      <c r="A27" s="532" t="s">
        <v>793</v>
      </c>
      <c r="B27" s="543">
        <f>SUM(BS!C46)+SUM('P&amp;L'!D33:H33)+SUM(NotesBS!C13,NotesBS!C26,NotesBS!C36,NotesBS!C37,NotesBS!C45,NotesBS!C57,NotesBS!C58,NotesBS!C65)+SUM('NotesP&amp;L'!B15,'NotesP&amp;L'!F15,'NotesP&amp;L'!B30,'NotesP&amp;L'!F30,'NotesP&amp;L'!B49,'NotesP&amp;L'!F49,'NotesP&amp;L'!B60,'NotesP&amp;L'!F60)</f>
        <v>29962875</v>
      </c>
      <c r="C27" s="532" t="s">
        <v>794</v>
      </c>
      <c r="D27" s="532"/>
    </row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</sheetData>
  <mergeCells count="3">
    <mergeCell ref="A16:D16"/>
    <mergeCell ref="A17:D17"/>
    <mergeCell ref="A18:D18"/>
  </mergeCells>
  <pageMargins left="0.74803149606299213" right="0.74803149606299213" top="0.98425196850393704" bottom="0.98425196850393704" header="0.51181102362204722" footer="0.51181102362204722"/>
  <pageSetup paperSize="9" scale="72" orientation="portrait" r:id="rId1"/>
  <headerFooter alignWithMargins="0"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1CDFD-5854-419C-ABF8-6532CD7C93C3}">
  <dimension ref="A1:D43"/>
  <sheetViews>
    <sheetView view="pageLayout" zoomScale="70" zoomScaleNormal="100" zoomScaleSheetLayoutView="100" zoomScalePageLayoutView="70" workbookViewId="0">
      <selection sqref="A1:D3"/>
    </sheetView>
  </sheetViews>
  <sheetFormatPr defaultColWidth="9.5703125" defaultRowHeight="15"/>
  <cols>
    <col min="1" max="3" width="21.42578125" style="544" customWidth="1"/>
    <col min="4" max="4" width="23.5703125" style="544" customWidth="1"/>
    <col min="5" max="16384" width="9.5703125" style="544"/>
  </cols>
  <sheetData>
    <row r="1" spans="1:4" ht="37.5" customHeight="1">
      <c r="A1" s="841" t="str">
        <f>Companyname</f>
        <v>Aurora Labs Consolidated</v>
      </c>
      <c r="B1" s="841"/>
      <c r="C1" s="841"/>
      <c r="D1" s="841"/>
    </row>
    <row r="2" spans="1:4" ht="14.85" customHeight="1">
      <c r="A2" s="841"/>
      <c r="B2" s="841"/>
      <c r="C2" s="841"/>
      <c r="D2" s="841"/>
    </row>
    <row r="3" spans="1:4" ht="33.6" customHeight="1">
      <c r="A3" s="841"/>
      <c r="B3" s="841"/>
      <c r="C3" s="841"/>
      <c r="D3" s="841"/>
    </row>
    <row r="4" spans="1:4" ht="14.85" customHeight="1">
      <c r="A4" s="545"/>
      <c r="B4" s="545"/>
      <c r="C4" s="545"/>
      <c r="D4" s="545"/>
    </row>
    <row r="5" spans="1:4" ht="14.85" customHeight="1">
      <c r="A5" s="545"/>
      <c r="B5" s="545"/>
      <c r="C5" s="545"/>
      <c r="D5" s="545"/>
    </row>
    <row r="6" spans="1:4" ht="14.85" customHeight="1">
      <c r="A6" s="545"/>
      <c r="B6" s="545"/>
      <c r="C6" s="545"/>
      <c r="D6" s="545"/>
    </row>
    <row r="7" spans="1:4" ht="14.85" customHeight="1">
      <c r="A7" s="545"/>
      <c r="B7" s="545"/>
      <c r="C7" s="545"/>
      <c r="D7" s="545"/>
    </row>
    <row r="8" spans="1:4" ht="14.85" customHeight="1">
      <c r="A8" s="545"/>
      <c r="B8" s="545"/>
      <c r="C8" s="545"/>
      <c r="D8" s="545"/>
    </row>
    <row r="9" spans="1:4" ht="14.85" customHeight="1">
      <c r="A9" s="545"/>
      <c r="B9" s="545"/>
      <c r="C9" s="545"/>
      <c r="D9" s="545"/>
    </row>
    <row r="10" spans="1:4" ht="14.85" customHeight="1">
      <c r="A10" s="545"/>
      <c r="B10" s="545"/>
      <c r="C10" s="545"/>
      <c r="D10" s="545"/>
    </row>
    <row r="11" spans="1:4" ht="14.85" customHeight="1">
      <c r="A11" s="545"/>
      <c r="B11" s="545"/>
      <c r="C11" s="545"/>
      <c r="D11" s="545"/>
    </row>
    <row r="12" spans="1:4" ht="14.85" customHeight="1">
      <c r="A12" s="545"/>
      <c r="B12" s="545"/>
      <c r="C12" s="545"/>
      <c r="D12" s="545"/>
    </row>
    <row r="13" spans="1:4" ht="21.6" customHeight="1">
      <c r="A13" s="842" t="s">
        <v>795</v>
      </c>
      <c r="B13" s="842"/>
      <c r="C13" s="842"/>
      <c r="D13" s="842"/>
    </row>
    <row r="14" spans="1:4" ht="21.6" customHeight="1">
      <c r="A14" s="842"/>
      <c r="B14" s="842"/>
      <c r="C14" s="842"/>
      <c r="D14" s="842"/>
    </row>
    <row r="15" spans="1:4" ht="21.6" customHeight="1">
      <c r="A15" s="842"/>
      <c r="B15" s="842"/>
      <c r="C15" s="842"/>
      <c r="D15" s="842"/>
    </row>
    <row r="16" spans="1:4" ht="21.6" customHeight="1">
      <c r="A16" s="842" t="s">
        <v>796</v>
      </c>
      <c r="B16" s="842"/>
      <c r="C16" s="842"/>
      <c r="D16" s="842"/>
    </row>
    <row r="17" spans="1:4" ht="21.6" customHeight="1">
      <c r="A17" s="842"/>
      <c r="B17" s="842"/>
      <c r="C17" s="842"/>
      <c r="D17" s="842"/>
    </row>
    <row r="18" spans="1:4" ht="21.6" customHeight="1">
      <c r="A18" s="842" t="s">
        <v>797</v>
      </c>
      <c r="B18" s="842"/>
      <c r="C18" s="842"/>
      <c r="D18" s="842"/>
    </row>
    <row r="19" spans="1:4" ht="21.6" customHeight="1">
      <c r="A19" s="842"/>
      <c r="B19" s="842"/>
      <c r="C19" s="842"/>
      <c r="D19" s="842"/>
    </row>
    <row r="20" spans="1:4" ht="14.85" customHeight="1">
      <c r="A20" s="545"/>
      <c r="B20" s="545"/>
      <c r="C20" s="545"/>
      <c r="D20" s="545"/>
    </row>
    <row r="21" spans="1:4" ht="30" customHeight="1">
      <c r="A21" s="843" t="s">
        <v>798</v>
      </c>
      <c r="B21" s="843"/>
      <c r="C21" s="843"/>
      <c r="D21" s="843"/>
    </row>
    <row r="22" spans="1:4" ht="14.85" customHeight="1">
      <c r="A22" s="545"/>
      <c r="B22" s="545"/>
      <c r="C22" s="545"/>
      <c r="D22" s="545"/>
    </row>
    <row r="23" spans="1:4" ht="14.85" customHeight="1">
      <c r="A23" s="545"/>
      <c r="B23" s="545"/>
      <c r="C23" s="545"/>
      <c r="D23" s="545"/>
    </row>
    <row r="24" spans="1:4" ht="14.85" customHeight="1">
      <c r="A24" s="545"/>
      <c r="B24" s="545"/>
      <c r="C24" s="545"/>
      <c r="D24" s="545"/>
    </row>
    <row r="25" spans="1:4" ht="14.85" customHeight="1">
      <c r="A25" s="545"/>
      <c r="B25" s="545"/>
      <c r="C25" s="545"/>
      <c r="D25" s="545"/>
    </row>
    <row r="26" spans="1:4" ht="14.85" customHeight="1">
      <c r="A26" s="545"/>
      <c r="B26" s="545"/>
      <c r="C26" s="545"/>
      <c r="D26" s="545"/>
    </row>
    <row r="27" spans="1:4" ht="14.85" customHeight="1">
      <c r="A27" s="545"/>
      <c r="B27" s="545"/>
      <c r="C27" s="545"/>
      <c r="D27" s="545"/>
    </row>
    <row r="28" spans="1:4" ht="14.85" customHeight="1">
      <c r="A28" s="545"/>
      <c r="B28" s="545"/>
      <c r="C28" s="545"/>
      <c r="D28" s="545"/>
    </row>
    <row r="29" spans="1:4" ht="14.85" customHeight="1">
      <c r="A29" s="545"/>
      <c r="B29" s="545"/>
      <c r="C29" s="545"/>
      <c r="D29" s="545"/>
    </row>
    <row r="30" spans="1:4" ht="14.85" customHeight="1">
      <c r="A30" s="545"/>
      <c r="B30" s="545"/>
      <c r="C30" s="545"/>
      <c r="D30" s="545"/>
    </row>
    <row r="31" spans="1:4" ht="14.85" customHeight="1">
      <c r="A31" s="545"/>
      <c r="B31" s="545"/>
      <c r="C31" s="545"/>
      <c r="D31" s="545"/>
    </row>
    <row r="32" spans="1:4" ht="14.85" customHeight="1">
      <c r="A32" s="545"/>
      <c r="B32" s="545"/>
      <c r="C32" s="545"/>
      <c r="D32" s="545"/>
    </row>
    <row r="33" spans="1:4" ht="30" customHeight="1"/>
    <row r="34" spans="1:4" ht="15" customHeight="1"/>
    <row r="35" spans="1:4" ht="15" customHeight="1">
      <c r="A35" s="840">
        <f>DATE</f>
        <v>44926</v>
      </c>
      <c r="B35" s="840"/>
      <c r="C35" s="840"/>
      <c r="D35" s="840"/>
    </row>
    <row r="36" spans="1:4" ht="14.85" customHeight="1">
      <c r="A36" s="840"/>
      <c r="B36" s="840"/>
      <c r="C36" s="840"/>
      <c r="D36" s="840"/>
    </row>
    <row r="37" spans="1:4" ht="14.85" customHeight="1">
      <c r="A37" s="840"/>
      <c r="B37" s="840"/>
      <c r="C37" s="840"/>
      <c r="D37" s="840"/>
    </row>
    <row r="38" spans="1:4" ht="14.85" customHeight="1">
      <c r="A38" s="546"/>
      <c r="B38" s="546"/>
      <c r="C38" s="546"/>
      <c r="D38" s="546"/>
    </row>
    <row r="39" spans="1:4" ht="14.85" customHeight="1">
      <c r="A39" s="545"/>
      <c r="B39" s="545"/>
      <c r="C39" s="545"/>
      <c r="D39" s="545"/>
    </row>
    <row r="40" spans="1:4" ht="14.85" customHeight="1">
      <c r="A40" s="545"/>
      <c r="B40" s="545"/>
      <c r="C40" s="545"/>
      <c r="D40" s="545"/>
    </row>
    <row r="41" spans="1:4" ht="14.85" customHeight="1">
      <c r="A41" s="545"/>
      <c r="B41" s="545"/>
      <c r="C41" s="545"/>
      <c r="D41" s="545"/>
    </row>
    <row r="42" spans="1:4" ht="14.85" customHeight="1">
      <c r="A42" s="545"/>
      <c r="B42" s="545"/>
      <c r="C42" s="545"/>
      <c r="D42" s="545"/>
    </row>
    <row r="43" spans="1:4" ht="14.85" customHeight="1">
      <c r="A43" s="545"/>
      <c r="B43" s="545"/>
      <c r="C43" s="545"/>
      <c r="D43" s="545"/>
    </row>
  </sheetData>
  <sheetProtection algorithmName="SHA-512" hashValue="jkXRo6THelGWJuos5FTQR2uknBUQRh+KYvb3j4//OQK2LKfivuKe0La4p/sXhQ+A7IPdMj4qDX20MCz4upYahg==" saltValue="7Yijg4pM22JPSuEAAHFRiw==" spinCount="100000" sheet="1" objects="1" scenarios="1"/>
  <mergeCells count="6">
    <mergeCell ref="A35:D37"/>
    <mergeCell ref="A1:D3"/>
    <mergeCell ref="A13:D15"/>
    <mergeCell ref="A16:D17"/>
    <mergeCell ref="A18:D19"/>
    <mergeCell ref="A21:D21"/>
  </mergeCells>
  <pageMargins left="0.7" right="0.7" top="0.75" bottom="0.75" header="0.3" footer="0.3"/>
  <pageSetup paperSize="9" fitToWidth="0" orientation="portrait" r:id="rId1"/>
  <headerFooter differentFirst="1" scaleWithDoc="0">
    <oddHeader>&amp;L
&amp;C&amp;"Open Sans Semibold,מודגש"&amp;14&amp;K00+000 Demo Company Ltd. Consolidated - Balance Sheet</oddHeader>
    <oddFooter xml:space="preserve">&amp;L&amp;G&amp;C&amp;"Open Sans,רגיל"&amp;K01+000 Grid4c Ltd.&amp;K00+000Confidential&amp;R&amp;"Open Sans,מודגש"&amp;K00+000&amp;P           &amp;   </oddFooter>
    <firstHeader>&amp;C&amp;G</first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L49"/>
  <sheetViews>
    <sheetView tabSelected="1" view="pageBreakPreview" zoomScale="80" zoomScaleNormal="100" zoomScaleSheetLayoutView="80" zoomScalePageLayoutView="70" workbookViewId="0">
      <selection activeCell="K23" sqref="K23"/>
    </sheetView>
  </sheetViews>
  <sheetFormatPr defaultRowHeight="15"/>
  <cols>
    <col min="1" max="1" width="66" style="7" customWidth="1"/>
    <col min="2" max="2" width="11" style="9" customWidth="1"/>
    <col min="3" max="3" width="18" style="9" bestFit="1" customWidth="1"/>
    <col min="4" max="4" width="18" style="9" customWidth="1"/>
    <col min="5" max="5" width="9.5703125" style="3" customWidth="1"/>
    <col min="6" max="6" width="18" style="18" customWidth="1"/>
    <col min="7" max="7" width="12.28515625" bestFit="1" customWidth="1"/>
    <col min="10" max="10" width="16" bestFit="1" customWidth="1"/>
  </cols>
  <sheetData>
    <row r="1" spans="1:7" ht="21">
      <c r="A1" s="844" t="str">
        <f>Companyname</f>
        <v>Aurora Labs Consolidated</v>
      </c>
      <c r="B1" s="844"/>
      <c r="C1" s="844"/>
      <c r="D1" s="556"/>
      <c r="E1" s="4" t="s">
        <v>33</v>
      </c>
      <c r="F1" s="58"/>
    </row>
    <row r="2" spans="1:7" ht="18.75">
      <c r="A2" s="845" t="s">
        <v>16</v>
      </c>
      <c r="B2" s="845"/>
      <c r="C2" s="845"/>
      <c r="D2" s="557"/>
      <c r="F2" s="58"/>
    </row>
    <row r="4" spans="1:7" ht="15.75">
      <c r="C4" s="547">
        <f>DATE</f>
        <v>44926</v>
      </c>
      <c r="D4" s="547">
        <v>43830</v>
      </c>
      <c r="F4" s="633"/>
    </row>
    <row r="5" spans="1:7" ht="20.25">
      <c r="C5" s="548">
        <f>DATE</f>
        <v>44926</v>
      </c>
      <c r="D5" s="548">
        <f>CompareDATE</f>
        <v>44561</v>
      </c>
      <c r="F5" s="634"/>
    </row>
    <row r="6" spans="1:7" ht="20.25">
      <c r="C6" s="549" t="s">
        <v>11</v>
      </c>
      <c r="D6" s="549" t="s">
        <v>11</v>
      </c>
      <c r="F6" s="635"/>
    </row>
    <row r="7" spans="1:7" s="58" customFormat="1" ht="15.75">
      <c r="A7" s="56"/>
      <c r="C7" s="547" t="s">
        <v>12</v>
      </c>
      <c r="D7" s="547" t="s">
        <v>1378</v>
      </c>
      <c r="E7" s="57"/>
      <c r="F7" s="8"/>
    </row>
    <row r="8" spans="1:7" ht="15.75">
      <c r="A8" s="11" t="s">
        <v>0</v>
      </c>
      <c r="B8" s="26" t="s">
        <v>45</v>
      </c>
    </row>
    <row r="9" spans="1:7" ht="18.75" customHeight="1">
      <c r="A9" s="7" t="str">
        <f>VLOOKUP(E9,Index!A:B,2,0)</f>
        <v>Cash and cash equivalents</v>
      </c>
      <c r="B9" s="9">
        <v>1</v>
      </c>
      <c r="C9" s="36">
        <f>-SUMIF(SAP!I:I,E9,SAP!F:F)</f>
        <v>20779776</v>
      </c>
      <c r="D9" s="36">
        <v>13400932</v>
      </c>
      <c r="E9" s="3">
        <v>130</v>
      </c>
      <c r="F9" s="304"/>
      <c r="G9" s="203"/>
    </row>
    <row r="10" spans="1:7" ht="18.75" customHeight="1">
      <c r="A10" s="7" t="str">
        <f>VLOOKUP(E10,Index!A:B,2,0)</f>
        <v>Short term deposit</v>
      </c>
      <c r="C10" s="36">
        <f>-SUMIF(SAP!I:I,E10,SAP!F:F)</f>
        <v>40710444</v>
      </c>
      <c r="D10" s="36">
        <v>0</v>
      </c>
      <c r="E10" s="3">
        <v>133</v>
      </c>
      <c r="F10" s="304"/>
      <c r="G10" s="203"/>
    </row>
    <row r="11" spans="1:7" ht="18.75" customHeight="1">
      <c r="A11" s="7" t="str">
        <f>VLOOKUP(E11,Index!A:B,2,0)</f>
        <v>Accounts receivable</v>
      </c>
      <c r="C11" s="36">
        <f>-SUMIF(SAP!I:I,E11,SAP!F:F)</f>
        <v>1269967</v>
      </c>
      <c r="D11" s="36">
        <v>220165</v>
      </c>
      <c r="E11" s="3">
        <v>134</v>
      </c>
      <c r="F11" s="304"/>
      <c r="G11" s="203"/>
    </row>
    <row r="12" spans="1:7" ht="18.75" customHeight="1">
      <c r="A12" s="7" t="str">
        <f>VLOOKUP(E12,Index!A:B,2,0)</f>
        <v>Other current assets</v>
      </c>
      <c r="B12" s="9">
        <v>2</v>
      </c>
      <c r="C12" s="37">
        <f>-SUMIF(SAP!I:I,E12,SAP!F:F)</f>
        <v>208930</v>
      </c>
      <c r="D12" s="37">
        <v>47343</v>
      </c>
      <c r="E12" s="3">
        <v>135</v>
      </c>
      <c r="F12" s="318"/>
      <c r="G12" s="203"/>
    </row>
    <row r="13" spans="1:7">
      <c r="C13" s="36">
        <f>SUM(C9:C12)</f>
        <v>62969117</v>
      </c>
      <c r="D13" s="36">
        <f>SUM(D9:D12)</f>
        <v>13668440</v>
      </c>
      <c r="F13" s="304"/>
      <c r="G13" s="203"/>
    </row>
    <row r="14" spans="1:7" ht="15.75" customHeight="1">
      <c r="C14" s="46" t="s">
        <v>35</v>
      </c>
      <c r="D14" s="46" t="s">
        <v>35</v>
      </c>
      <c r="F14" s="593"/>
      <c r="G14" s="203"/>
    </row>
    <row r="15" spans="1:7" ht="15" customHeight="1">
      <c r="A15" s="11" t="s">
        <v>560</v>
      </c>
      <c r="C15" s="46"/>
      <c r="D15" s="46"/>
      <c r="F15" s="593"/>
      <c r="G15" s="203"/>
    </row>
    <row r="16" spans="1:7">
      <c r="A16" s="7" t="str">
        <f>VLOOKUP(E16,Index!A:B,2,0)</f>
        <v>Leased property under capital lease</v>
      </c>
      <c r="C16" s="36">
        <f>-SUMIF(SAP!I:I,E16,SAP!F:F)</f>
        <v>225967</v>
      </c>
      <c r="D16" s="46">
        <v>0</v>
      </c>
      <c r="E16" s="3">
        <v>141</v>
      </c>
      <c r="F16" s="304"/>
      <c r="G16" s="203"/>
    </row>
    <row r="17" spans="1:7">
      <c r="C17" s="46"/>
      <c r="D17" s="46"/>
      <c r="F17" s="593"/>
      <c r="G17" s="203"/>
    </row>
    <row r="18" spans="1:7" ht="15.75">
      <c r="A18" s="11" t="s">
        <v>4</v>
      </c>
      <c r="C18" s="36"/>
      <c r="D18" s="36"/>
      <c r="F18" s="304"/>
      <c r="G18" s="203"/>
    </row>
    <row r="19" spans="1:7">
      <c r="A19" s="7" t="str">
        <f>VLOOKUP(E19,Index!A:B,2,0)</f>
        <v>Fixed assets, gross</v>
      </c>
      <c r="B19" s="9">
        <v>3</v>
      </c>
      <c r="C19" s="36">
        <f>-SUMIF(SAP!I:I,E19,SAP!F:F)</f>
        <v>386842</v>
      </c>
      <c r="D19" s="46">
        <v>286867</v>
      </c>
      <c r="E19" s="3">
        <v>190</v>
      </c>
      <c r="F19" s="304"/>
      <c r="G19" s="203"/>
    </row>
    <row r="20" spans="1:7" ht="17.25">
      <c r="A20" s="7" t="str">
        <f>VLOOKUP(E20,Index!A:B,2,0)</f>
        <v>Accumulated depreciation</v>
      </c>
      <c r="C20" s="37">
        <f>-SUMIF(SAP!I:I,E20,SAP!F:F)</f>
        <v>-211237</v>
      </c>
      <c r="D20" s="45">
        <v>-141400</v>
      </c>
      <c r="E20" s="3">
        <v>191</v>
      </c>
      <c r="F20" s="318"/>
      <c r="G20" s="203"/>
    </row>
    <row r="21" spans="1:7">
      <c r="C21" s="36">
        <f>SUM(C19:C20)</f>
        <v>175605</v>
      </c>
      <c r="D21" s="36">
        <f t="shared" ref="D21" si="0">SUM(D19:D20)</f>
        <v>145467</v>
      </c>
      <c r="F21" s="304"/>
      <c r="G21" s="203"/>
    </row>
    <row r="22" spans="1:7" ht="17.25">
      <c r="C22" s="45" t="s">
        <v>34</v>
      </c>
      <c r="D22" s="45" t="s">
        <v>34</v>
      </c>
      <c r="F22" s="594"/>
      <c r="G22" s="203"/>
    </row>
    <row r="23" spans="1:7" ht="18">
      <c r="A23" s="35"/>
      <c r="C23" s="533">
        <f>SUM(C21,C16,C13)</f>
        <v>63370689</v>
      </c>
      <c r="D23" s="533">
        <f t="shared" ref="D23" si="1">SUM(D21,,D13)</f>
        <v>13813907</v>
      </c>
      <c r="F23" s="595"/>
      <c r="G23" s="203"/>
    </row>
    <row r="24" spans="1:7">
      <c r="A24" s="35"/>
      <c r="C24" s="36"/>
      <c r="D24" s="36"/>
      <c r="F24" s="304"/>
      <c r="G24" s="203"/>
    </row>
    <row r="25" spans="1:7" ht="15.75">
      <c r="A25" s="11" t="s">
        <v>7</v>
      </c>
      <c r="C25" s="36"/>
      <c r="D25" s="36"/>
      <c r="F25" s="304"/>
      <c r="G25" s="203"/>
    </row>
    <row r="26" spans="1:7" hidden="1">
      <c r="A26" s="7" t="str">
        <f>VLOOKUP(E26,Index!A:B,2,0)</f>
        <v>Short Term Loans</v>
      </c>
      <c r="C26" s="36">
        <f>-SUMIF('SAP DRAFT'!K:K,E26,'SAP DRAFT'!H:H)</f>
        <v>0</v>
      </c>
      <c r="D26" s="36">
        <v>0</v>
      </c>
      <c r="E26" s="3">
        <v>261</v>
      </c>
      <c r="F26" s="304"/>
      <c r="G26" s="203"/>
    </row>
    <row r="27" spans="1:7">
      <c r="A27" s="7" t="str">
        <f>VLOOKUP(E27,Index!A:B,2,0)</f>
        <v>Current maturities of obligation under capital lease</v>
      </c>
      <c r="C27" s="36">
        <f>SUMIF(SAP!I:I,E27,SAP!F:F)</f>
        <v>149136</v>
      </c>
      <c r="D27" s="36">
        <v>0</v>
      </c>
      <c r="E27" s="3">
        <v>263</v>
      </c>
      <c r="F27" s="304"/>
      <c r="G27" s="203"/>
    </row>
    <row r="28" spans="1:7">
      <c r="A28" s="7" t="str">
        <f>VLOOKUP(E28,Index!A:B,2,0)</f>
        <v>Accounts payable</v>
      </c>
      <c r="B28" s="9">
        <v>4</v>
      </c>
      <c r="C28" s="36">
        <f>SUMIF(SAP!I:I,E28,SAP!F:F)</f>
        <v>150071</v>
      </c>
      <c r="D28" s="36">
        <v>74466</v>
      </c>
      <c r="E28" s="3">
        <v>265</v>
      </c>
      <c r="F28" s="304"/>
      <c r="G28" s="203"/>
    </row>
    <row r="29" spans="1:7" ht="17.25">
      <c r="A29" s="7" t="str">
        <f>VLOOKUP(E29,Index!A:B,2,0)</f>
        <v>Other liabilities</v>
      </c>
      <c r="B29" s="9">
        <v>5</v>
      </c>
      <c r="C29" s="37">
        <f>SUMIF(SAP!I:I,E29,SAP!F:F)</f>
        <v>1319416</v>
      </c>
      <c r="D29" s="37">
        <v>1190612</v>
      </c>
      <c r="E29" s="3">
        <v>268</v>
      </c>
      <c r="F29" s="318"/>
      <c r="G29" s="203"/>
    </row>
    <row r="30" spans="1:7">
      <c r="C30" s="36">
        <f>SUM(C26:C29)</f>
        <v>1618623</v>
      </c>
      <c r="D30" s="36">
        <f t="shared" ref="D30" si="2">SUM(D26:D29)</f>
        <v>1265078</v>
      </c>
      <c r="F30" s="304"/>
      <c r="G30" s="203"/>
    </row>
    <row r="31" spans="1:7">
      <c r="C31" s="36"/>
      <c r="D31" s="36"/>
      <c r="F31" s="304"/>
      <c r="G31" s="203"/>
    </row>
    <row r="32" spans="1:7">
      <c r="C32" s="46" t="s">
        <v>35</v>
      </c>
      <c r="D32" s="46" t="s">
        <v>35</v>
      </c>
      <c r="F32" s="593"/>
      <c r="G32" s="203"/>
    </row>
    <row r="33" spans="1:12">
      <c r="C33" s="46"/>
      <c r="D33" s="46"/>
      <c r="F33" s="593"/>
      <c r="G33" s="203"/>
    </row>
    <row r="34" spans="1:12" s="787" customFormat="1" ht="18.75" customHeight="1">
      <c r="A34" s="783" t="s">
        <v>10</v>
      </c>
      <c r="B34" s="784"/>
      <c r="C34" s="46"/>
      <c r="D34" s="46"/>
      <c r="E34" s="785"/>
      <c r="F34" s="532"/>
      <c r="G34" s="790"/>
    </row>
    <row r="35" spans="1:12" s="532" customFormat="1" ht="18.75" customHeight="1">
      <c r="A35" s="7" t="str">
        <f>VLOOKUP(E35,Index!A:B,2,0)</f>
        <v>Long Term Lease</v>
      </c>
      <c r="B35" s="784"/>
      <c r="C35" s="37">
        <f>SUMIF(SAP!I:I,E35,SAP!F:F)</f>
        <v>75354</v>
      </c>
      <c r="D35" s="37">
        <v>0</v>
      </c>
      <c r="E35" s="789">
        <v>301</v>
      </c>
      <c r="F35" s="787"/>
      <c r="G35" s="786"/>
    </row>
    <row r="36" spans="1:12" s="532" customFormat="1" ht="18.75" customHeight="1">
      <c r="A36" s="788"/>
      <c r="B36" s="791"/>
      <c r="C36" s="36">
        <f>SUM(C32:C35)</f>
        <v>75354</v>
      </c>
      <c r="D36" s="36">
        <f>SUM(D32:D35)</f>
        <v>0</v>
      </c>
      <c r="E36" s="789"/>
      <c r="F36" s="787"/>
      <c r="G36" s="786"/>
    </row>
    <row r="37" spans="1:12">
      <c r="C37" s="51"/>
      <c r="D37" s="51"/>
      <c r="F37" s="596"/>
      <c r="G37" s="203"/>
    </row>
    <row r="38" spans="1:12" ht="15.75">
      <c r="A38" s="11" t="s">
        <v>43</v>
      </c>
      <c r="C38" s="36"/>
      <c r="D38" s="36"/>
      <c r="F38" s="304"/>
      <c r="G38" s="203"/>
    </row>
    <row r="39" spans="1:12">
      <c r="A39" s="7" t="str">
        <f>VLOOKUP(E39,Index!A:B,2,0)</f>
        <v>Share capital</v>
      </c>
      <c r="B39" s="9">
        <v>6</v>
      </c>
      <c r="C39" s="36">
        <f>SUMIF(SAP!I:I,E39,SAP!F:F)</f>
        <v>2215</v>
      </c>
      <c r="D39" s="36">
        <v>1866</v>
      </c>
      <c r="E39" s="3">
        <v>372</v>
      </c>
      <c r="F39" s="304"/>
      <c r="G39" s="203"/>
      <c r="J39" s="834">
        <f>טבלה2[[#This Row],[עמודה3]]-טבלה2[[#This Row],[עמודה5]]</f>
        <v>349</v>
      </c>
      <c r="L39" t="s">
        <v>1425</v>
      </c>
    </row>
    <row r="40" spans="1:12">
      <c r="A40" s="7" t="str">
        <f>VLOOKUP(E40,Index!A:B,2,0)</f>
        <v>Additional paid-in capital</v>
      </c>
      <c r="C40" s="36">
        <f>SUMIF(SAP!I:I,E40,SAP!F:F)</f>
        <v>97198946</v>
      </c>
      <c r="D40" s="36">
        <v>35489172</v>
      </c>
      <c r="E40" s="3">
        <v>374</v>
      </c>
      <c r="F40" s="304"/>
      <c r="G40" s="203"/>
      <c r="J40" s="834">
        <f>טבלה2[[#This Row],[עמודה3]]-טבלה2[[#This Row],[עמודה5]]</f>
        <v>61709774</v>
      </c>
      <c r="L40" t="s">
        <v>1426</v>
      </c>
    </row>
    <row r="41" spans="1:12" ht="17.25">
      <c r="A41" s="7" t="str">
        <f>VLOOKUP(E41,Index!A:B,2,0)</f>
        <v xml:space="preserve">Accumulated Earnings </v>
      </c>
      <c r="C41" s="37">
        <f>'P&amp;L'!H31</f>
        <v>-35524449</v>
      </c>
      <c r="D41" s="37">
        <v>-22942209</v>
      </c>
      <c r="E41" s="3">
        <v>378</v>
      </c>
      <c r="F41" s="318"/>
      <c r="G41" s="203"/>
      <c r="J41" s="834"/>
    </row>
    <row r="42" spans="1:12">
      <c r="C42" s="36">
        <f>SUM(C39:C41)</f>
        <v>61676712</v>
      </c>
      <c r="D42" s="36">
        <f t="shared" ref="D42" si="3">SUM(D39:D41)</f>
        <v>12548829</v>
      </c>
      <c r="F42" s="304"/>
      <c r="G42" s="203"/>
      <c r="J42" s="834"/>
      <c r="L42" t="s">
        <v>1427</v>
      </c>
    </row>
    <row r="43" spans="1:12" ht="17.25">
      <c r="C43" s="45" t="s">
        <v>34</v>
      </c>
      <c r="D43" s="45" t="s">
        <v>34</v>
      </c>
      <c r="F43" s="594"/>
      <c r="G43" s="203"/>
      <c r="J43" s="834">
        <v>1465364.9027226688</v>
      </c>
      <c r="L43" t="s">
        <v>1428</v>
      </c>
    </row>
    <row r="44" spans="1:12" ht="18">
      <c r="C44" s="533">
        <f>SUM(C30,C36,C42)</f>
        <v>63370689</v>
      </c>
      <c r="D44" s="533">
        <f t="shared" ref="D44" si="4">SUM(D30,,D42)</f>
        <v>13813907</v>
      </c>
      <c r="F44" s="595"/>
      <c r="G44" s="203"/>
      <c r="J44" s="834">
        <v>63318262</v>
      </c>
      <c r="L44" t="s">
        <v>1429</v>
      </c>
    </row>
    <row r="45" spans="1:12">
      <c r="G45" s="203"/>
      <c r="J45" s="834">
        <v>-3073504.94</v>
      </c>
      <c r="L45" t="s">
        <v>1113</v>
      </c>
    </row>
    <row r="46" spans="1:12">
      <c r="C46" s="54">
        <f>ROUND(C44-C23,0)</f>
        <v>0</v>
      </c>
      <c r="D46" s="54">
        <f t="shared" ref="D46" si="5">ROUND(D44-D23,0)</f>
        <v>0</v>
      </c>
      <c r="F46" s="597"/>
      <c r="G46" s="203"/>
      <c r="J46" s="834">
        <v>-349</v>
      </c>
      <c r="L46" t="s">
        <v>1097</v>
      </c>
    </row>
    <row r="47" spans="1:12">
      <c r="J47" s="836">
        <v>1.04</v>
      </c>
      <c r="L47" t="s">
        <v>1430</v>
      </c>
    </row>
    <row r="48" spans="1:12">
      <c r="J48" s="835">
        <f>SUM(J43:J47)</f>
        <v>61709774.002722673</v>
      </c>
    </row>
    <row r="49" spans="1:12" ht="18.75">
      <c r="A49" s="845" t="str">
        <f>Companyname &amp;" Confidential"</f>
        <v>Aurora Labs Consolidated Confidential</v>
      </c>
      <c r="B49" s="845"/>
      <c r="C49" s="845"/>
      <c r="D49" s="845"/>
      <c r="F49" s="58"/>
      <c r="J49" s="834">
        <f>J40-J48</f>
        <v>-2.7226731181144714E-3</v>
      </c>
      <c r="L49" t="s">
        <v>1431</v>
      </c>
    </row>
  </sheetData>
  <mergeCells count="3">
    <mergeCell ref="A1:C1"/>
    <mergeCell ref="A2:C2"/>
    <mergeCell ref="A49:D49"/>
  </mergeCells>
  <phoneticPr fontId="31" type="noConversion"/>
  <conditionalFormatting sqref="A46">
    <cfRule type="expression" dxfId="79" priority="85" stopIfTrue="1">
      <formula>#REF!-$C$23=0</formula>
    </cfRule>
  </conditionalFormatting>
  <conditionalFormatting sqref="C46:D46">
    <cfRule type="cellIs" dxfId="78" priority="83" stopIfTrue="1" operator="greaterThan">
      <formula>0</formula>
    </cfRule>
    <cfRule type="cellIs" dxfId="77" priority="84" stopIfTrue="1" operator="lessThan">
      <formula>0</formula>
    </cfRule>
  </conditionalFormatting>
  <conditionalFormatting sqref="F46">
    <cfRule type="cellIs" dxfId="76" priority="13" stopIfTrue="1" operator="greaterThan">
      <formula>0</formula>
    </cfRule>
    <cfRule type="cellIs" dxfId="75" priority="14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78" fitToWidth="0" fitToHeight="0" orientation="portrait" r:id="rId1"/>
  <headerFooter differentFirst="1" scaleWithDoc="0">
    <oddHeader>&amp;L
&amp;C&amp;"Open Sans Semibold,מודגש"&amp;14&amp;K00+000 Demo Company Ltd. Consolidated - Balance Sheet</oddHeader>
    <oddFooter xml:space="preserve">&amp;C&amp;"Open Sans,Regular"&amp;K00+000ntial&amp;R&amp;"Open Sans,Regular"&amp;K00+000&amp;P           &amp;   </oddFooter>
    <firstHeader>&amp;C&amp;G</firstHead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BL42"/>
  <sheetViews>
    <sheetView view="pageBreakPreview" zoomScale="80" zoomScaleNormal="100" zoomScaleSheetLayoutView="80" zoomScalePageLayoutView="70" workbookViewId="0">
      <selection activeCell="H19" sqref="H19"/>
    </sheetView>
  </sheetViews>
  <sheetFormatPr defaultRowHeight="15"/>
  <cols>
    <col min="1" max="1" width="43.42578125" style="7" bestFit="1" customWidth="1"/>
    <col min="2" max="2" width="10.5703125" style="7" customWidth="1"/>
    <col min="3" max="3" width="9.42578125" style="7" customWidth="1"/>
    <col min="4" max="4" width="17.42578125" style="7" hidden="1" customWidth="1"/>
    <col min="5" max="5" width="2.42578125" style="7" hidden="1" customWidth="1"/>
    <col min="6" max="6" width="17.42578125" style="7" hidden="1" customWidth="1"/>
    <col min="7" max="7" width="2.42578125" style="7" hidden="1" customWidth="1"/>
    <col min="8" max="8" width="17.42578125" style="7" bestFit="1" customWidth="1"/>
    <col min="9" max="9" width="16.42578125" style="7" customWidth="1"/>
    <col min="11" max="11" width="9.42578125" customWidth="1"/>
    <col min="12" max="20" width="9.42578125" hidden="1" customWidth="1"/>
    <col min="21" max="21" width="16.5703125" style="7" hidden="1" customWidth="1"/>
    <col min="22" max="22" width="18.5703125" style="7" hidden="1" customWidth="1"/>
    <col min="23" max="23" width="4.5703125" hidden="1" customWidth="1"/>
    <col min="24" max="25" width="18.5703125" style="7" hidden="1" customWidth="1"/>
    <col min="26" max="26" width="4.5703125" hidden="1" customWidth="1"/>
    <col min="27" max="28" width="18.5703125" style="7" hidden="1" customWidth="1"/>
    <col min="29" max="30" width="9.42578125" hidden="1" customWidth="1"/>
    <col min="31" max="32" width="17.42578125" style="7" hidden="1" customWidth="1"/>
    <col min="33" max="33" width="8.5703125" hidden="1" customWidth="1"/>
    <col min="34" max="36" width="17.42578125" style="7" hidden="1" customWidth="1"/>
    <col min="37" max="37" width="17.42578125" style="56" hidden="1" customWidth="1"/>
    <col min="38" max="38" width="3.5703125" style="58" hidden="1" customWidth="1"/>
    <col min="39" max="40" width="17.42578125" style="56" hidden="1" customWidth="1"/>
    <col min="41" max="41" width="8.7109375" style="58" hidden="1" customWidth="1"/>
    <col min="42" max="42" width="17.42578125" style="56" hidden="1" customWidth="1"/>
    <col min="43" max="43" width="17.42578125" style="7" hidden="1" customWidth="1"/>
    <col min="44" max="45" width="8.7109375" hidden="1" customWidth="1"/>
    <col min="46" max="47" width="17.42578125" style="7" hidden="1" customWidth="1"/>
    <col min="48" max="48" width="0" hidden="1" customWidth="1"/>
    <col min="50" max="52" width="17.42578125" style="7" hidden="1" customWidth="1"/>
    <col min="53" max="53" width="8.7109375" hidden="1" customWidth="1"/>
    <col min="54" max="56" width="17.42578125" style="7" hidden="1" customWidth="1"/>
    <col min="57" max="57" width="11.7109375" style="7" hidden="1" customWidth="1"/>
    <col min="58" max="59" width="17.42578125" style="7" hidden="1" customWidth="1"/>
    <col min="60" max="61" width="0" hidden="1" customWidth="1"/>
    <col min="62" max="62" width="17.42578125" style="7" hidden="1" customWidth="1"/>
    <col min="63" max="63" width="0" hidden="1" customWidth="1"/>
    <col min="64" max="64" width="16.5703125" style="7" hidden="1" customWidth="1"/>
  </cols>
  <sheetData>
    <row r="1" spans="1:64" ht="21">
      <c r="A1" s="844" t="str">
        <f>Companyname</f>
        <v>Aurora Labs Consolidated</v>
      </c>
      <c r="B1" s="844"/>
      <c r="C1" s="844"/>
      <c r="D1" s="844"/>
      <c r="E1" s="844"/>
      <c r="F1" s="844"/>
      <c r="G1" s="844"/>
      <c r="H1" s="844"/>
      <c r="I1" s="556"/>
      <c r="J1" s="4" t="s">
        <v>33</v>
      </c>
      <c r="U1"/>
      <c r="V1"/>
      <c r="X1"/>
      <c r="Y1"/>
      <c r="AA1"/>
      <c r="AB1"/>
      <c r="AE1"/>
      <c r="AF1"/>
      <c r="AH1"/>
      <c r="AI1"/>
      <c r="AJ1"/>
      <c r="AK1" s="58"/>
      <c r="AM1" s="58"/>
      <c r="AN1" s="58"/>
      <c r="AP1" s="58"/>
      <c r="AQ1"/>
      <c r="AT1"/>
      <c r="AU1"/>
      <c r="AX1"/>
      <c r="AY1"/>
      <c r="AZ1"/>
      <c r="BB1"/>
      <c r="BC1"/>
      <c r="BD1"/>
      <c r="BE1"/>
      <c r="BF1"/>
      <c r="BG1"/>
      <c r="BJ1"/>
      <c r="BL1"/>
    </row>
    <row r="2" spans="1:64" ht="15" customHeight="1">
      <c r="A2" s="845" t="s">
        <v>15</v>
      </c>
      <c r="B2" s="845"/>
      <c r="C2" s="845"/>
      <c r="D2" s="845"/>
      <c r="E2" s="845"/>
      <c r="F2" s="845"/>
      <c r="G2" s="845"/>
      <c r="H2" s="845"/>
      <c r="I2" s="557"/>
      <c r="U2"/>
      <c r="V2"/>
      <c r="X2"/>
      <c r="Y2"/>
      <c r="AA2"/>
      <c r="AB2"/>
      <c r="AE2"/>
      <c r="AF2"/>
      <c r="AH2"/>
      <c r="AI2"/>
      <c r="AJ2"/>
      <c r="AK2" s="58"/>
      <c r="AM2" s="58"/>
      <c r="AN2" s="58"/>
      <c r="AP2" s="58"/>
      <c r="AQ2"/>
      <c r="AT2"/>
      <c r="AU2"/>
      <c r="AX2"/>
      <c r="AY2"/>
      <c r="AZ2"/>
      <c r="BB2"/>
      <c r="BC2"/>
      <c r="BD2"/>
      <c r="BE2"/>
      <c r="BF2"/>
      <c r="BG2"/>
      <c r="BJ2"/>
      <c r="BL2"/>
    </row>
    <row r="3" spans="1:64">
      <c r="C3" s="18"/>
      <c r="D3" s="18"/>
      <c r="E3" s="18"/>
      <c r="F3" s="18"/>
      <c r="G3" s="18"/>
      <c r="H3" s="18"/>
      <c r="I3" s="18"/>
      <c r="U3" s="18"/>
      <c r="V3" s="18"/>
      <c r="X3" s="18"/>
      <c r="Y3" s="18"/>
      <c r="AA3" s="18"/>
      <c r="AB3" s="18"/>
      <c r="AE3" s="18"/>
      <c r="AF3" s="18"/>
      <c r="AH3" s="18"/>
      <c r="AI3" s="18"/>
      <c r="AJ3" s="18"/>
      <c r="AK3" s="18"/>
      <c r="AM3" s="18"/>
      <c r="AN3" s="18"/>
      <c r="AP3" s="18"/>
      <c r="AQ3" s="18"/>
      <c r="AT3" s="18"/>
      <c r="AU3" s="18"/>
      <c r="AX3" s="18"/>
      <c r="AY3" s="18"/>
      <c r="AZ3" s="18"/>
      <c r="BB3" s="18"/>
      <c r="BC3" s="18"/>
      <c r="BD3" s="18"/>
      <c r="BE3" s="18"/>
      <c r="BF3" s="18"/>
      <c r="BG3" s="18"/>
      <c r="BJ3" s="18"/>
      <c r="BL3" s="18"/>
    </row>
    <row r="4" spans="1:64" ht="15" customHeight="1">
      <c r="C4" s="18"/>
      <c r="D4" s="18"/>
      <c r="E4" s="18"/>
      <c r="F4" s="18"/>
      <c r="G4" s="18"/>
      <c r="H4" s="18"/>
      <c r="I4" s="18"/>
      <c r="U4" s="18"/>
      <c r="V4" s="18"/>
      <c r="X4" s="18"/>
      <c r="Y4" s="18"/>
      <c r="AA4" s="18"/>
      <c r="AB4" s="18"/>
      <c r="AE4" s="18"/>
      <c r="AF4" s="18"/>
      <c r="AH4" s="18"/>
      <c r="AI4" s="18"/>
      <c r="AJ4" s="18"/>
      <c r="AK4" s="18"/>
      <c r="AM4" s="18"/>
      <c r="AN4" s="18"/>
      <c r="AP4" s="18"/>
      <c r="AQ4" s="18"/>
      <c r="AT4" s="18"/>
      <c r="AU4" s="18"/>
      <c r="AX4" s="18"/>
      <c r="AY4" s="18"/>
      <c r="AZ4" s="18"/>
      <c r="BB4" s="18"/>
      <c r="BC4" s="18"/>
      <c r="BD4" s="18"/>
      <c r="BE4" s="18"/>
      <c r="BF4" s="18"/>
      <c r="BG4" s="18"/>
      <c r="BJ4" s="18"/>
      <c r="BK4" s="58"/>
      <c r="BL4" s="18"/>
    </row>
    <row r="5" spans="1:64" ht="31.5" customHeight="1">
      <c r="D5" s="547" t="s">
        <v>710</v>
      </c>
      <c r="E5" s="547"/>
      <c r="F5" s="547" t="s">
        <v>159</v>
      </c>
      <c r="G5" s="547"/>
      <c r="H5" s="547" t="s">
        <v>125</v>
      </c>
      <c r="I5" s="547" t="s">
        <v>125</v>
      </c>
      <c r="J5" s="3"/>
      <c r="U5" s="19"/>
      <c r="V5" s="19" t="s">
        <v>125</v>
      </c>
      <c r="X5" s="19" t="s">
        <v>710</v>
      </c>
      <c r="Y5" s="19" t="s">
        <v>125</v>
      </c>
      <c r="AA5" s="19" t="s">
        <v>710</v>
      </c>
      <c r="AB5" s="19" t="s">
        <v>125</v>
      </c>
      <c r="AE5" s="547" t="s">
        <v>710</v>
      </c>
      <c r="AF5" s="547" t="s">
        <v>125</v>
      </c>
      <c r="AH5" s="547" t="s">
        <v>125</v>
      </c>
      <c r="AI5" s="547" t="s">
        <v>125</v>
      </c>
      <c r="AJ5" s="598" t="s">
        <v>710</v>
      </c>
      <c r="AK5" s="598" t="s">
        <v>125</v>
      </c>
      <c r="AM5" s="598" t="s">
        <v>710</v>
      </c>
      <c r="AN5" s="598" t="s">
        <v>159</v>
      </c>
      <c r="AP5" s="598" t="s">
        <v>710</v>
      </c>
      <c r="AQ5" s="547" t="s">
        <v>125</v>
      </c>
      <c r="AT5" s="547" t="s">
        <v>710</v>
      </c>
      <c r="AU5" s="547" t="s">
        <v>125</v>
      </c>
      <c r="AX5" s="547" t="s">
        <v>159</v>
      </c>
      <c r="AY5" s="547" t="s">
        <v>710</v>
      </c>
      <c r="AZ5" s="547" t="s">
        <v>125</v>
      </c>
      <c r="BB5" s="547"/>
      <c r="BC5" s="547" t="s">
        <v>710</v>
      </c>
      <c r="BD5" s="547" t="s">
        <v>125</v>
      </c>
      <c r="BE5" s="547"/>
      <c r="BF5" s="547" t="s">
        <v>710</v>
      </c>
      <c r="BG5" s="547" t="s">
        <v>125</v>
      </c>
      <c r="BJ5" s="724"/>
      <c r="BK5" s="58"/>
      <c r="BL5" s="19"/>
    </row>
    <row r="6" spans="1:64" ht="15.75">
      <c r="D6" s="547">
        <f t="shared" ref="D6:H7" si="0">DATE</f>
        <v>44926</v>
      </c>
      <c r="E6" s="547"/>
      <c r="F6" s="547">
        <f t="shared" si="0"/>
        <v>44926</v>
      </c>
      <c r="G6" s="547"/>
      <c r="H6" s="547">
        <f t="shared" si="0"/>
        <v>44926</v>
      </c>
      <c r="I6" s="547">
        <v>43830</v>
      </c>
      <c r="J6" s="3"/>
      <c r="U6" s="17"/>
      <c r="V6" s="17">
        <v>44592</v>
      </c>
      <c r="X6" s="17">
        <v>44620</v>
      </c>
      <c r="Y6" s="17">
        <v>44620</v>
      </c>
      <c r="AA6" s="17">
        <v>44651</v>
      </c>
      <c r="AB6" s="17">
        <v>44742</v>
      </c>
      <c r="AE6" s="547">
        <v>44681</v>
      </c>
      <c r="AF6" s="547">
        <v>44681</v>
      </c>
      <c r="AH6" s="547">
        <v>44712</v>
      </c>
      <c r="AI6" s="547">
        <v>44742</v>
      </c>
      <c r="AJ6" s="598">
        <v>44712</v>
      </c>
      <c r="AK6" s="598">
        <v>44804</v>
      </c>
      <c r="AM6" s="598">
        <v>44742</v>
      </c>
      <c r="AN6" s="598">
        <v>44742</v>
      </c>
      <c r="AP6" s="598">
        <v>44773</v>
      </c>
      <c r="AQ6" s="547">
        <v>44773</v>
      </c>
      <c r="AT6" s="547">
        <v>44804</v>
      </c>
      <c r="AU6" s="547">
        <v>44804</v>
      </c>
      <c r="AX6" s="547">
        <v>44834</v>
      </c>
      <c r="AY6" s="547">
        <v>44834</v>
      </c>
      <c r="AZ6" s="547">
        <v>44834</v>
      </c>
      <c r="BB6" s="547"/>
      <c r="BC6" s="547">
        <v>44865</v>
      </c>
      <c r="BD6" s="547">
        <v>44865</v>
      </c>
      <c r="BE6" s="547"/>
      <c r="BF6" s="547">
        <v>44895</v>
      </c>
      <c r="BG6" s="547">
        <v>44895</v>
      </c>
      <c r="BJ6" s="724"/>
      <c r="BK6" s="58"/>
      <c r="BL6" s="17"/>
    </row>
    <row r="7" spans="1:64" ht="20.25">
      <c r="D7" s="548">
        <f t="shared" si="0"/>
        <v>44926</v>
      </c>
      <c r="E7" s="548"/>
      <c r="F7" s="548">
        <f t="shared" si="0"/>
        <v>44926</v>
      </c>
      <c r="G7" s="548"/>
      <c r="H7" s="548">
        <f t="shared" si="0"/>
        <v>44926</v>
      </c>
      <c r="I7" s="548">
        <f>CompareDATE</f>
        <v>44561</v>
      </c>
      <c r="J7" s="3"/>
      <c r="U7" s="34"/>
      <c r="V7" s="34">
        <v>44592</v>
      </c>
      <c r="X7" s="34">
        <v>44620</v>
      </c>
      <c r="Y7" s="34">
        <v>44620</v>
      </c>
      <c r="AA7" s="34">
        <v>44651</v>
      </c>
      <c r="AB7" s="34">
        <v>44742</v>
      </c>
      <c r="AE7" s="548">
        <v>44681</v>
      </c>
      <c r="AF7" s="548">
        <v>44681</v>
      </c>
      <c r="AH7" s="548">
        <v>44712</v>
      </c>
      <c r="AI7" s="548">
        <v>44742</v>
      </c>
      <c r="AJ7" s="599">
        <v>44712</v>
      </c>
      <c r="AK7" s="599">
        <v>44804</v>
      </c>
      <c r="AM7" s="599">
        <v>44742</v>
      </c>
      <c r="AN7" s="599">
        <v>44742</v>
      </c>
      <c r="AP7" s="599">
        <v>44773</v>
      </c>
      <c r="AQ7" s="548">
        <v>44773</v>
      </c>
      <c r="AT7" s="548">
        <v>44804</v>
      </c>
      <c r="AU7" s="548">
        <v>44804</v>
      </c>
      <c r="AX7" s="548">
        <v>44834</v>
      </c>
      <c r="AY7" s="548">
        <v>44834</v>
      </c>
      <c r="AZ7" s="548">
        <v>44834</v>
      </c>
      <c r="BB7" s="548"/>
      <c r="BC7" s="548">
        <v>44865</v>
      </c>
      <c r="BD7" s="548">
        <v>44865</v>
      </c>
      <c r="BE7" s="548"/>
      <c r="BF7" s="548">
        <v>44895</v>
      </c>
      <c r="BG7" s="548">
        <v>44895</v>
      </c>
      <c r="BJ7" s="725"/>
      <c r="BK7" s="58"/>
      <c r="BL7" s="34"/>
    </row>
    <row r="8" spans="1:64" ht="20.25">
      <c r="C8" s="9"/>
      <c r="D8" s="549" t="s">
        <v>11</v>
      </c>
      <c r="E8" s="549"/>
      <c r="F8" s="549" t="s">
        <v>11</v>
      </c>
      <c r="G8" s="549"/>
      <c r="H8" s="549" t="s">
        <v>11</v>
      </c>
      <c r="I8" s="549" t="s">
        <v>11</v>
      </c>
      <c r="J8" s="3"/>
      <c r="U8" s="10"/>
      <c r="V8" s="10" t="s">
        <v>11</v>
      </c>
      <c r="X8" s="10" t="s">
        <v>11</v>
      </c>
      <c r="Y8" s="10" t="s">
        <v>11</v>
      </c>
      <c r="AA8" s="10" t="s">
        <v>11</v>
      </c>
      <c r="AB8" s="10" t="s">
        <v>11</v>
      </c>
      <c r="AE8" s="549" t="s">
        <v>11</v>
      </c>
      <c r="AF8" s="549" t="s">
        <v>11</v>
      </c>
      <c r="AH8" s="549" t="s">
        <v>11</v>
      </c>
      <c r="AI8" s="549" t="s">
        <v>11</v>
      </c>
      <c r="AJ8" s="600" t="s">
        <v>11</v>
      </c>
      <c r="AK8" s="600" t="s">
        <v>11</v>
      </c>
      <c r="AM8" s="600" t="s">
        <v>11</v>
      </c>
      <c r="AN8" s="600" t="s">
        <v>11</v>
      </c>
      <c r="AP8" s="600" t="s">
        <v>11</v>
      </c>
      <c r="AQ8" s="549" t="s">
        <v>11</v>
      </c>
      <c r="AT8" s="549" t="s">
        <v>11</v>
      </c>
      <c r="AU8" s="549" t="s">
        <v>11</v>
      </c>
      <c r="AX8" s="549" t="s">
        <v>11</v>
      </c>
      <c r="AY8" s="549" t="s">
        <v>11</v>
      </c>
      <c r="AZ8" s="549" t="s">
        <v>11</v>
      </c>
      <c r="BB8" s="549"/>
      <c r="BC8" s="549" t="s">
        <v>11</v>
      </c>
      <c r="BD8" s="549" t="s">
        <v>11</v>
      </c>
      <c r="BE8" s="549"/>
      <c r="BF8" s="549" t="s">
        <v>11</v>
      </c>
      <c r="BG8" s="549" t="s">
        <v>11</v>
      </c>
      <c r="BJ8" s="726"/>
      <c r="BK8" s="58"/>
      <c r="BL8" s="10"/>
    </row>
    <row r="9" spans="1:64" s="58" customFormat="1" ht="15.75">
      <c r="A9" s="56"/>
      <c r="B9" s="56"/>
      <c r="C9" s="26" t="s">
        <v>45</v>
      </c>
      <c r="D9" s="547" t="s">
        <v>12</v>
      </c>
      <c r="E9" s="547"/>
      <c r="F9" s="547" t="s">
        <v>12</v>
      </c>
      <c r="G9" s="547"/>
      <c r="H9" s="547" t="s">
        <v>12</v>
      </c>
      <c r="I9" s="547" t="s">
        <v>1378</v>
      </c>
      <c r="J9" s="57"/>
      <c r="U9" s="59"/>
      <c r="V9" s="59" t="s">
        <v>12</v>
      </c>
      <c r="X9" s="59" t="s">
        <v>12</v>
      </c>
      <c r="Y9" s="59" t="s">
        <v>12</v>
      </c>
      <c r="AA9" s="59" t="s">
        <v>12</v>
      </c>
      <c r="AB9" s="59" t="s">
        <v>12</v>
      </c>
      <c r="AE9" s="547" t="s">
        <v>12</v>
      </c>
      <c r="AF9" s="547" t="s">
        <v>12</v>
      </c>
      <c r="AH9" s="547" t="s">
        <v>12</v>
      </c>
      <c r="AI9" s="547" t="s">
        <v>12</v>
      </c>
      <c r="AJ9" s="598" t="s">
        <v>12</v>
      </c>
      <c r="AK9" s="598" t="s">
        <v>12</v>
      </c>
      <c r="AM9" s="598" t="s">
        <v>12</v>
      </c>
      <c r="AN9" s="598" t="s">
        <v>12</v>
      </c>
      <c r="AP9" s="598" t="s">
        <v>12</v>
      </c>
      <c r="AQ9" s="547" t="s">
        <v>12</v>
      </c>
      <c r="AT9" s="547" t="s">
        <v>12</v>
      </c>
      <c r="AU9" s="547" t="s">
        <v>12</v>
      </c>
      <c r="AX9" s="547" t="s">
        <v>12</v>
      </c>
      <c r="AY9" s="547" t="s">
        <v>12</v>
      </c>
      <c r="AZ9" s="547" t="s">
        <v>12</v>
      </c>
      <c r="BB9" s="547"/>
      <c r="BC9" s="547" t="s">
        <v>12</v>
      </c>
      <c r="BD9" s="547" t="s">
        <v>12</v>
      </c>
      <c r="BE9" s="547"/>
      <c r="BF9" s="547" t="s">
        <v>12</v>
      </c>
      <c r="BG9" s="547" t="s">
        <v>12</v>
      </c>
      <c r="BJ9" s="724"/>
      <c r="BL9" s="59"/>
    </row>
    <row r="10" spans="1:64" ht="8.85" customHeight="1">
      <c r="C10" s="9"/>
      <c r="D10" s="10"/>
      <c r="E10" s="10"/>
      <c r="F10" s="10"/>
      <c r="G10" s="10"/>
      <c r="H10" s="10"/>
      <c r="I10" s="10"/>
      <c r="J10" s="10"/>
      <c r="U10" s="10"/>
      <c r="V10" s="10"/>
      <c r="X10" s="10"/>
      <c r="Y10" s="10"/>
      <c r="AA10" s="10"/>
      <c r="AB10" s="10"/>
      <c r="AE10" s="10"/>
      <c r="AF10" s="10"/>
      <c r="AH10" s="10"/>
      <c r="AI10" s="10"/>
      <c r="AJ10" s="10"/>
      <c r="AK10" s="635"/>
      <c r="AM10" s="635"/>
      <c r="AN10" s="635"/>
      <c r="AP10" s="635"/>
      <c r="AQ10" s="10"/>
      <c r="AT10" s="10"/>
      <c r="AU10" s="10"/>
      <c r="AX10" s="10"/>
      <c r="AY10" s="10"/>
      <c r="AZ10" s="10"/>
      <c r="BB10" s="10"/>
      <c r="BC10" s="10"/>
      <c r="BD10" s="10"/>
      <c r="BE10" s="10"/>
      <c r="BF10" s="10"/>
      <c r="BG10" s="10"/>
      <c r="BJ10" s="635"/>
      <c r="BK10" s="58"/>
      <c r="BL10" s="10"/>
    </row>
    <row r="11" spans="1:64" ht="8.1" customHeight="1">
      <c r="A11"/>
      <c r="B11"/>
      <c r="C11"/>
      <c r="D11"/>
      <c r="E11"/>
      <c r="F11"/>
      <c r="G11"/>
      <c r="H11"/>
      <c r="I11"/>
      <c r="U11"/>
      <c r="V11"/>
      <c r="X11"/>
      <c r="Y11"/>
      <c r="AA11"/>
      <c r="AB11"/>
      <c r="AE11"/>
      <c r="AF11"/>
      <c r="AH11"/>
      <c r="AI11"/>
      <c r="AJ11"/>
      <c r="AK11" s="58"/>
      <c r="AM11" s="58"/>
      <c r="AN11" s="58"/>
      <c r="AP11" s="58"/>
      <c r="AQ11"/>
      <c r="AT11"/>
      <c r="AU11"/>
      <c r="AX11"/>
      <c r="AY11"/>
      <c r="AZ11"/>
      <c r="BB11"/>
      <c r="BC11"/>
      <c r="BD11"/>
      <c r="BE11"/>
      <c r="BF11"/>
      <c r="BG11"/>
      <c r="BJ11" s="58"/>
      <c r="BK11" s="58"/>
      <c r="BL11"/>
    </row>
    <row r="12" spans="1:64" ht="18.75" customHeight="1">
      <c r="A12" s="7" t="str">
        <f>VLOOKUP(J12,Index!A:B,2,0)</f>
        <v>Revenues</v>
      </c>
      <c r="B12" s="16"/>
      <c r="C12" s="9"/>
      <c r="D12" s="28">
        <f>H12-BG12</f>
        <v>-37339</v>
      </c>
      <c r="E12" s="94"/>
      <c r="F12" s="28">
        <f>טבלה3[[#This Row],[עמודה6]]-AZ12</f>
        <v>137873</v>
      </c>
      <c r="G12" s="94"/>
      <c r="H12" s="39">
        <f>SUMIF(SAP!I:I,J12,SAP!F:F)</f>
        <v>1219917</v>
      </c>
      <c r="I12" s="39">
        <v>852628</v>
      </c>
      <c r="J12" s="3">
        <v>420</v>
      </c>
      <c r="L12" s="43">
        <f>טבלה3[[#This Row],[עמודה6]]/1000</f>
        <v>1219.9169999999999</v>
      </c>
      <c r="M12" s="43">
        <f>טבלה3[[#This Row],[עמודה8]]/1000</f>
        <v>852.62800000000004</v>
      </c>
      <c r="N12" s="43"/>
      <c r="O12" s="43"/>
      <c r="P12" s="43"/>
      <c r="Q12" s="43"/>
      <c r="R12" s="43"/>
      <c r="S12" s="43"/>
      <c r="U12" s="94"/>
      <c r="V12" s="94">
        <v>0</v>
      </c>
      <c r="X12" s="94">
        <v>0</v>
      </c>
      <c r="Y12" s="94">
        <v>0</v>
      </c>
      <c r="AA12" s="94">
        <v>16290</v>
      </c>
      <c r="AB12" s="94">
        <v>16290</v>
      </c>
      <c r="AE12" s="28">
        <v>0</v>
      </c>
      <c r="AF12" s="28">
        <v>16290</v>
      </c>
      <c r="AH12" s="28">
        <v>16290</v>
      </c>
      <c r="AI12" s="28">
        <v>16290</v>
      </c>
      <c r="AJ12" s="28">
        <v>0</v>
      </c>
      <c r="AK12" s="660">
        <v>267290</v>
      </c>
      <c r="AM12" s="660">
        <v>0</v>
      </c>
      <c r="AN12" s="660">
        <v>0</v>
      </c>
      <c r="AP12" s="660">
        <v>0</v>
      </c>
      <c r="AQ12" s="28">
        <v>16290</v>
      </c>
      <c r="AT12" s="28">
        <v>251000</v>
      </c>
      <c r="AU12" s="28">
        <v>267290</v>
      </c>
      <c r="AX12" s="28">
        <v>1065754</v>
      </c>
      <c r="AY12" s="28">
        <v>814754</v>
      </c>
      <c r="AZ12" s="28">
        <v>1082044</v>
      </c>
      <c r="BB12" s="28"/>
      <c r="BC12" s="28">
        <v>59000</v>
      </c>
      <c r="BD12" s="28">
        <v>1141044</v>
      </c>
      <c r="BE12" s="28"/>
      <c r="BF12" s="28">
        <v>834261</v>
      </c>
      <c r="BG12" s="28">
        <v>1257256</v>
      </c>
      <c r="BJ12" s="304"/>
      <c r="BK12" s="58"/>
      <c r="BL12" s="94">
        <f>טבלה3[[#This Row],[עמודה6]]/1000</f>
        <v>1219.9169999999999</v>
      </c>
    </row>
    <row r="13" spans="1:64" ht="18.75" customHeight="1">
      <c r="B13" s="16"/>
      <c r="C13" s="9"/>
      <c r="D13" s="28"/>
      <c r="E13" s="94"/>
      <c r="F13" s="28"/>
      <c r="G13" s="94"/>
      <c r="H13" s="94"/>
      <c r="I13" s="94"/>
      <c r="J13" s="3"/>
      <c r="L13" s="43">
        <f>טבלה3[[#This Row],[עמודה6]]/1000</f>
        <v>0</v>
      </c>
      <c r="M13" s="43">
        <f>טבלה3[[#This Row],[עמודה8]]/1000</f>
        <v>0</v>
      </c>
      <c r="N13" s="43"/>
      <c r="O13" s="43"/>
      <c r="P13" s="43"/>
      <c r="Q13" s="43"/>
      <c r="R13" s="43"/>
      <c r="S13" s="43"/>
      <c r="U13" s="94"/>
      <c r="V13" s="94"/>
      <c r="X13" s="94"/>
      <c r="Y13" s="94"/>
      <c r="AA13" s="94"/>
      <c r="AB13" s="94"/>
      <c r="AE13" s="28"/>
      <c r="AF13" s="28"/>
      <c r="AH13" s="28"/>
      <c r="AI13" s="28"/>
      <c r="AJ13" s="28"/>
      <c r="AK13" s="660"/>
      <c r="AM13" s="660"/>
      <c r="AN13" s="660"/>
      <c r="AP13" s="660"/>
      <c r="AQ13" s="28"/>
      <c r="AT13" s="28"/>
      <c r="AU13" s="28"/>
      <c r="AX13" s="28"/>
      <c r="AY13" s="28"/>
      <c r="AZ13" s="28"/>
      <c r="BB13" s="28"/>
      <c r="BC13" s="28"/>
      <c r="BD13" s="28"/>
      <c r="BE13" s="28"/>
      <c r="BF13" s="28"/>
      <c r="BG13" s="28"/>
      <c r="BJ13" s="304"/>
      <c r="BK13" s="58"/>
      <c r="BL13" s="94"/>
    </row>
    <row r="14" spans="1:64" ht="18.75" customHeight="1">
      <c r="A14" s="7" t="str">
        <f>VLOOKUP(J14,Index!A:B,2,0)</f>
        <v>Cost of Goods Sold</v>
      </c>
      <c r="B14" s="16"/>
      <c r="C14" s="9"/>
      <c r="D14" s="29">
        <f>H14-BG14</f>
        <v>975934</v>
      </c>
      <c r="E14" s="94"/>
      <c r="F14" s="29">
        <f>טבלה3[[#This Row],[עמודה6]]-AZ14</f>
        <v>975934</v>
      </c>
      <c r="G14" s="94"/>
      <c r="H14" s="94">
        <f>-SUMIF(SAP!I:I,J14,SAP!F:F)</f>
        <v>975934</v>
      </c>
      <c r="I14" s="94">
        <v>681279</v>
      </c>
      <c r="J14" s="3">
        <v>472</v>
      </c>
      <c r="L14" s="43">
        <f>טבלה3[[#This Row],[עמודה6]]/1000</f>
        <v>975.93399999999997</v>
      </c>
      <c r="M14" s="43">
        <f>טבלה3[[#This Row],[עמודה8]]/1000</f>
        <v>681.279</v>
      </c>
      <c r="N14" s="43"/>
      <c r="O14" s="43"/>
      <c r="P14" s="43"/>
      <c r="Q14" s="43"/>
      <c r="R14" s="43"/>
      <c r="S14" s="43"/>
      <c r="U14" s="94">
        <f>טבלה3[[#This Row],[עמודה6]]/H12</f>
        <v>0.80000032789115982</v>
      </c>
      <c r="V14" s="94">
        <v>0</v>
      </c>
      <c r="X14" s="94">
        <v>0</v>
      </c>
      <c r="Y14" s="94">
        <v>0</v>
      </c>
      <c r="AA14" s="94">
        <v>0</v>
      </c>
      <c r="AB14" s="94">
        <v>0</v>
      </c>
      <c r="AE14" s="29">
        <v>0</v>
      </c>
      <c r="AF14" s="29">
        <v>0</v>
      </c>
      <c r="AH14" s="29">
        <v>0</v>
      </c>
      <c r="AI14" s="29">
        <v>0</v>
      </c>
      <c r="AJ14" s="29">
        <v>0</v>
      </c>
      <c r="AK14" s="661">
        <v>0</v>
      </c>
      <c r="AM14" s="661">
        <v>0</v>
      </c>
      <c r="AN14" s="661">
        <v>0</v>
      </c>
      <c r="AP14" s="661">
        <v>0</v>
      </c>
      <c r="AQ14" s="29">
        <v>0</v>
      </c>
      <c r="AT14" s="29">
        <v>0</v>
      </c>
      <c r="AU14" s="29">
        <v>0</v>
      </c>
      <c r="AX14" s="29">
        <v>0</v>
      </c>
      <c r="AY14" s="29">
        <v>0</v>
      </c>
      <c r="AZ14" s="29">
        <v>0</v>
      </c>
      <c r="BB14" s="29"/>
      <c r="BC14" s="29">
        <v>0</v>
      </c>
      <c r="BD14" s="29">
        <v>0</v>
      </c>
      <c r="BE14" s="29"/>
      <c r="BF14" s="29">
        <v>0</v>
      </c>
      <c r="BG14" s="29">
        <v>0</v>
      </c>
      <c r="BJ14" s="318"/>
      <c r="BK14" s="58"/>
      <c r="BL14" s="94"/>
    </row>
    <row r="15" spans="1:64" ht="15" customHeight="1">
      <c r="B15" s="16"/>
      <c r="C15" s="9"/>
      <c r="D15" s="568"/>
      <c r="E15" s="306"/>
      <c r="F15" s="306"/>
      <c r="G15" s="306"/>
      <c r="H15" s="305"/>
      <c r="I15" s="305"/>
      <c r="J15" s="3"/>
      <c r="L15" s="43">
        <f>טבלה3[[#This Row],[עמודה6]]/1000</f>
        <v>0</v>
      </c>
      <c r="M15" s="43">
        <f>טבלה3[[#This Row],[עמודה8]]/1000</f>
        <v>0</v>
      </c>
      <c r="N15" s="43"/>
      <c r="O15" s="43"/>
      <c r="P15" s="43"/>
      <c r="Q15" s="43"/>
      <c r="R15" s="43"/>
      <c r="S15" s="43"/>
      <c r="U15" s="305"/>
      <c r="V15" s="305"/>
      <c r="X15" s="305"/>
      <c r="Y15" s="305"/>
      <c r="AA15" s="305"/>
      <c r="AB15" s="305"/>
      <c r="AE15" s="568"/>
      <c r="AF15" s="568"/>
      <c r="AH15" s="568"/>
      <c r="AI15" s="568"/>
      <c r="AJ15" s="568"/>
      <c r="AK15" s="568"/>
      <c r="AM15" s="568"/>
      <c r="AN15" s="568"/>
      <c r="AP15" s="568"/>
      <c r="AQ15" s="568"/>
      <c r="AT15" s="568"/>
      <c r="AU15" s="568"/>
      <c r="AX15" s="306"/>
      <c r="AY15" s="568"/>
      <c r="AZ15" s="568"/>
      <c r="BB15" s="306"/>
      <c r="BC15" s="306"/>
      <c r="BD15" s="306"/>
      <c r="BE15" s="306"/>
      <c r="BF15" s="568"/>
      <c r="BG15" s="568"/>
      <c r="BJ15" s="303"/>
      <c r="BK15" s="58"/>
      <c r="BL15" s="305"/>
    </row>
    <row r="16" spans="1:64" ht="15.75">
      <c r="A16" s="20" t="s">
        <v>328</v>
      </c>
      <c r="B16" s="16"/>
      <c r="C16" s="9"/>
      <c r="D16" s="304">
        <f>D12-D14</f>
        <v>-1013273</v>
      </c>
      <c r="E16" s="304">
        <f t="shared" ref="E16:H16" si="1">E12-E14</f>
        <v>0</v>
      </c>
      <c r="F16" s="304">
        <f>F12-F14</f>
        <v>-838061</v>
      </c>
      <c r="G16" s="304">
        <f t="shared" si="1"/>
        <v>0</v>
      </c>
      <c r="H16" s="304">
        <f t="shared" si="1"/>
        <v>243983</v>
      </c>
      <c r="I16" s="304">
        <f>I12-I14</f>
        <v>171349</v>
      </c>
      <c r="J16" s="3"/>
      <c r="L16" s="43">
        <f>טבלה3[[#This Row],[עמודה6]]/1000</f>
        <v>243.983</v>
      </c>
      <c r="M16" s="43">
        <f>טבלה3[[#This Row],[עמודה8]]/1000</f>
        <v>171.34899999999999</v>
      </c>
      <c r="N16" s="43"/>
      <c r="O16" s="43"/>
      <c r="P16" s="43"/>
      <c r="Q16" s="43"/>
      <c r="R16" s="43"/>
      <c r="S16" s="43"/>
      <c r="U16" s="304"/>
      <c r="V16" s="304">
        <v>0</v>
      </c>
      <c r="X16" s="304">
        <v>0</v>
      </c>
      <c r="Y16" s="304">
        <v>0</v>
      </c>
      <c r="AA16" s="304">
        <v>16290</v>
      </c>
      <c r="AB16" s="304">
        <v>16290</v>
      </c>
      <c r="AE16" s="304">
        <v>0</v>
      </c>
      <c r="AF16" s="304">
        <v>16290</v>
      </c>
      <c r="AH16" s="304">
        <v>16290</v>
      </c>
      <c r="AI16" s="304">
        <v>16290</v>
      </c>
      <c r="AJ16" s="304">
        <v>0</v>
      </c>
      <c r="AK16" s="304">
        <v>267290</v>
      </c>
      <c r="AM16" s="304">
        <v>0</v>
      </c>
      <c r="AN16" s="304">
        <v>0</v>
      </c>
      <c r="AP16" s="304">
        <v>0</v>
      </c>
      <c r="AQ16" s="304">
        <v>16290</v>
      </c>
      <c r="AT16" s="304">
        <v>251000</v>
      </c>
      <c r="AU16" s="304">
        <v>267290</v>
      </c>
      <c r="AX16" s="304">
        <v>1065754</v>
      </c>
      <c r="AY16" s="304">
        <v>814754</v>
      </c>
      <c r="AZ16" s="304">
        <v>1082044</v>
      </c>
      <c r="BB16" s="304"/>
      <c r="BC16" s="304">
        <v>59000</v>
      </c>
      <c r="BD16" s="304">
        <v>1141044</v>
      </c>
      <c r="BE16" s="304"/>
      <c r="BF16" s="304">
        <v>834261</v>
      </c>
      <c r="BG16" s="304">
        <v>1257256</v>
      </c>
      <c r="BJ16" s="782">
        <f>טבלה3[[#This Row],[עמודה6]]/H12</f>
        <v>0.1999996721088402</v>
      </c>
      <c r="BK16" s="58"/>
      <c r="BL16" s="304"/>
    </row>
    <row r="17" spans="1:64">
      <c r="C17" s="9"/>
      <c r="D17" s="9"/>
      <c r="E17" s="232"/>
      <c r="F17" s="232"/>
      <c r="G17" s="232"/>
      <c r="H17" s="9"/>
      <c r="I17" s="9"/>
      <c r="J17" s="3"/>
      <c r="L17" s="43">
        <f>טבלה3[[#This Row],[עמודה6]]/1000</f>
        <v>0</v>
      </c>
      <c r="M17" s="43">
        <f>טבלה3[[#This Row],[עמודה8]]/1000</f>
        <v>0</v>
      </c>
      <c r="N17" s="43"/>
      <c r="O17" s="43"/>
      <c r="P17" s="43"/>
      <c r="Q17" s="43"/>
      <c r="R17" s="43"/>
      <c r="S17" s="43"/>
      <c r="U17" s="9"/>
      <c r="V17" s="9"/>
      <c r="X17" s="9"/>
      <c r="Y17" s="9"/>
      <c r="AA17" s="9"/>
      <c r="AB17" s="9"/>
      <c r="AE17" s="9"/>
      <c r="AF17" s="9"/>
      <c r="AH17" s="9"/>
      <c r="AI17" s="9"/>
      <c r="AJ17" s="9"/>
      <c r="AK17" s="18"/>
      <c r="AM17" s="18"/>
      <c r="AN17" s="18"/>
      <c r="AP17" s="18"/>
      <c r="AQ17" s="9"/>
      <c r="AT17" s="9"/>
      <c r="AU17" s="9"/>
      <c r="AX17" s="232"/>
      <c r="AY17" s="9"/>
      <c r="AZ17" s="9"/>
      <c r="BB17" s="232"/>
      <c r="BC17" s="232"/>
      <c r="BD17" s="232"/>
      <c r="BE17" s="232"/>
      <c r="BF17" s="9"/>
      <c r="BG17" s="9"/>
      <c r="BJ17" s="18"/>
      <c r="BK17" s="58"/>
      <c r="BL17" s="9"/>
    </row>
    <row r="18" spans="1:64" ht="23.25" customHeight="1">
      <c r="A18" s="20" t="s">
        <v>104</v>
      </c>
      <c r="B18" s="20"/>
      <c r="D18" s="12"/>
      <c r="E18" s="39"/>
      <c r="F18" s="39"/>
      <c r="G18" s="39"/>
      <c r="H18" s="12"/>
      <c r="I18" s="12"/>
      <c r="J18" s="3"/>
      <c r="L18" s="43">
        <f>טבלה3[[#This Row],[עמודה6]]/1000</f>
        <v>0</v>
      </c>
      <c r="M18" s="43">
        <f>טבלה3[[#This Row],[עמודה8]]/1000</f>
        <v>0</v>
      </c>
      <c r="N18" s="43"/>
      <c r="O18" s="43"/>
      <c r="P18" s="43"/>
      <c r="Q18" s="43"/>
      <c r="R18" s="43"/>
      <c r="S18" s="43"/>
      <c r="U18" s="12"/>
      <c r="V18" s="12"/>
      <c r="X18" s="12"/>
      <c r="Y18" s="12"/>
      <c r="AA18" s="12"/>
      <c r="AB18" s="12"/>
      <c r="AE18" s="12"/>
      <c r="AF18" s="12"/>
      <c r="AH18" s="12"/>
      <c r="AI18" s="12"/>
      <c r="AJ18" s="12"/>
      <c r="AK18" s="305"/>
      <c r="AM18" s="305"/>
      <c r="AN18" s="305"/>
      <c r="AP18" s="305"/>
      <c r="AQ18" s="12"/>
      <c r="AT18" s="12"/>
      <c r="AU18" s="12"/>
      <c r="AX18" s="39"/>
      <c r="AY18" s="12"/>
      <c r="AZ18" s="12"/>
      <c r="BB18" s="39"/>
      <c r="BC18" s="39"/>
      <c r="BD18" s="39"/>
      <c r="BE18" s="39"/>
      <c r="BF18" s="12"/>
      <c r="BG18" s="12"/>
      <c r="BJ18" s="306"/>
      <c r="BK18" s="58"/>
      <c r="BL18" s="12"/>
    </row>
    <row r="19" spans="1:64" ht="23.25" customHeight="1">
      <c r="A19" s="7" t="str">
        <f>VLOOKUP(J19,Index!A:B,2,0)</f>
        <v>Research &amp; Development</v>
      </c>
      <c r="C19" s="12">
        <v>7</v>
      </c>
      <c r="D19" s="28">
        <f>H19-BG19</f>
        <v>988994</v>
      </c>
      <c r="E19" s="39"/>
      <c r="F19" s="28">
        <f>טבלה3[[#This Row],[עמודה6]]-AZ19</f>
        <v>2580362</v>
      </c>
      <c r="G19" s="39"/>
      <c r="H19" s="36">
        <f>-SUMIF(SAP!I:I,J19,SAP!F:F)</f>
        <v>9603573</v>
      </c>
      <c r="I19" s="12">
        <v>6319935</v>
      </c>
      <c r="J19" s="3">
        <v>700</v>
      </c>
      <c r="L19" s="43">
        <f>טבלה3[[#This Row],[עמודה6]]/1000</f>
        <v>9603.5730000000003</v>
      </c>
      <c r="M19" s="43">
        <f>טבלה3[[#This Row],[עמודה8]]/1000</f>
        <v>6319.9350000000004</v>
      </c>
      <c r="N19" s="43"/>
      <c r="O19" s="43"/>
      <c r="P19" s="43"/>
      <c r="Q19" s="43"/>
      <c r="R19" s="43"/>
      <c r="S19" s="43"/>
      <c r="U19" s="36"/>
      <c r="V19" s="36">
        <v>680328</v>
      </c>
      <c r="X19" s="36">
        <v>670718</v>
      </c>
      <c r="Y19" s="36">
        <v>1351046</v>
      </c>
      <c r="AA19" s="36">
        <v>834423</v>
      </c>
      <c r="AB19" s="36">
        <v>4474171</v>
      </c>
      <c r="AE19" s="28">
        <v>693251</v>
      </c>
      <c r="AF19" s="28">
        <v>2878720</v>
      </c>
      <c r="AH19" s="28">
        <v>3645784</v>
      </c>
      <c r="AI19" s="28">
        <v>4474171</v>
      </c>
      <c r="AJ19" s="28">
        <v>767064</v>
      </c>
      <c r="AK19" s="660">
        <v>6049875</v>
      </c>
      <c r="AM19" s="660">
        <v>828387</v>
      </c>
      <c r="AN19" s="660">
        <v>2288702</v>
      </c>
      <c r="AP19" s="660">
        <v>738353</v>
      </c>
      <c r="AQ19" s="28">
        <v>5212524</v>
      </c>
      <c r="AT19" s="28">
        <v>837351</v>
      </c>
      <c r="AU19" s="28">
        <v>6049875</v>
      </c>
      <c r="AX19" s="28">
        <v>2549040</v>
      </c>
      <c r="AY19" s="28">
        <v>973336</v>
      </c>
      <c r="AZ19" s="28">
        <v>7023211</v>
      </c>
      <c r="BB19" s="28"/>
      <c r="BC19" s="28">
        <v>698614</v>
      </c>
      <c r="BD19" s="28">
        <v>7721825</v>
      </c>
      <c r="BE19" s="28"/>
      <c r="BF19" s="28">
        <v>892754</v>
      </c>
      <c r="BG19" s="28">
        <v>8614579</v>
      </c>
      <c r="BJ19" s="304"/>
      <c r="BK19" s="58"/>
      <c r="BL19" s="36"/>
    </row>
    <row r="20" spans="1:64" ht="21.75" customHeight="1">
      <c r="A20" s="7" t="str">
        <f>VLOOKUP(J20,Index!A:B,2,0)</f>
        <v>Sales &amp; Marketing</v>
      </c>
      <c r="C20" s="12">
        <v>8</v>
      </c>
      <c r="D20" s="28">
        <f>H20-BG20</f>
        <v>-21361</v>
      </c>
      <c r="E20" s="39"/>
      <c r="F20" s="28">
        <f>טבלה3[[#This Row],[עמודה6]]-AZ20</f>
        <v>274362</v>
      </c>
      <c r="G20" s="39"/>
      <c r="H20" s="36">
        <f>-SUMIF(SAP!I:I,J20,SAP!F:F)</f>
        <v>1406393</v>
      </c>
      <c r="I20" s="12">
        <v>1322914</v>
      </c>
      <c r="J20" s="3">
        <v>702</v>
      </c>
      <c r="L20" s="43">
        <f>טבלה3[[#This Row],[עמודה6]]/1000</f>
        <v>1406.393</v>
      </c>
      <c r="M20" s="43">
        <f>טבלה3[[#This Row],[עמודה8]]/1000</f>
        <v>1322.914</v>
      </c>
      <c r="N20" s="43"/>
      <c r="O20" s="43"/>
      <c r="P20" s="43"/>
      <c r="Q20" s="43"/>
      <c r="R20" s="43"/>
      <c r="S20" s="43"/>
      <c r="U20" s="36"/>
      <c r="V20" s="36">
        <v>102942</v>
      </c>
      <c r="X20" s="36">
        <v>98084</v>
      </c>
      <c r="Y20" s="36">
        <v>201026</v>
      </c>
      <c r="AA20" s="36">
        <v>159649</v>
      </c>
      <c r="AB20" s="36">
        <v>756638</v>
      </c>
      <c r="AE20" s="28">
        <v>160352</v>
      </c>
      <c r="AF20" s="28">
        <v>521027</v>
      </c>
      <c r="AH20" s="28">
        <v>620248</v>
      </c>
      <c r="AI20" s="28">
        <v>756638</v>
      </c>
      <c r="AJ20" s="28">
        <v>99221</v>
      </c>
      <c r="AK20" s="660">
        <v>972585</v>
      </c>
      <c r="AM20" s="660">
        <v>136390</v>
      </c>
      <c r="AN20" s="660">
        <v>395963</v>
      </c>
      <c r="AP20" s="660">
        <v>103390</v>
      </c>
      <c r="AQ20" s="28">
        <v>860028</v>
      </c>
      <c r="AT20" s="28">
        <v>112557</v>
      </c>
      <c r="AU20" s="28">
        <v>972585</v>
      </c>
      <c r="AX20" s="28">
        <v>375393</v>
      </c>
      <c r="AY20" s="28">
        <v>159446</v>
      </c>
      <c r="AZ20" s="28">
        <v>1132031</v>
      </c>
      <c r="BB20" s="28"/>
      <c r="BC20" s="28">
        <v>120805</v>
      </c>
      <c r="BD20" s="28">
        <v>1252836</v>
      </c>
      <c r="BE20" s="28"/>
      <c r="BF20" s="28">
        <v>174918</v>
      </c>
      <c r="BG20" s="28">
        <v>1427754</v>
      </c>
      <c r="BJ20" s="304"/>
      <c r="BK20" s="58"/>
      <c r="BL20" s="36"/>
    </row>
    <row r="21" spans="1:64" ht="28.5" customHeight="1">
      <c r="A21" s="7" t="str">
        <f>VLOOKUP(J21,Index!A:B,2,0)</f>
        <v>General &amp; Administrative</v>
      </c>
      <c r="C21" s="12">
        <v>9</v>
      </c>
      <c r="D21" s="29">
        <f>H21-BG21</f>
        <v>-80108</v>
      </c>
      <c r="E21" s="94"/>
      <c r="F21" s="37">
        <f>טבלה3[[#This Row],[עמודה6]]-AZ21</f>
        <v>223230</v>
      </c>
      <c r="G21" s="94"/>
      <c r="H21" s="37">
        <f>-SUMIF(SAP!I:I,J21,SAP!F:F)</f>
        <v>2185950</v>
      </c>
      <c r="I21" s="13">
        <v>1859794</v>
      </c>
      <c r="J21" s="3">
        <v>705</v>
      </c>
      <c r="L21" s="43">
        <f>טבלה3[[#This Row],[עמודה6]]/1000</f>
        <v>2185.9499999999998</v>
      </c>
      <c r="M21" s="43">
        <f>טבלה3[[#This Row],[עמודה8]]/1000</f>
        <v>1859.7940000000001</v>
      </c>
      <c r="N21" s="43"/>
      <c r="O21" s="43"/>
      <c r="P21" s="43"/>
      <c r="Q21" s="43"/>
      <c r="R21" s="43"/>
      <c r="S21" s="43"/>
      <c r="U21" s="37"/>
      <c r="V21" s="37">
        <v>147583</v>
      </c>
      <c r="X21" s="37">
        <v>452715</v>
      </c>
      <c r="Y21" s="37">
        <v>600298</v>
      </c>
      <c r="AA21" s="37">
        <v>175162</v>
      </c>
      <c r="AB21" s="37">
        <v>1259969</v>
      </c>
      <c r="AE21" s="29">
        <v>156108</v>
      </c>
      <c r="AF21" s="29">
        <v>931568</v>
      </c>
      <c r="AH21" s="29">
        <v>1089656</v>
      </c>
      <c r="AI21" s="29">
        <v>1259969</v>
      </c>
      <c r="AJ21" s="29">
        <v>158088</v>
      </c>
      <c r="AK21" s="661">
        <v>1699531</v>
      </c>
      <c r="AM21" s="661">
        <v>170313</v>
      </c>
      <c r="AN21" s="661">
        <v>484509</v>
      </c>
      <c r="AP21" s="661">
        <v>262172</v>
      </c>
      <c r="AQ21" s="29">
        <v>1522141</v>
      </c>
      <c r="AT21" s="29">
        <v>177390</v>
      </c>
      <c r="AU21" s="29">
        <v>1699531</v>
      </c>
      <c r="AX21" s="37">
        <v>702751</v>
      </c>
      <c r="AY21" s="29">
        <v>263189</v>
      </c>
      <c r="AZ21" s="29">
        <v>1962720</v>
      </c>
      <c r="BB21" s="37"/>
      <c r="BC21" s="37">
        <v>148573</v>
      </c>
      <c r="BD21" s="37">
        <v>2111293</v>
      </c>
      <c r="BE21" s="37"/>
      <c r="BF21" s="29">
        <v>154765</v>
      </c>
      <c r="BG21" s="29">
        <v>2266058</v>
      </c>
      <c r="BJ21" s="318"/>
      <c r="BK21" s="58"/>
      <c r="BL21" s="37"/>
    </row>
    <row r="22" spans="1:64" ht="20.85" customHeight="1">
      <c r="A22" s="20" t="str">
        <f>"Total "&amp;A18</f>
        <v>Total Operating expenses</v>
      </c>
      <c r="B22" s="20"/>
      <c r="C22" s="12"/>
      <c r="D22" s="12">
        <f>SUM(D19:D21)</f>
        <v>887525</v>
      </c>
      <c r="E22" s="39"/>
      <c r="F22" s="28">
        <f>SUM(F19:F21)</f>
        <v>3077954</v>
      </c>
      <c r="G22" s="28">
        <f t="shared" ref="G22" si="2">SUM(G19:G21)</f>
        <v>0</v>
      </c>
      <c r="H22" s="28">
        <f>SUM(H19:H21)</f>
        <v>13195916</v>
      </c>
      <c r="I22" s="39">
        <f t="shared" ref="I22" si="3">SUM(I19:I21)</f>
        <v>9502643</v>
      </c>
      <c r="J22" s="12"/>
      <c r="L22" s="43">
        <f>טבלה3[[#This Row],[עמודה6]]/1000</f>
        <v>13195.915999999999</v>
      </c>
      <c r="M22" s="43">
        <f>טבלה3[[#This Row],[עמודה8]]/1000</f>
        <v>9502.643</v>
      </c>
      <c r="N22" s="43"/>
      <c r="O22" s="43"/>
      <c r="P22" s="43"/>
      <c r="Q22" s="43"/>
      <c r="R22" s="43"/>
      <c r="S22" s="43"/>
      <c r="U22" s="28"/>
      <c r="V22" s="28">
        <v>930853</v>
      </c>
      <c r="X22" s="28">
        <v>1221517</v>
      </c>
      <c r="Y22" s="28">
        <v>2152370</v>
      </c>
      <c r="AA22" s="28">
        <v>1169234</v>
      </c>
      <c r="AB22" s="28">
        <v>6490778</v>
      </c>
      <c r="AE22" s="12">
        <v>1009711</v>
      </c>
      <c r="AF22" s="12">
        <v>4331315</v>
      </c>
      <c r="AH22" s="12">
        <v>5355688</v>
      </c>
      <c r="AI22" s="12">
        <v>6490778</v>
      </c>
      <c r="AJ22" s="12">
        <v>1024373</v>
      </c>
      <c r="AK22" s="305">
        <v>8721991</v>
      </c>
      <c r="AM22" s="305">
        <v>1135090</v>
      </c>
      <c r="AN22" s="305">
        <v>3169174</v>
      </c>
      <c r="AP22" s="305">
        <v>1103915</v>
      </c>
      <c r="AQ22" s="12">
        <v>7594693</v>
      </c>
      <c r="AT22" s="12">
        <v>1127298</v>
      </c>
      <c r="AU22" s="12">
        <v>8721991</v>
      </c>
      <c r="AX22" s="28">
        <v>3627184</v>
      </c>
      <c r="AY22" s="12">
        <v>1395971</v>
      </c>
      <c r="AZ22" s="12">
        <v>10117962</v>
      </c>
      <c r="BB22" s="28"/>
      <c r="BC22" s="28">
        <v>967992</v>
      </c>
      <c r="BD22" s="28">
        <v>11085954</v>
      </c>
      <c r="BE22" s="28"/>
      <c r="BF22" s="12">
        <v>1222437</v>
      </c>
      <c r="BG22" s="12">
        <v>12308391</v>
      </c>
      <c r="BJ22" s="306"/>
      <c r="BK22" s="58"/>
      <c r="BL22" s="28"/>
    </row>
    <row r="23" spans="1:64" ht="26.25" customHeight="1">
      <c r="C23" s="9"/>
      <c r="D23" s="14" t="s">
        <v>35</v>
      </c>
      <c r="E23" s="14"/>
      <c r="F23" s="14" t="s">
        <v>35</v>
      </c>
      <c r="G23" s="14"/>
      <c r="H23" s="31" t="s">
        <v>35</v>
      </c>
      <c r="I23" s="95" t="s">
        <v>35</v>
      </c>
      <c r="J23" s="3"/>
      <c r="L23" s="43"/>
      <c r="M23" s="43"/>
      <c r="N23" s="43"/>
      <c r="O23" s="43"/>
      <c r="P23" s="43"/>
      <c r="Q23" s="43"/>
      <c r="R23" s="43"/>
      <c r="S23" s="43"/>
      <c r="U23" s="31"/>
      <c r="V23" s="31" t="s">
        <v>35</v>
      </c>
      <c r="X23" s="31" t="s">
        <v>35</v>
      </c>
      <c r="Y23" s="31" t="s">
        <v>35</v>
      </c>
      <c r="AA23" s="31" t="s">
        <v>35</v>
      </c>
      <c r="AB23" s="31" t="s">
        <v>35</v>
      </c>
      <c r="AE23" s="14" t="s">
        <v>35</v>
      </c>
      <c r="AF23" s="14" t="s">
        <v>35</v>
      </c>
      <c r="AH23" s="14" t="s">
        <v>35</v>
      </c>
      <c r="AI23" s="14" t="s">
        <v>35</v>
      </c>
      <c r="AJ23" s="14" t="s">
        <v>35</v>
      </c>
      <c r="AK23" s="662" t="s">
        <v>35</v>
      </c>
      <c r="AM23" s="662" t="s">
        <v>35</v>
      </c>
      <c r="AN23" s="662" t="s">
        <v>35</v>
      </c>
      <c r="AP23" s="662" t="s">
        <v>35</v>
      </c>
      <c r="AQ23" s="14" t="s">
        <v>35</v>
      </c>
      <c r="AT23" s="14" t="s">
        <v>35</v>
      </c>
      <c r="AU23" s="14" t="s">
        <v>35</v>
      </c>
      <c r="AX23" s="14" t="s">
        <v>35</v>
      </c>
      <c r="AY23" s="14" t="s">
        <v>35</v>
      </c>
      <c r="AZ23" s="14" t="s">
        <v>35</v>
      </c>
      <c r="BB23" s="14"/>
      <c r="BC23" s="14" t="s">
        <v>35</v>
      </c>
      <c r="BD23" s="14" t="s">
        <v>35</v>
      </c>
      <c r="BE23" s="14"/>
      <c r="BF23" s="14" t="s">
        <v>35</v>
      </c>
      <c r="BG23" s="14" t="s">
        <v>35</v>
      </c>
      <c r="BJ23" s="727"/>
      <c r="BK23" s="58"/>
      <c r="BL23" s="31"/>
    </row>
    <row r="24" spans="1:64" s="50" customFormat="1" ht="23.25" customHeight="1">
      <c r="A24" s="20" t="s">
        <v>232</v>
      </c>
      <c r="B24" s="20"/>
      <c r="C24" s="9"/>
      <c r="D24" s="29">
        <f>D16-D22</f>
        <v>-1900798</v>
      </c>
      <c r="E24" s="29"/>
      <c r="F24" s="29">
        <f>F16-F22</f>
        <v>-3916015</v>
      </c>
      <c r="G24" s="29">
        <f t="shared" ref="G24" si="4">G16-G22</f>
        <v>0</v>
      </c>
      <c r="H24" s="29">
        <f>H16-H22</f>
        <v>-12951933</v>
      </c>
      <c r="I24" s="29">
        <f t="shared" ref="I24" si="5">I16-I22</f>
        <v>-9331294</v>
      </c>
      <c r="J24" s="28"/>
      <c r="K24"/>
      <c r="L24" s="43">
        <f>טבלה3[[#This Row],[עמודה6]]/1000</f>
        <v>-12951.933000000001</v>
      </c>
      <c r="M24" s="43">
        <f>טבלה3[[#This Row],[עמודה8]]/1000</f>
        <v>-9331.2939999999999</v>
      </c>
      <c r="N24" s="43"/>
      <c r="O24" s="43"/>
      <c r="P24" s="43"/>
      <c r="Q24" s="43"/>
      <c r="R24" s="43"/>
      <c r="S24" s="43"/>
      <c r="T24"/>
      <c r="U24" s="29"/>
      <c r="V24" s="29">
        <v>-930853</v>
      </c>
      <c r="X24" s="29">
        <v>-1221517</v>
      </c>
      <c r="Y24" s="29">
        <v>-2152370</v>
      </c>
      <c r="AA24" s="29">
        <v>-1152944</v>
      </c>
      <c r="AB24" s="29">
        <v>-6474488</v>
      </c>
      <c r="AE24" s="29">
        <v>-1009711</v>
      </c>
      <c r="AF24" s="29">
        <v>-4315025</v>
      </c>
      <c r="AH24" s="29">
        <v>-5339398</v>
      </c>
      <c r="AI24" s="29">
        <v>-6474488</v>
      </c>
      <c r="AJ24" s="29">
        <v>-1024373</v>
      </c>
      <c r="AK24" s="661">
        <v>-8454701</v>
      </c>
      <c r="AL24" s="663"/>
      <c r="AM24" s="661">
        <v>-1135090</v>
      </c>
      <c r="AN24" s="661">
        <v>-3169174</v>
      </c>
      <c r="AO24" s="663"/>
      <c r="AP24" s="661">
        <v>-1103915</v>
      </c>
      <c r="AQ24" s="29">
        <v>-7578403</v>
      </c>
      <c r="AT24" s="29">
        <v>-876298</v>
      </c>
      <c r="AU24" s="29">
        <v>-8454701</v>
      </c>
      <c r="AX24" s="29">
        <v>-2561430</v>
      </c>
      <c r="AY24" s="29">
        <v>-581217</v>
      </c>
      <c r="AZ24" s="29">
        <v>-9035918</v>
      </c>
      <c r="BB24" s="29"/>
      <c r="BC24" s="29">
        <v>-908992</v>
      </c>
      <c r="BD24" s="29">
        <v>-9944910</v>
      </c>
      <c r="BE24" s="29"/>
      <c r="BF24" s="29">
        <v>-388176</v>
      </c>
      <c r="BG24" s="29">
        <v>-11051135</v>
      </c>
      <c r="BJ24" s="318"/>
      <c r="BK24" s="663"/>
      <c r="BL24" s="29"/>
    </row>
    <row r="25" spans="1:64" ht="21" customHeight="1">
      <c r="A25" s="7" t="str">
        <f>VLOOKUP(J25,Index!A:B,2,0)</f>
        <v>Financial</v>
      </c>
      <c r="C25" s="12">
        <v>10</v>
      </c>
      <c r="D25" s="28">
        <f>H25-BG25</f>
        <v>54384</v>
      </c>
      <c r="E25" s="36"/>
      <c r="F25" s="36">
        <f>טבלה3[[#This Row],[עמודה6]]-AZ25</f>
        <v>-810451</v>
      </c>
      <c r="G25" s="36"/>
      <c r="H25" s="36">
        <f>-SUMIF(SAP!I:I,J25,SAP!F:F)</f>
        <v>-369693</v>
      </c>
      <c r="I25" s="36">
        <v>18173</v>
      </c>
      <c r="J25" s="49">
        <v>790</v>
      </c>
      <c r="K25" s="50"/>
      <c r="L25" s="793">
        <f>טבלה3[[#This Row],[עמודה6]]/1000</f>
        <v>-369.69299999999998</v>
      </c>
      <c r="M25" s="793">
        <f>טבלה3[[#This Row],[עמודה8]]/1000</f>
        <v>18.172999999999998</v>
      </c>
      <c r="N25" s="793"/>
      <c r="O25" s="793"/>
      <c r="P25" s="793"/>
      <c r="Q25" s="793"/>
      <c r="R25" s="793"/>
      <c r="S25" s="793"/>
      <c r="T25" s="50"/>
      <c r="U25" s="36"/>
      <c r="V25" s="36">
        <v>9761</v>
      </c>
      <c r="X25" s="36">
        <v>-48730</v>
      </c>
      <c r="Y25" s="36">
        <v>-38969</v>
      </c>
      <c r="AA25" s="36">
        <v>-143247</v>
      </c>
      <c r="AB25" s="36">
        <v>546178</v>
      </c>
      <c r="AE25" s="28">
        <v>265543</v>
      </c>
      <c r="AF25" s="28">
        <v>83327</v>
      </c>
      <c r="AH25" s="28">
        <v>98028</v>
      </c>
      <c r="AI25" s="28">
        <v>546178</v>
      </c>
      <c r="AJ25" s="28">
        <v>14701</v>
      </c>
      <c r="AK25" s="660">
        <v>-56126</v>
      </c>
      <c r="AM25" s="660">
        <v>448150</v>
      </c>
      <c r="AN25" s="660">
        <v>728394</v>
      </c>
      <c r="AP25" s="660">
        <v>-364684</v>
      </c>
      <c r="AQ25" s="28">
        <v>181494</v>
      </c>
      <c r="AT25" s="28">
        <v>-237620</v>
      </c>
      <c r="AU25" s="28">
        <v>-56126</v>
      </c>
      <c r="AX25" s="36">
        <v>-105420</v>
      </c>
      <c r="AY25" s="28">
        <v>496884</v>
      </c>
      <c r="AZ25" s="28">
        <v>440758</v>
      </c>
      <c r="BB25" s="304"/>
      <c r="BC25" s="304">
        <v>-232699</v>
      </c>
      <c r="BD25" s="304">
        <v>208059</v>
      </c>
      <c r="BE25" s="304"/>
      <c r="BF25" s="28">
        <v>-632136</v>
      </c>
      <c r="BG25" s="28">
        <v>-424077</v>
      </c>
      <c r="BJ25" s="304"/>
      <c r="BK25" s="58"/>
      <c r="BL25" s="36"/>
    </row>
    <row r="26" spans="1:64" ht="21" customHeight="1">
      <c r="A26" s="7" t="str">
        <f>VLOOKUP(J26,Index!A:B,2,0)</f>
        <v>Other revenues</v>
      </c>
      <c r="C26" s="12"/>
      <c r="D26" s="29">
        <f>H26-AK26</f>
        <v>0</v>
      </c>
      <c r="E26" s="37"/>
      <c r="F26" s="37">
        <f>טבלה3[[#This Row],[עמודה6]]-AZ26</f>
        <v>0</v>
      </c>
      <c r="G26" s="37"/>
      <c r="H26" s="37">
        <f>-SUMIF(SAP!I:I,J26,SAP!F:F)</f>
        <v>0</v>
      </c>
      <c r="I26" s="37">
        <v>0</v>
      </c>
      <c r="J26" s="49">
        <v>801</v>
      </c>
      <c r="K26" s="50"/>
      <c r="L26" s="793">
        <f>טבלה3[[#This Row],[עמודה6]]/1000</f>
        <v>0</v>
      </c>
      <c r="M26" s="793">
        <f>טבלה3[[#This Row],[עמודה8]]/1000</f>
        <v>0</v>
      </c>
      <c r="N26" s="793"/>
      <c r="O26" s="793"/>
      <c r="P26" s="793"/>
      <c r="Q26" s="793"/>
      <c r="R26" s="793"/>
      <c r="S26" s="793"/>
      <c r="T26" s="50"/>
      <c r="U26" s="36"/>
      <c r="V26" s="36">
        <v>0</v>
      </c>
      <c r="X26" s="36">
        <v>0</v>
      </c>
      <c r="Y26" s="36">
        <v>0</v>
      </c>
      <c r="AA26" s="36">
        <v>0</v>
      </c>
      <c r="AB26" s="36">
        <v>0</v>
      </c>
      <c r="AE26" s="28">
        <v>0</v>
      </c>
      <c r="AF26" s="28">
        <v>0</v>
      </c>
      <c r="AH26" s="28">
        <v>0</v>
      </c>
      <c r="AI26" s="28">
        <v>0</v>
      </c>
      <c r="AJ26" s="28">
        <v>0</v>
      </c>
      <c r="AK26" s="660">
        <v>0</v>
      </c>
      <c r="AM26" s="660">
        <v>0</v>
      </c>
      <c r="AN26" s="660">
        <v>0</v>
      </c>
      <c r="AP26" s="660">
        <v>0</v>
      </c>
      <c r="AQ26" s="28">
        <v>0</v>
      </c>
      <c r="AT26" s="28">
        <v>0</v>
      </c>
      <c r="AU26" s="28">
        <v>0</v>
      </c>
      <c r="AX26" s="37">
        <v>0</v>
      </c>
      <c r="AY26" s="28">
        <v>0</v>
      </c>
      <c r="AZ26" s="28">
        <v>0</v>
      </c>
      <c r="BB26" s="318"/>
      <c r="BC26" s="318">
        <v>0</v>
      </c>
      <c r="BD26" s="318">
        <v>0</v>
      </c>
      <c r="BE26" s="318"/>
      <c r="BF26" s="28">
        <v>0</v>
      </c>
      <c r="BG26" s="28">
        <v>0</v>
      </c>
      <c r="BJ26" s="304"/>
      <c r="BK26" s="58"/>
      <c r="BL26" s="36"/>
    </row>
    <row r="27" spans="1:64" s="99" customFormat="1" ht="21.75" hidden="1" customHeight="1">
      <c r="A27" s="7" t="str">
        <f>VLOOKUP(J27,Index!A:B,2,0)</f>
        <v>Tax Expenses</v>
      </c>
      <c r="B27" s="7"/>
      <c r="C27" s="7"/>
      <c r="D27" s="29">
        <f>H27-V27</f>
        <v>0</v>
      </c>
      <c r="E27" s="94"/>
      <c r="F27" s="94">
        <f>טבלה3[[#This Row],[עמודה6]]-AA27</f>
        <v>0</v>
      </c>
      <c r="G27" s="94"/>
      <c r="H27" s="37">
        <f>SUMIF(SAP!I:I,J27,SAP!F:F)</f>
        <v>0</v>
      </c>
      <c r="I27" s="13">
        <v>0</v>
      </c>
      <c r="J27">
        <v>850</v>
      </c>
      <c r="K27"/>
      <c r="L27" s="43">
        <f>טבלה3[[#This Row],[עמודה6]]/1000</f>
        <v>0</v>
      </c>
      <c r="M27" s="43">
        <f>טבלה3[[#This Row],[עמודה8]]/1000</f>
        <v>0</v>
      </c>
      <c r="N27" s="43"/>
      <c r="O27" s="43"/>
      <c r="P27" s="43"/>
      <c r="Q27" s="43"/>
      <c r="R27" s="43"/>
      <c r="S27" s="43"/>
      <c r="T27"/>
      <c r="U27" s="37"/>
      <c r="V27" s="37">
        <v>0</v>
      </c>
      <c r="X27" s="37">
        <v>0</v>
      </c>
      <c r="Y27" s="37">
        <v>0</v>
      </c>
      <c r="AA27" s="37">
        <v>0</v>
      </c>
      <c r="AB27" s="37">
        <v>0</v>
      </c>
      <c r="AE27" s="29">
        <v>0</v>
      </c>
      <c r="AF27" s="29">
        <v>0</v>
      </c>
      <c r="AH27" s="29">
        <v>0</v>
      </c>
      <c r="AI27" s="29">
        <v>0</v>
      </c>
      <c r="AJ27" s="29">
        <v>0</v>
      </c>
      <c r="AK27" s="661">
        <v>0</v>
      </c>
      <c r="AL27" s="140"/>
      <c r="AM27" s="661">
        <v>0</v>
      </c>
      <c r="AN27" s="661">
        <v>0</v>
      </c>
      <c r="AO27" s="140"/>
      <c r="AP27" s="661">
        <v>0</v>
      </c>
      <c r="AQ27" s="29">
        <v>0</v>
      </c>
      <c r="AT27" s="29">
        <v>0</v>
      </c>
      <c r="AU27" s="29">
        <v>0</v>
      </c>
      <c r="AX27" s="94">
        <v>0</v>
      </c>
      <c r="AY27" s="29">
        <v>0</v>
      </c>
      <c r="AZ27" s="29">
        <v>0</v>
      </c>
      <c r="BB27" s="303"/>
      <c r="BC27" s="303">
        <v>0</v>
      </c>
      <c r="BD27" s="303">
        <v>0</v>
      </c>
      <c r="BE27" s="303"/>
      <c r="BF27" s="29">
        <v>0</v>
      </c>
      <c r="BG27" s="29">
        <v>0</v>
      </c>
      <c r="BJ27" s="318"/>
      <c r="BK27" s="140"/>
      <c r="BL27" s="37"/>
    </row>
    <row r="28" spans="1:64" ht="15.75">
      <c r="A28" s="550" t="s">
        <v>134</v>
      </c>
      <c r="B28" s="20"/>
      <c r="C28" s="9"/>
      <c r="D28" s="533">
        <f>D24-D25-D27-D26</f>
        <v>-1955182</v>
      </c>
      <c r="E28" s="533">
        <f t="shared" ref="E28:I28" si="6">E24-E25-E27-E26</f>
        <v>0</v>
      </c>
      <c r="F28" s="533">
        <f>F24-F25-F27-F26</f>
        <v>-3105564</v>
      </c>
      <c r="G28" s="533">
        <f t="shared" si="6"/>
        <v>0</v>
      </c>
      <c r="H28" s="533">
        <f t="shared" si="6"/>
        <v>-12582240</v>
      </c>
      <c r="I28" s="533">
        <f t="shared" si="6"/>
        <v>-9349467</v>
      </c>
      <c r="J28" s="28"/>
      <c r="K28" s="99"/>
      <c r="L28" s="794">
        <f>טבלה3[[#This Row],[עמודה6]]/1000</f>
        <v>-12582.24</v>
      </c>
      <c r="M28" s="794">
        <f>טבלה3[[#This Row],[עמודה8]]/1000</f>
        <v>-9349.4670000000006</v>
      </c>
      <c r="N28" s="794"/>
      <c r="O28" s="794"/>
      <c r="P28" s="794"/>
      <c r="Q28" s="794"/>
      <c r="R28" s="794"/>
      <c r="S28" s="794"/>
      <c r="T28" s="99"/>
      <c r="U28" s="36"/>
      <c r="V28" s="36">
        <v>-940614</v>
      </c>
      <c r="X28" s="36">
        <v>-1172787</v>
      </c>
      <c r="Y28" s="36">
        <v>-2113401</v>
      </c>
      <c r="AA28" s="36">
        <v>-1009697</v>
      </c>
      <c r="AB28" s="36">
        <v>-7020666</v>
      </c>
      <c r="AE28" s="533">
        <v>-1275254</v>
      </c>
      <c r="AF28" s="533">
        <v>-4398352</v>
      </c>
      <c r="AH28" s="533">
        <v>-5437426</v>
      </c>
      <c r="AI28" s="533">
        <v>-7020666</v>
      </c>
      <c r="AJ28" s="659">
        <v>-1039074</v>
      </c>
      <c r="AK28" s="664">
        <v>-8398575</v>
      </c>
      <c r="AM28" s="664">
        <v>-1583240</v>
      </c>
      <c r="AN28" s="664">
        <v>-3897568</v>
      </c>
      <c r="AP28" s="664">
        <v>-739231</v>
      </c>
      <c r="AQ28" s="533">
        <v>-7759897</v>
      </c>
      <c r="AT28" s="533">
        <v>-638678</v>
      </c>
      <c r="AU28" s="533">
        <v>-8398575</v>
      </c>
      <c r="AX28" s="533">
        <v>-2456010</v>
      </c>
      <c r="AY28" s="533">
        <v>-1078101</v>
      </c>
      <c r="AZ28" s="533">
        <v>-9476676</v>
      </c>
      <c r="BB28" s="664"/>
      <c r="BC28" s="664">
        <v>-676293</v>
      </c>
      <c r="BD28" s="664">
        <v>-10152969</v>
      </c>
      <c r="BE28" s="664"/>
      <c r="BF28" s="533">
        <v>243960</v>
      </c>
      <c r="BG28" s="533">
        <v>-10627058</v>
      </c>
      <c r="BJ28" s="728"/>
      <c r="BK28" s="58"/>
      <c r="BL28" s="36"/>
    </row>
    <row r="29" spans="1:64" ht="17.25">
      <c r="A29" s="20"/>
      <c r="B29" s="20"/>
      <c r="C29" s="9"/>
      <c r="D29" s="29"/>
      <c r="E29" s="36"/>
      <c r="F29" s="36"/>
      <c r="G29" s="36"/>
      <c r="H29" s="29"/>
      <c r="I29" s="29"/>
      <c r="J29" s="3"/>
      <c r="L29" s="43">
        <f>טבלה3[[#This Row],[עמודה6]]/1000</f>
        <v>0</v>
      </c>
      <c r="M29" s="43">
        <f>טבלה3[[#This Row],[עמודה8]]/1000</f>
        <v>0</v>
      </c>
      <c r="N29" s="43"/>
      <c r="O29" s="43"/>
      <c r="P29" s="43"/>
      <c r="Q29" s="43"/>
      <c r="R29" s="43"/>
      <c r="S29" s="43"/>
      <c r="U29" s="29"/>
      <c r="V29" s="29"/>
      <c r="X29" s="29"/>
      <c r="Y29" s="29"/>
      <c r="AA29" s="29"/>
      <c r="AB29" s="29"/>
      <c r="AE29" s="29"/>
      <c r="AF29" s="29"/>
      <c r="AH29" s="29"/>
      <c r="AI29" s="29"/>
      <c r="AJ29" s="29"/>
      <c r="AK29" s="661"/>
      <c r="AM29" s="661"/>
      <c r="AN29" s="661"/>
      <c r="AP29" s="661"/>
      <c r="AQ29" s="29"/>
      <c r="AT29" s="29"/>
      <c r="AU29" s="29"/>
      <c r="AX29" s="36"/>
      <c r="AY29" s="29"/>
      <c r="AZ29" s="29"/>
      <c r="BB29" s="304"/>
      <c r="BC29" s="304"/>
      <c r="BD29" s="304"/>
      <c r="BE29" s="304"/>
      <c r="BF29" s="29"/>
      <c r="BG29" s="29"/>
      <c r="BJ29" s="318"/>
      <c r="BK29" s="58"/>
      <c r="BL29" s="29"/>
    </row>
    <row r="30" spans="1:64" ht="27" customHeight="1">
      <c r="A30" s="7" t="s">
        <v>135</v>
      </c>
      <c r="C30" s="9"/>
      <c r="D30" s="29">
        <f>BG31</f>
        <v>-33569267</v>
      </c>
      <c r="E30" s="37"/>
      <c r="F30" s="37">
        <f>AX31</f>
        <v>-2456010</v>
      </c>
      <c r="G30" s="37"/>
      <c r="H30" s="37">
        <f>SUMIF(SAP!I:I,J30,SAP!F:F)</f>
        <v>-22942209</v>
      </c>
      <c r="I30" s="37">
        <v>-13592742</v>
      </c>
      <c r="J30" s="3">
        <v>941</v>
      </c>
      <c r="L30" s="43">
        <f>טבלה3[[#This Row],[עמודה6]]/1000</f>
        <v>-22942.208999999999</v>
      </c>
      <c r="M30" s="43">
        <f>טבלה3[[#This Row],[עמודה8]]/1000</f>
        <v>-13592.742</v>
      </c>
      <c r="N30" s="43"/>
      <c r="O30" s="43"/>
      <c r="P30" s="43"/>
      <c r="Q30" s="43"/>
      <c r="R30" s="43"/>
      <c r="S30" s="43"/>
      <c r="U30" s="37"/>
      <c r="V30" s="37">
        <v>-22651833</v>
      </c>
      <c r="X30" s="37">
        <v>-23592447</v>
      </c>
      <c r="Y30" s="37">
        <v>-22651833</v>
      </c>
      <c r="AA30" s="37">
        <v>-24765234</v>
      </c>
      <c r="AB30" s="37">
        <v>-22651833</v>
      </c>
      <c r="AE30" s="29">
        <v>-25774931</v>
      </c>
      <c r="AF30" s="29">
        <v>-22651833</v>
      </c>
      <c r="AH30" s="29">
        <v>-22651833</v>
      </c>
      <c r="AI30" s="29">
        <v>-22651833</v>
      </c>
      <c r="AJ30" s="29">
        <v>-27050185</v>
      </c>
      <c r="AK30" s="661">
        <v>-22651833</v>
      </c>
      <c r="AM30" s="661">
        <v>-28089259</v>
      </c>
      <c r="AN30" s="661">
        <v>-25774931</v>
      </c>
      <c r="AP30" s="661">
        <v>-29672499</v>
      </c>
      <c r="AQ30" s="29">
        <v>-22651833</v>
      </c>
      <c r="AT30" s="29">
        <v>-30411730</v>
      </c>
      <c r="AU30" s="29">
        <v>-22651833</v>
      </c>
      <c r="AX30"/>
      <c r="AY30"/>
      <c r="AZ30"/>
      <c r="BB30"/>
      <c r="BC30"/>
      <c r="BD30"/>
      <c r="BE30"/>
      <c r="BF30"/>
      <c r="BG30"/>
      <c r="BH30" s="43">
        <f>L28+טבלה3[[#This Row],[Column4]]</f>
        <v>-35524.449000000001</v>
      </c>
      <c r="BJ30" s="318"/>
      <c r="BK30" s="58"/>
      <c r="BL30" s="37"/>
    </row>
    <row r="31" spans="1:64" ht="17.25">
      <c r="A31" s="20" t="s">
        <v>91</v>
      </c>
      <c r="B31" s="20"/>
      <c r="C31" s="9"/>
      <c r="D31" s="33">
        <f>D28+D30</f>
        <v>-35524449</v>
      </c>
      <c r="E31" s="96"/>
      <c r="F31" s="33">
        <f>F28+F30</f>
        <v>-5561574</v>
      </c>
      <c r="G31" s="33">
        <f t="shared" ref="G31" si="7">G28+G30</f>
        <v>0</v>
      </c>
      <c r="H31" s="33">
        <f>H28+H30</f>
        <v>-35524449</v>
      </c>
      <c r="I31" s="33">
        <f>I28+I30</f>
        <v>-22942209</v>
      </c>
      <c r="J31" s="33"/>
      <c r="L31" s="43">
        <f>טבלה3[[#This Row],[עמודה6]]/1000</f>
        <v>-35524.449000000001</v>
      </c>
      <c r="M31" s="43">
        <f>טבלה3[[#This Row],[עמודה8]]/1000</f>
        <v>-22942.208999999999</v>
      </c>
      <c r="N31" s="43"/>
      <c r="O31" s="43"/>
      <c r="P31" s="43"/>
      <c r="Q31" s="43"/>
      <c r="R31" s="43"/>
      <c r="S31" s="43"/>
      <c r="U31" s="33"/>
      <c r="V31" s="33">
        <v>-23592447</v>
      </c>
      <c r="X31" s="33">
        <v>-24765234</v>
      </c>
      <c r="Y31" s="33">
        <v>-24765234</v>
      </c>
      <c r="AA31" s="33">
        <v>-25774931</v>
      </c>
      <c r="AB31" s="33">
        <v>-29672499</v>
      </c>
      <c r="AE31" s="33">
        <v>-27050185</v>
      </c>
      <c r="AF31" s="33">
        <v>-27050185</v>
      </c>
      <c r="AH31" s="33">
        <v>-28089259</v>
      </c>
      <c r="AI31" s="33">
        <v>-29672499</v>
      </c>
      <c r="AJ31" s="33">
        <v>-28089259</v>
      </c>
      <c r="AK31" s="665">
        <v>-31050408</v>
      </c>
      <c r="AM31" s="665">
        <v>-29672499</v>
      </c>
      <c r="AN31" s="665">
        <v>-29672499</v>
      </c>
      <c r="AP31" s="665">
        <v>-30411730</v>
      </c>
      <c r="AQ31" s="33">
        <v>-30411730</v>
      </c>
      <c r="AT31" s="33">
        <v>-31050408</v>
      </c>
      <c r="AU31" s="33">
        <v>-31050408</v>
      </c>
      <c r="AX31" s="33">
        <f>AX28+AX30</f>
        <v>-2456010</v>
      </c>
      <c r="AY31" s="33">
        <f>AY28+AY30</f>
        <v>-1078101</v>
      </c>
      <c r="AZ31" s="33">
        <f>AZ28+AZ30</f>
        <v>-9476676</v>
      </c>
      <c r="BB31" s="33"/>
      <c r="BC31" s="33">
        <v>-32804802</v>
      </c>
      <c r="BD31" s="33">
        <v>-32804802</v>
      </c>
      <c r="BE31" s="33"/>
      <c r="BF31" s="33">
        <v>-33569267</v>
      </c>
      <c r="BG31" s="33">
        <v>-33569267</v>
      </c>
      <c r="BJ31" s="33"/>
      <c r="BL31" s="33"/>
    </row>
    <row r="32" spans="1:64">
      <c r="F32" s="16"/>
      <c r="L32" s="43">
        <f>טבלה3[[#This Row],[עמודה6]]/1000</f>
        <v>0</v>
      </c>
      <c r="M32" s="43">
        <f>טבלה3[[#This Row],[עמודה8]]/1000</f>
        <v>0</v>
      </c>
      <c r="N32" s="43"/>
      <c r="O32" s="43"/>
      <c r="P32" s="43"/>
      <c r="Q32" s="43"/>
      <c r="R32" s="43"/>
      <c r="S32" s="43"/>
      <c r="AX32" s="16"/>
      <c r="BB32" s="16"/>
      <c r="BC32" s="16"/>
      <c r="BD32" s="16"/>
      <c r="BE32" s="16"/>
    </row>
    <row r="33" spans="1:64">
      <c r="D33" s="15">
        <f>D31-H31</f>
        <v>0</v>
      </c>
      <c r="F33" s="15">
        <f>F31-H31</f>
        <v>29962875</v>
      </c>
      <c r="G33" s="15"/>
      <c r="H33" s="15">
        <f>H30-I31</f>
        <v>0</v>
      </c>
      <c r="I33" s="15"/>
      <c r="J33" s="203"/>
      <c r="L33" s="43">
        <f>טבלה3[[#This Row],[עמודה6]]/1000</f>
        <v>0</v>
      </c>
      <c r="M33" s="43">
        <f>טבלה3[[#This Row],[עמודה8]]/1000</f>
        <v>0</v>
      </c>
      <c r="N33" s="43"/>
      <c r="O33" s="43"/>
      <c r="P33" s="43"/>
      <c r="Q33" s="43"/>
      <c r="R33" s="43"/>
      <c r="S33" s="43"/>
      <c r="U33" s="15"/>
      <c r="V33" s="15"/>
      <c r="X33" s="15"/>
      <c r="Y33" s="15"/>
      <c r="AA33" s="15"/>
      <c r="AB33" s="15">
        <v>0</v>
      </c>
      <c r="AE33" s="15">
        <v>0</v>
      </c>
      <c r="AF33" s="15">
        <v>0</v>
      </c>
      <c r="AH33" s="15">
        <v>0</v>
      </c>
      <c r="AI33" s="15">
        <v>0</v>
      </c>
      <c r="AJ33" s="15">
        <v>0</v>
      </c>
      <c r="AK33" s="601">
        <v>0</v>
      </c>
      <c r="AM33" s="601">
        <v>0</v>
      </c>
      <c r="AN33" s="601">
        <v>0</v>
      </c>
      <c r="AP33" s="601">
        <v>0</v>
      </c>
      <c r="AQ33" s="15">
        <v>0</v>
      </c>
      <c r="AT33" s="15">
        <v>0</v>
      </c>
      <c r="AU33" s="15">
        <v>0</v>
      </c>
      <c r="AX33" s="15">
        <v>0</v>
      </c>
      <c r="AY33" s="15">
        <v>0</v>
      </c>
      <c r="AZ33" s="15">
        <v>0</v>
      </c>
      <c r="BB33" s="15"/>
      <c r="BC33" s="15">
        <v>0</v>
      </c>
      <c r="BD33" s="15">
        <v>0</v>
      </c>
      <c r="BE33" s="15"/>
      <c r="BF33" s="15">
        <v>0</v>
      </c>
      <c r="BG33" s="15">
        <v>0</v>
      </c>
      <c r="BJ33" s="15"/>
      <c r="BL33" s="15"/>
    </row>
    <row r="34" spans="1:64">
      <c r="F34" s="16"/>
      <c r="H34" s="35"/>
      <c r="I34" s="35"/>
      <c r="J34" s="62"/>
      <c r="L34" s="43">
        <f>טבלה3[[#This Row],[עמודה6]]/1000</f>
        <v>0</v>
      </c>
      <c r="M34" s="43">
        <f>טבלה3[[#This Row],[עמודה8]]/1000</f>
        <v>0</v>
      </c>
      <c r="N34" s="43"/>
      <c r="O34" s="43"/>
      <c r="P34" s="43"/>
      <c r="Q34" s="43"/>
      <c r="R34" s="43"/>
      <c r="S34" s="43"/>
      <c r="U34" s="35"/>
      <c r="V34" s="35"/>
      <c r="X34" s="35"/>
      <c r="Y34" s="35"/>
      <c r="AA34" s="35"/>
      <c r="AB34" s="35"/>
      <c r="AX34" s="16"/>
      <c r="BB34" s="16"/>
      <c r="BC34" s="16"/>
      <c r="BD34" s="16">
        <v>290376</v>
      </c>
      <c r="BE34" s="16"/>
      <c r="BL34" s="35"/>
    </row>
    <row r="35" spans="1:64">
      <c r="H35" s="21"/>
      <c r="I35" s="21"/>
      <c r="J35" s="62"/>
      <c r="U35" s="21"/>
      <c r="V35" s="21"/>
      <c r="X35" s="21"/>
      <c r="Y35" s="21"/>
      <c r="AA35" s="21"/>
      <c r="AB35" s="21"/>
      <c r="BD35" s="7">
        <v>-33095178</v>
      </c>
      <c r="BG35" s="35"/>
      <c r="BL35" s="21"/>
    </row>
    <row r="36" spans="1:64" ht="15.75">
      <c r="A36" s="20"/>
      <c r="H36" s="152"/>
      <c r="I36" s="152"/>
      <c r="U36" s="152"/>
      <c r="V36" s="152"/>
      <c r="X36" s="152"/>
      <c r="Y36" s="152"/>
      <c r="AA36" s="152"/>
      <c r="AB36" s="152"/>
      <c r="BL36" s="152"/>
    </row>
    <row r="37" spans="1:64" ht="15.75">
      <c r="C37" s="16"/>
      <c r="D37" s="313"/>
      <c r="H37" s="152"/>
      <c r="I37" s="152"/>
      <c r="U37" s="152"/>
      <c r="V37" s="152"/>
      <c r="X37" s="152"/>
      <c r="Y37" s="152"/>
      <c r="AA37" s="152"/>
      <c r="AB37" s="152"/>
      <c r="AE37" s="313"/>
      <c r="AF37" s="313"/>
      <c r="AH37" s="313"/>
      <c r="AI37" s="313"/>
      <c r="AJ37" s="313"/>
      <c r="AK37" s="666"/>
      <c r="AM37" s="666"/>
      <c r="AN37" s="666"/>
      <c r="AP37" s="666"/>
      <c r="AQ37" s="313"/>
      <c r="AT37" s="313"/>
      <c r="AU37" s="313"/>
      <c r="AY37" s="313"/>
      <c r="AZ37" s="313"/>
      <c r="BF37" s="313"/>
      <c r="BG37" s="313"/>
      <c r="BJ37" s="313"/>
      <c r="BL37" s="152"/>
    </row>
    <row r="40" spans="1:64" ht="18.75">
      <c r="A40" s="845" t="str">
        <f>Companyname &amp;" Confidential"</f>
        <v>Aurora Labs Consolidated Confidential</v>
      </c>
      <c r="B40" s="845"/>
      <c r="C40" s="845"/>
      <c r="D40" s="845"/>
      <c r="E40" s="845"/>
      <c r="F40" s="845"/>
      <c r="G40" s="845"/>
      <c r="H40" s="845"/>
      <c r="I40" s="845"/>
      <c r="U40"/>
      <c r="V40"/>
      <c r="X40"/>
      <c r="Y40"/>
      <c r="AA40"/>
      <c r="AB40"/>
      <c r="AE40"/>
      <c r="AF40"/>
      <c r="AH40"/>
      <c r="AI40"/>
      <c r="AJ40"/>
      <c r="AK40" s="58"/>
      <c r="AM40" s="58"/>
      <c r="AN40" s="58"/>
      <c r="AP40" s="58"/>
      <c r="AQ40"/>
      <c r="AT40"/>
      <c r="AU40"/>
      <c r="AX40"/>
      <c r="AY40"/>
      <c r="AZ40"/>
      <c r="BB40"/>
      <c r="BC40"/>
      <c r="BD40"/>
      <c r="BE40"/>
      <c r="BF40"/>
      <c r="BG40"/>
      <c r="BJ40"/>
      <c r="BL40"/>
    </row>
    <row r="41" spans="1:64" ht="17.25">
      <c r="H41" s="33"/>
      <c r="U41" s="33"/>
      <c r="V41" s="33"/>
      <c r="X41" s="33"/>
      <c r="Y41" s="33"/>
      <c r="AA41" s="33"/>
      <c r="AB41" s="33"/>
      <c r="BL41" s="33"/>
    </row>
    <row r="42" spans="1:64">
      <c r="H42" s="35"/>
      <c r="U42" s="35"/>
      <c r="V42" s="35"/>
      <c r="X42" s="35"/>
      <c r="Y42" s="35"/>
      <c r="AA42" s="35"/>
      <c r="AB42" s="35"/>
      <c r="BL42" s="35"/>
    </row>
  </sheetData>
  <mergeCells count="3">
    <mergeCell ref="A1:H1"/>
    <mergeCell ref="A2:H2"/>
    <mergeCell ref="A40:I40"/>
  </mergeCells>
  <phoneticPr fontId="31" type="noConversion"/>
  <conditionalFormatting sqref="D33">
    <cfRule type="cellIs" dxfId="74" priority="67" stopIfTrue="1" operator="greaterThan">
      <formula>1</formula>
    </cfRule>
    <cfRule type="cellIs" dxfId="73" priority="68" stopIfTrue="1" operator="lessThan">
      <formula>-1</formula>
    </cfRule>
  </conditionalFormatting>
  <conditionalFormatting sqref="F33:H33 U33:V33 X33:Y33 AA33:AB33 AE33:AF33 AM33:AN33 AP33:AQ33 AT33:AU33 BJ33">
    <cfRule type="cellIs" dxfId="72" priority="81" stopIfTrue="1" operator="greaterThan">
      <formula>1</formula>
    </cfRule>
    <cfRule type="cellIs" dxfId="71" priority="82" stopIfTrue="1" operator="lessThan">
      <formula>-1</formula>
    </cfRule>
  </conditionalFormatting>
  <conditionalFormatting sqref="I33">
    <cfRule type="cellIs" dxfId="70" priority="75" stopIfTrue="1" operator="greaterThan">
      <formula>1</formula>
    </cfRule>
    <cfRule type="cellIs" dxfId="69" priority="76" stopIfTrue="1" operator="lessThan">
      <formula>-1</formula>
    </cfRule>
  </conditionalFormatting>
  <conditionalFormatting sqref="J34">
    <cfRule type="cellIs" dxfId="68" priority="109" stopIfTrue="1" operator="greaterThan">
      <formula>0</formula>
    </cfRule>
    <cfRule type="cellIs" dxfId="67" priority="110" stopIfTrue="1" operator="lessThan">
      <formula>0</formula>
    </cfRule>
  </conditionalFormatting>
  <conditionalFormatting sqref="J35">
    <cfRule type="cellIs" dxfId="66" priority="97" stopIfTrue="1" operator="greaterThan">
      <formula>0</formula>
    </cfRule>
    <cfRule type="cellIs" dxfId="65" priority="98" stopIfTrue="1" operator="lessThan">
      <formula>0</formula>
    </cfRule>
  </conditionalFormatting>
  <conditionalFormatting sqref="AH33:AK33">
    <cfRule type="cellIs" dxfId="64" priority="19" stopIfTrue="1" operator="greaterThan">
      <formula>1</formula>
    </cfRule>
    <cfRule type="cellIs" dxfId="63" priority="20" stopIfTrue="1" operator="lessThan">
      <formula>-1</formula>
    </cfRule>
  </conditionalFormatting>
  <conditionalFormatting sqref="AX33:AZ33">
    <cfRule type="cellIs" dxfId="62" priority="5" stopIfTrue="1" operator="greaterThan">
      <formula>1</formula>
    </cfRule>
    <cfRule type="cellIs" dxfId="61" priority="6" stopIfTrue="1" operator="lessThan">
      <formula>-1</formula>
    </cfRule>
  </conditionalFormatting>
  <conditionalFormatting sqref="BB33:BG33">
    <cfRule type="cellIs" dxfId="60" priority="11" stopIfTrue="1" operator="greaterThan">
      <formula>1</formula>
    </cfRule>
    <cfRule type="cellIs" dxfId="59" priority="12" stopIfTrue="1" operator="lessThan">
      <formula>-1</formula>
    </cfRule>
  </conditionalFormatting>
  <conditionalFormatting sqref="BL33">
    <cfRule type="cellIs" dxfId="58" priority="1" stopIfTrue="1" operator="greaterThan">
      <formula>1</formula>
    </cfRule>
    <cfRule type="cellIs" dxfId="57" priority="2" stopIfTrue="1" operator="lessThan">
      <formula>-1</formula>
    </cfRule>
  </conditionalFormatting>
  <pageMargins left="0.70866141732283472" right="0.70866141732283472" top="0.74803149606299213" bottom="0.74803149606299213" header="0.31496062992125984" footer="0.31496062992125984"/>
  <pageSetup paperSize="9" scale="61" orientation="portrait" r:id="rId1"/>
  <headerFooter differentFirst="1" scaleWithDoc="0">
    <oddHeader>&amp;L
&amp;C&amp;"Open Sans Semibold,מודגש"&amp;14&amp;K00+000 Demo Company Ltd. Consolidated - Balance Sheet</oddHeader>
    <oddFooter xml:space="preserve">&amp;C&amp;"Open Sans,Regular"&amp;K00+000nfidential&amp;R&amp;"Open Sans,Regular"&amp;K00+000&amp;P           &amp;   </oddFooter>
    <firstHeader>&amp;C&amp;G</firstHeader>
  </headerFooter>
  <ignoredErrors>
    <ignoredError sqref="F29 F23 F17:F18 F16 F22 F24 F19:F21 F15 F12:F13 F14 F27:F28 F25:F26 F30:F33" calculatedColumn="1"/>
  </ignoredError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>
    <pageSetUpPr fitToPage="1"/>
  </sheetPr>
  <dimension ref="A1:O43"/>
  <sheetViews>
    <sheetView view="pageBreakPreview" topLeftCell="A6" zoomScale="80" zoomScaleNormal="100" zoomScaleSheetLayoutView="80" workbookViewId="0">
      <selection activeCell="E35" sqref="E35"/>
    </sheetView>
  </sheetViews>
  <sheetFormatPr defaultRowHeight="15" outlineLevelCol="1"/>
  <cols>
    <col min="1" max="1" width="23.5703125" style="7" customWidth="1"/>
    <col min="2" max="2" width="20.5703125" style="7" customWidth="1"/>
    <col min="3" max="3" width="32.85546875" style="7" customWidth="1"/>
    <col min="4" max="4" width="17.42578125" style="7" hidden="1" customWidth="1"/>
    <col min="5" max="5" width="15.85546875" style="7" bestFit="1" customWidth="1"/>
    <col min="6" max="6" width="17.42578125" style="7" hidden="1" customWidth="1"/>
    <col min="7" max="7" width="17.42578125" style="7" customWidth="1"/>
    <col min="8" max="8" width="16.5703125" style="7" hidden="1" customWidth="1" outlineLevel="1"/>
    <col min="9" max="12" width="15.42578125" style="7" hidden="1" customWidth="1" outlineLevel="1"/>
    <col min="13" max="13" width="8.5703125" hidden="1" customWidth="1" collapsed="1"/>
    <col min="14" max="14" width="15.42578125" style="831" hidden="1" customWidth="1"/>
    <col min="15" max="15" width="14" hidden="1" customWidth="1"/>
  </cols>
  <sheetData>
    <row r="1" spans="1:15" ht="15.75">
      <c r="A1" s="846" t="str">
        <f>Companyname</f>
        <v>Aurora Labs Consolidated</v>
      </c>
      <c r="B1" s="846"/>
      <c r="C1" s="846"/>
      <c r="D1" s="846"/>
      <c r="E1" s="846"/>
      <c r="F1" s="38"/>
      <c r="G1" s="38"/>
      <c r="H1" s="38"/>
      <c r="I1"/>
      <c r="J1"/>
      <c r="K1"/>
      <c r="L1"/>
      <c r="N1" s="826"/>
    </row>
    <row r="2" spans="1:15" ht="15.75">
      <c r="A2" s="846" t="s">
        <v>25</v>
      </c>
      <c r="B2" s="846"/>
      <c r="C2" s="846"/>
      <c r="D2" s="846"/>
      <c r="E2" s="846"/>
      <c r="F2" s="8"/>
      <c r="G2" s="8"/>
      <c r="H2" s="8"/>
      <c r="I2"/>
      <c r="J2"/>
      <c r="K2"/>
      <c r="L2"/>
      <c r="N2" s="826"/>
    </row>
    <row r="3" spans="1:1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N3" s="827"/>
    </row>
    <row r="4" spans="1:15" ht="20.25">
      <c r="D4" s="19" t="s">
        <v>159</v>
      </c>
      <c r="E4" s="549" t="s">
        <v>125</v>
      </c>
      <c r="F4" s="19" t="s">
        <v>125</v>
      </c>
      <c r="G4" s="19"/>
      <c r="H4" s="19" t="s">
        <v>125</v>
      </c>
      <c r="I4" s="19" t="s">
        <v>125</v>
      </c>
      <c r="J4" s="19" t="s">
        <v>125</v>
      </c>
      <c r="K4" s="19" t="s">
        <v>125</v>
      </c>
      <c r="L4" s="19" t="s">
        <v>125</v>
      </c>
      <c r="N4" s="828"/>
      <c r="O4" s="19"/>
    </row>
    <row r="5" spans="1:15" ht="15.75">
      <c r="D5" s="17">
        <f>DATE</f>
        <v>44926</v>
      </c>
      <c r="E5" s="547">
        <f>DATE</f>
        <v>44926</v>
      </c>
      <c r="F5" s="17">
        <v>41639</v>
      </c>
      <c r="G5" s="17"/>
      <c r="H5" s="17">
        <v>40908</v>
      </c>
      <c r="I5" s="17">
        <v>41364</v>
      </c>
      <c r="J5" s="17">
        <v>41455</v>
      </c>
      <c r="K5" s="17">
        <v>41547</v>
      </c>
      <c r="L5" s="17">
        <v>41639</v>
      </c>
      <c r="N5" s="829"/>
      <c r="O5" s="17"/>
    </row>
    <row r="6" spans="1:15" ht="20.25">
      <c r="D6" s="34">
        <f>DATE</f>
        <v>44926</v>
      </c>
      <c r="E6" s="548">
        <f>DATE</f>
        <v>44926</v>
      </c>
      <c r="F6" s="34">
        <v>41639</v>
      </c>
      <c r="G6" s="34"/>
      <c r="H6" s="34">
        <v>41274</v>
      </c>
      <c r="I6" s="34">
        <v>41364</v>
      </c>
      <c r="J6" s="34">
        <v>41455</v>
      </c>
      <c r="K6" s="34">
        <v>41547</v>
      </c>
      <c r="L6" s="34">
        <v>41639</v>
      </c>
      <c r="N6" s="830"/>
      <c r="O6" s="34"/>
    </row>
    <row r="7" spans="1:15" ht="20.25">
      <c r="D7" s="10" t="s">
        <v>11</v>
      </c>
      <c r="E7" s="549" t="s">
        <v>11</v>
      </c>
      <c r="F7" s="10" t="s">
        <v>11</v>
      </c>
      <c r="G7" s="10"/>
      <c r="H7" s="10" t="s">
        <v>145</v>
      </c>
      <c r="I7" s="10" t="s">
        <v>11</v>
      </c>
      <c r="J7" s="10" t="s">
        <v>11</v>
      </c>
      <c r="K7" s="10" t="s">
        <v>11</v>
      </c>
      <c r="L7" s="10" t="s">
        <v>11</v>
      </c>
      <c r="N7" s="830"/>
      <c r="O7" s="10"/>
    </row>
    <row r="8" spans="1:15" ht="17.100000000000001" customHeight="1">
      <c r="A8" s="795" t="s">
        <v>17</v>
      </c>
      <c r="B8" s="796"/>
      <c r="C8" s="797"/>
      <c r="D8" s="797"/>
      <c r="E8" s="798"/>
      <c r="O8" s="7"/>
    </row>
    <row r="9" spans="1:15" ht="17.100000000000001" customHeight="1">
      <c r="A9" s="799" t="s">
        <v>95</v>
      </c>
      <c r="B9" s="800"/>
      <c r="C9" s="801"/>
      <c r="D9" s="801">
        <f>E9-O9</f>
        <v>-12582240</v>
      </c>
      <c r="E9" s="802">
        <f>'P&amp;L'!H28</f>
        <v>-12582240</v>
      </c>
      <c r="F9" s="36">
        <v>-1593533</v>
      </c>
      <c r="G9" s="36"/>
      <c r="H9" s="28">
        <v>-3883878</v>
      </c>
      <c r="I9" s="36">
        <v>-382921</v>
      </c>
      <c r="J9" s="36">
        <v>-826690</v>
      </c>
      <c r="K9" s="36">
        <v>-990570</v>
      </c>
      <c r="L9" s="36">
        <v>-1367620</v>
      </c>
      <c r="N9" s="832">
        <f>E9/1000</f>
        <v>-12582.24</v>
      </c>
      <c r="O9" s="36"/>
    </row>
    <row r="10" spans="1:15" ht="17.100000000000001" customHeight="1">
      <c r="A10" s="803"/>
      <c r="B10" s="804"/>
      <c r="C10" s="805"/>
      <c r="D10" s="805"/>
      <c r="E10" s="806"/>
      <c r="F10" s="36"/>
      <c r="G10" s="36"/>
      <c r="H10" s="28"/>
      <c r="I10" s="36"/>
      <c r="J10" s="36"/>
      <c r="K10" s="36"/>
      <c r="L10" s="36"/>
      <c r="N10" s="832">
        <f t="shared" ref="N10:N42" si="0">E10/1000</f>
        <v>0</v>
      </c>
      <c r="O10" s="36"/>
    </row>
    <row r="11" spans="1:15" ht="17.100000000000001" customHeight="1">
      <c r="A11" s="799" t="s">
        <v>131</v>
      </c>
      <c r="B11" s="800"/>
      <c r="C11" s="801"/>
      <c r="D11" s="801"/>
      <c r="E11" s="802"/>
      <c r="F11" s="36"/>
      <c r="G11" s="36"/>
      <c r="H11" s="28"/>
      <c r="I11" s="36"/>
      <c r="J11" s="36"/>
      <c r="K11" s="36"/>
      <c r="L11" s="36"/>
      <c r="N11" s="832">
        <f t="shared" si="0"/>
        <v>0</v>
      </c>
      <c r="O11" s="36"/>
    </row>
    <row r="12" spans="1:15" ht="17.100000000000001" customHeight="1">
      <c r="A12" s="803" t="s">
        <v>23</v>
      </c>
      <c r="B12" s="804"/>
      <c r="C12" s="805"/>
      <c r="D12" s="805">
        <f>E12-O12</f>
        <v>69837</v>
      </c>
      <c r="E12" s="806">
        <f>-(BS!C20-BS!D20)</f>
        <v>69837</v>
      </c>
      <c r="F12" s="36">
        <v>14414</v>
      </c>
      <c r="G12" s="36"/>
      <c r="H12" s="28">
        <v>24802</v>
      </c>
      <c r="I12" s="36">
        <v>3254</v>
      </c>
      <c r="J12" s="36">
        <v>6753</v>
      </c>
      <c r="K12" s="36">
        <v>10525</v>
      </c>
      <c r="L12" s="36">
        <v>14414</v>
      </c>
      <c r="N12" s="832">
        <f t="shared" si="0"/>
        <v>69.837000000000003</v>
      </c>
      <c r="O12" s="36"/>
    </row>
    <row r="13" spans="1:15" ht="17.100000000000001" customHeight="1">
      <c r="A13" s="807" t="s">
        <v>199</v>
      </c>
      <c r="B13" s="808"/>
      <c r="C13" s="801"/>
      <c r="D13" s="801"/>
      <c r="E13" s="802"/>
      <c r="N13" s="832">
        <f t="shared" si="0"/>
        <v>0</v>
      </c>
      <c r="O13" s="7"/>
    </row>
    <row r="14" spans="1:15" ht="17.25">
      <c r="A14" s="803" t="s">
        <v>200</v>
      </c>
      <c r="B14" s="809"/>
      <c r="C14" s="805"/>
      <c r="D14" s="805">
        <f>E14-O14</f>
        <v>1465365</v>
      </c>
      <c r="E14" s="806">
        <f>'SAP DRAFT'!D166-1625923</f>
        <v>1465365</v>
      </c>
      <c r="F14" s="37">
        <v>128525.10974784651</v>
      </c>
      <c r="G14" s="37"/>
      <c r="H14" s="28">
        <v>67688.210524999988</v>
      </c>
      <c r="I14" s="37">
        <v>0</v>
      </c>
      <c r="J14" s="37">
        <v>0</v>
      </c>
      <c r="K14" s="37">
        <v>0</v>
      </c>
      <c r="L14" s="37">
        <v>0</v>
      </c>
      <c r="N14" s="832">
        <f t="shared" si="0"/>
        <v>1465.365</v>
      </c>
      <c r="O14" s="37"/>
    </row>
    <row r="15" spans="1:15" ht="17.100000000000001" customHeight="1">
      <c r="A15" s="799"/>
      <c r="B15" s="810"/>
      <c r="C15" s="811"/>
      <c r="D15" s="811"/>
      <c r="E15" s="802"/>
      <c r="F15" s="36"/>
      <c r="G15" s="36"/>
      <c r="H15" s="28"/>
      <c r="I15" s="36"/>
      <c r="J15" s="36"/>
      <c r="K15" s="36"/>
      <c r="L15" s="36"/>
      <c r="N15" s="832">
        <f t="shared" si="0"/>
        <v>0</v>
      </c>
      <c r="O15" s="36"/>
    </row>
    <row r="16" spans="1:15" ht="17.100000000000001" customHeight="1">
      <c r="A16" s="803" t="s">
        <v>24</v>
      </c>
      <c r="B16" s="804"/>
      <c r="C16" s="805"/>
      <c r="D16" s="805"/>
      <c r="E16" s="806"/>
      <c r="F16" s="36"/>
      <c r="G16" s="36"/>
      <c r="H16" s="28"/>
      <c r="I16" s="36"/>
      <c r="J16" s="36"/>
      <c r="K16" s="36"/>
      <c r="L16" s="36"/>
      <c r="N16" s="832">
        <f t="shared" si="0"/>
        <v>0</v>
      </c>
      <c r="O16" s="36"/>
    </row>
    <row r="17" spans="1:15" ht="17.100000000000001" customHeight="1">
      <c r="A17" s="799" t="s">
        <v>1423</v>
      </c>
      <c r="B17" s="804"/>
      <c r="C17" s="805"/>
      <c r="D17" s="805"/>
      <c r="E17" s="806">
        <f>-(BS!C10-BS!D10)</f>
        <v>-40710444</v>
      </c>
      <c r="F17" s="36"/>
      <c r="G17" s="36"/>
      <c r="H17" s="28"/>
      <c r="I17" s="36"/>
      <c r="J17" s="36"/>
      <c r="K17" s="36"/>
      <c r="L17" s="36"/>
      <c r="N17" s="832"/>
      <c r="O17" s="36"/>
    </row>
    <row r="18" spans="1:15" ht="17.100000000000001" customHeight="1">
      <c r="A18" s="799" t="s">
        <v>151</v>
      </c>
      <c r="B18" s="800"/>
      <c r="C18" s="801"/>
      <c r="D18" s="801">
        <f>E18-O18</f>
        <v>-1049802</v>
      </c>
      <c r="E18" s="802">
        <f>-(BS!C11-BS!D11)</f>
        <v>-1049802</v>
      </c>
      <c r="F18" s="36">
        <v>0</v>
      </c>
      <c r="G18" s="36"/>
      <c r="H18" s="28">
        <v>0</v>
      </c>
      <c r="I18" s="36">
        <v>-33597</v>
      </c>
      <c r="J18" s="36">
        <v>0</v>
      </c>
      <c r="K18" s="36">
        <v>-24921</v>
      </c>
      <c r="L18" s="36">
        <v>0</v>
      </c>
      <c r="N18" s="832">
        <f t="shared" si="0"/>
        <v>-1049.8019999999999</v>
      </c>
      <c r="O18" s="36"/>
    </row>
    <row r="19" spans="1:15" ht="17.100000000000001" customHeight="1">
      <c r="A19" s="803" t="s">
        <v>152</v>
      </c>
      <c r="B19" s="804"/>
      <c r="C19" s="812"/>
      <c r="D19" s="812">
        <f>E19-O19</f>
        <v>-161587</v>
      </c>
      <c r="E19" s="813">
        <f>-(BS!C12-BS!D12)</f>
        <v>-161587</v>
      </c>
      <c r="F19" s="36">
        <v>-91109</v>
      </c>
      <c r="G19" s="36"/>
      <c r="H19" s="28">
        <v>-139291</v>
      </c>
      <c r="I19" s="36">
        <v>7263</v>
      </c>
      <c r="J19" s="36">
        <v>-10095</v>
      </c>
      <c r="K19" s="36">
        <v>-21052</v>
      </c>
      <c r="L19" s="36">
        <v>-52665</v>
      </c>
      <c r="N19" s="832">
        <f t="shared" si="0"/>
        <v>-161.58699999999999</v>
      </c>
      <c r="O19" s="36"/>
    </row>
    <row r="20" spans="1:15" ht="17.100000000000001" customHeight="1">
      <c r="A20" s="799" t="s">
        <v>1422</v>
      </c>
      <c r="B20" s="800"/>
      <c r="C20" s="814"/>
      <c r="D20" s="814">
        <f>E20-O20</f>
        <v>-225967</v>
      </c>
      <c r="E20" s="815">
        <f>-(BS!C16-BS!D16)</f>
        <v>-225967</v>
      </c>
      <c r="F20" s="36">
        <v>13596</v>
      </c>
      <c r="G20" s="36"/>
      <c r="H20" s="28">
        <v>-50752</v>
      </c>
      <c r="I20" s="36">
        <v>-363</v>
      </c>
      <c r="J20" s="36">
        <v>-522</v>
      </c>
      <c r="K20" s="36">
        <v>13596</v>
      </c>
      <c r="L20" s="36">
        <v>13596</v>
      </c>
      <c r="N20" s="832">
        <f t="shared" si="0"/>
        <v>-225.96700000000001</v>
      </c>
      <c r="O20" s="36"/>
    </row>
    <row r="21" spans="1:15" ht="17.100000000000001" customHeight="1">
      <c r="A21" s="803" t="s">
        <v>153</v>
      </c>
      <c r="B21" s="804"/>
      <c r="C21" s="812"/>
      <c r="D21" s="812">
        <f>E21-O21</f>
        <v>75605</v>
      </c>
      <c r="E21" s="813">
        <f>BS!C28-BS!D28</f>
        <v>75605</v>
      </c>
      <c r="F21" s="36">
        <v>21250</v>
      </c>
      <c r="G21" s="36"/>
      <c r="H21" s="28">
        <v>72729</v>
      </c>
      <c r="I21" s="36">
        <v>-14603</v>
      </c>
      <c r="J21" s="36">
        <v>4632</v>
      </c>
      <c r="K21" s="36">
        <v>23063</v>
      </c>
      <c r="L21" s="36">
        <v>21250</v>
      </c>
      <c r="N21" s="832">
        <f t="shared" si="0"/>
        <v>75.605000000000004</v>
      </c>
      <c r="O21" s="36"/>
    </row>
    <row r="22" spans="1:15" ht="17.100000000000001" customHeight="1">
      <c r="A22" s="799" t="s">
        <v>1424</v>
      </c>
      <c r="B22" s="804"/>
      <c r="C22" s="812"/>
      <c r="D22" s="812"/>
      <c r="E22" s="813">
        <f>(BS!C27-BS!D27)+(BS!C35-BS!D35)</f>
        <v>224490</v>
      </c>
      <c r="F22" s="36"/>
      <c r="G22" s="36"/>
      <c r="H22" s="28"/>
      <c r="I22" s="36"/>
      <c r="J22" s="36"/>
      <c r="K22" s="36"/>
      <c r="L22" s="36"/>
      <c r="N22" s="832"/>
      <c r="O22" s="36"/>
    </row>
    <row r="23" spans="1:15" ht="17.100000000000001" customHeight="1">
      <c r="A23" s="799" t="s">
        <v>154</v>
      </c>
      <c r="B23" s="800"/>
      <c r="C23" s="814"/>
      <c r="D23" s="816">
        <f>E23-O23</f>
        <v>128804</v>
      </c>
      <c r="E23" s="817">
        <f>(BS!C29-BS!D29)</f>
        <v>128804</v>
      </c>
      <c r="F23" s="45">
        <v>36658</v>
      </c>
      <c r="G23" s="45"/>
      <c r="H23" s="31">
        <v>515653</v>
      </c>
      <c r="I23" s="45">
        <v>8584</v>
      </c>
      <c r="J23" s="45">
        <v>25970</v>
      </c>
      <c r="K23" s="45">
        <v>15427</v>
      </c>
      <c r="L23" s="45">
        <v>36658</v>
      </c>
      <c r="N23" s="832">
        <f t="shared" si="0"/>
        <v>128.804</v>
      </c>
      <c r="O23" s="45"/>
    </row>
    <row r="24" spans="1:15" ht="17.100000000000001" customHeight="1">
      <c r="A24" s="803"/>
      <c r="B24" s="804"/>
      <c r="C24" s="805"/>
      <c r="D24" s="805">
        <f>SUM(D9:D23)</f>
        <v>-12279985</v>
      </c>
      <c r="E24" s="806">
        <f>SUM(E9:E23)</f>
        <v>-52765939</v>
      </c>
      <c r="F24" s="36">
        <v>-1470198.8902521534</v>
      </c>
      <c r="G24" s="36"/>
      <c r="H24" s="28">
        <v>-3393048.789475</v>
      </c>
      <c r="I24" s="36">
        <v>-411781</v>
      </c>
      <c r="J24" s="36">
        <v>-799952</v>
      </c>
      <c r="K24" s="36">
        <v>-973932</v>
      </c>
      <c r="L24" s="36">
        <v>-1334367</v>
      </c>
      <c r="N24" s="832">
        <f t="shared" si="0"/>
        <v>-52765.938999999998</v>
      </c>
      <c r="O24" s="36"/>
    </row>
    <row r="25" spans="1:15" ht="17.100000000000001" customHeight="1">
      <c r="A25" s="795"/>
      <c r="B25" s="796"/>
      <c r="C25" s="797"/>
      <c r="D25" s="797" t="s">
        <v>121</v>
      </c>
      <c r="E25" s="824" t="s">
        <v>121</v>
      </c>
      <c r="F25" s="46" t="s">
        <v>121</v>
      </c>
      <c r="G25" s="46"/>
      <c r="H25" s="30" t="s">
        <v>121</v>
      </c>
      <c r="I25" s="46" t="s">
        <v>121</v>
      </c>
      <c r="J25" s="46" t="s">
        <v>121</v>
      </c>
      <c r="K25" s="46" t="s">
        <v>121</v>
      </c>
      <c r="L25" s="46" t="s">
        <v>121</v>
      </c>
      <c r="N25" s="832"/>
      <c r="O25" s="46"/>
    </row>
    <row r="26" spans="1:15" ht="17.100000000000001" customHeight="1">
      <c r="A26" s="822" t="s">
        <v>18</v>
      </c>
      <c r="B26" s="800"/>
      <c r="C26" s="801"/>
      <c r="D26" s="801"/>
      <c r="E26" s="802"/>
      <c r="F26" s="36"/>
      <c r="G26" s="36"/>
      <c r="H26" s="28"/>
      <c r="I26" s="36"/>
      <c r="J26" s="36"/>
      <c r="K26" s="36"/>
      <c r="L26" s="36"/>
      <c r="N26" s="832">
        <f t="shared" si="0"/>
        <v>0</v>
      </c>
      <c r="O26" s="36"/>
    </row>
    <row r="27" spans="1:15" ht="17.100000000000001" customHeight="1">
      <c r="A27" s="803" t="s">
        <v>116</v>
      </c>
      <c r="B27" s="804"/>
      <c r="C27" s="805"/>
      <c r="D27" s="805">
        <f>E27-O27</f>
        <v>-99975</v>
      </c>
      <c r="E27" s="806">
        <f>-(BS!C19-BS!D19)</f>
        <v>-99975</v>
      </c>
      <c r="F27" s="37">
        <v>-9766</v>
      </c>
      <c r="G27" s="37"/>
      <c r="H27" s="29">
        <v>-188915</v>
      </c>
      <c r="I27" s="37">
        <v>0</v>
      </c>
      <c r="J27" s="37">
        <v>-6975</v>
      </c>
      <c r="K27" s="37">
        <v>-9104</v>
      </c>
      <c r="L27" s="37">
        <v>-9766</v>
      </c>
      <c r="N27" s="832">
        <f t="shared" si="0"/>
        <v>-99.974999999999994</v>
      </c>
      <c r="O27" s="37"/>
    </row>
    <row r="28" spans="1:15" ht="17.100000000000001" customHeight="1">
      <c r="A28" s="799" t="s">
        <v>1421</v>
      </c>
      <c r="B28" s="800"/>
      <c r="C28" s="801"/>
      <c r="D28" s="801"/>
      <c r="E28" s="833">
        <f>BS!C39-BS!D39</f>
        <v>349</v>
      </c>
      <c r="F28" s="37"/>
      <c r="G28" s="37"/>
      <c r="H28" s="29"/>
      <c r="I28" s="37"/>
      <c r="J28" s="37"/>
      <c r="K28" s="37"/>
      <c r="L28" s="37"/>
      <c r="N28" s="832">
        <f t="shared" si="0"/>
        <v>0.34899999999999998</v>
      </c>
      <c r="O28" s="37"/>
    </row>
    <row r="29" spans="1:15" ht="17.100000000000001" customHeight="1">
      <c r="A29" s="803"/>
      <c r="B29" s="804"/>
      <c r="C29" s="805"/>
      <c r="D29" s="805">
        <f>SUM(D27:D27)</f>
        <v>-99975</v>
      </c>
      <c r="E29" s="806">
        <f>SUM(E27:E28)</f>
        <v>-99626</v>
      </c>
      <c r="F29" s="36">
        <v>-9766</v>
      </c>
      <c r="G29" s="36"/>
      <c r="H29" s="28">
        <v>-188915</v>
      </c>
      <c r="I29" s="36">
        <v>0</v>
      </c>
      <c r="J29" s="36">
        <v>-6975</v>
      </c>
      <c r="K29" s="36">
        <v>-9104</v>
      </c>
      <c r="L29" s="36">
        <v>-9766</v>
      </c>
      <c r="N29" s="832">
        <f t="shared" si="0"/>
        <v>-99.626000000000005</v>
      </c>
      <c r="O29" s="36"/>
    </row>
    <row r="30" spans="1:15" ht="17.100000000000001" customHeight="1">
      <c r="A30" s="807"/>
      <c r="B30" s="808"/>
      <c r="C30" s="801"/>
      <c r="D30" s="801" t="s">
        <v>121</v>
      </c>
      <c r="E30" s="823" t="s">
        <v>121</v>
      </c>
      <c r="F30" s="46" t="s">
        <v>121</v>
      </c>
      <c r="G30" s="46"/>
      <c r="H30" s="30" t="s">
        <v>121</v>
      </c>
      <c r="I30" s="46" t="s">
        <v>121</v>
      </c>
      <c r="J30" s="46" t="s">
        <v>121</v>
      </c>
      <c r="K30" s="46" t="s">
        <v>121</v>
      </c>
      <c r="L30" s="46" t="s">
        <v>121</v>
      </c>
      <c r="N30" s="832"/>
      <c r="O30" s="46"/>
    </row>
    <row r="31" spans="1:15" ht="17.100000000000001" customHeight="1">
      <c r="A31" s="803" t="s">
        <v>126</v>
      </c>
      <c r="B31" s="809"/>
      <c r="C31" s="805"/>
      <c r="D31" s="805">
        <f>D24-D29</f>
        <v>-12180010</v>
      </c>
      <c r="E31" s="806">
        <f>E24-E29</f>
        <v>-52666313</v>
      </c>
      <c r="F31" s="46">
        <v>-1460432.8902521534</v>
      </c>
      <c r="G31" s="46"/>
      <c r="H31" s="30">
        <v>-3204133.789475</v>
      </c>
      <c r="I31" s="46">
        <v>-411781</v>
      </c>
      <c r="J31" s="46">
        <v>-792977</v>
      </c>
      <c r="K31" s="46">
        <v>-964828</v>
      </c>
      <c r="L31" s="46">
        <v>-1324601</v>
      </c>
      <c r="N31" s="832">
        <f t="shared" si="0"/>
        <v>-52666.313000000002</v>
      </c>
      <c r="O31" s="46"/>
    </row>
    <row r="32" spans="1:15" ht="17.100000000000001" customHeight="1">
      <c r="A32" s="799"/>
      <c r="B32" s="810"/>
      <c r="C32" s="811"/>
      <c r="D32" s="811"/>
      <c r="E32" s="802"/>
      <c r="N32" s="832"/>
      <c r="O32" s="7"/>
    </row>
    <row r="33" spans="1:15" ht="17.100000000000001" customHeight="1">
      <c r="A33" s="795" t="s">
        <v>19</v>
      </c>
      <c r="B33" s="795"/>
      <c r="C33" s="795"/>
      <c r="D33" s="795"/>
      <c r="E33" s="795"/>
      <c r="F33" s="36"/>
      <c r="G33" s="36"/>
      <c r="H33" s="28"/>
      <c r="I33" s="36"/>
      <c r="J33" s="36"/>
      <c r="K33" s="36"/>
      <c r="L33" s="36"/>
      <c r="N33" s="832">
        <f t="shared" si="0"/>
        <v>0</v>
      </c>
      <c r="O33" s="36"/>
    </row>
    <row r="34" spans="1:15" ht="17.100000000000001" customHeight="1">
      <c r="A34" s="803" t="s">
        <v>1420</v>
      </c>
      <c r="B34" s="804"/>
      <c r="C34" s="812"/>
      <c r="D34" s="812">
        <f>E34-O34</f>
        <v>60244409</v>
      </c>
      <c r="E34" s="820">
        <f>BS!C40-BS!D40-E14</f>
        <v>60244409</v>
      </c>
      <c r="F34" s="37">
        <v>2085661.8902521534</v>
      </c>
      <c r="G34" s="37"/>
      <c r="H34" s="28">
        <v>7539834.7894750005</v>
      </c>
      <c r="I34" s="37">
        <f>1266776+602</f>
        <v>1267378</v>
      </c>
      <c r="J34" s="37">
        <v>1949830</v>
      </c>
      <c r="K34" s="37">
        <v>1949830</v>
      </c>
      <c r="L34" s="37">
        <v>1949830</v>
      </c>
      <c r="N34" s="832">
        <f t="shared" si="0"/>
        <v>60244.409</v>
      </c>
      <c r="O34" s="37"/>
    </row>
    <row r="35" spans="1:15" ht="17.100000000000001" customHeight="1">
      <c r="A35" s="799"/>
      <c r="B35" s="800"/>
      <c r="C35" s="814"/>
      <c r="D35" s="814">
        <f>SUM(D34:D34)</f>
        <v>60244409</v>
      </c>
      <c r="E35" s="801">
        <f>SUM(E34:E34)</f>
        <v>60244409</v>
      </c>
      <c r="F35" s="36">
        <v>2085661.8902521534</v>
      </c>
      <c r="G35" s="36"/>
      <c r="H35" s="28">
        <v>7319834.7894750005</v>
      </c>
      <c r="I35" s="36">
        <v>1266776</v>
      </c>
      <c r="J35" s="36">
        <v>1949830</v>
      </c>
      <c r="K35" s="36">
        <v>1949830</v>
      </c>
      <c r="L35" s="36">
        <v>1949830</v>
      </c>
      <c r="N35" s="832">
        <f t="shared" si="0"/>
        <v>60244.409</v>
      </c>
      <c r="O35" s="36"/>
    </row>
    <row r="36" spans="1:15" ht="17.100000000000001" customHeight="1">
      <c r="A36" s="803"/>
      <c r="B36" s="804"/>
      <c r="C36" s="812"/>
      <c r="D36" s="812" t="s">
        <v>121</v>
      </c>
      <c r="E36" s="825" t="s">
        <v>121</v>
      </c>
      <c r="F36" s="47" t="s">
        <v>121</v>
      </c>
      <c r="G36" s="47"/>
      <c r="H36" s="44" t="s">
        <v>121</v>
      </c>
      <c r="I36" s="47" t="s">
        <v>121</v>
      </c>
      <c r="J36" s="47" t="s">
        <v>121</v>
      </c>
      <c r="K36" s="47" t="s">
        <v>121</v>
      </c>
      <c r="L36" s="47" t="s">
        <v>121</v>
      </c>
      <c r="N36" s="832"/>
      <c r="O36" s="47"/>
    </row>
    <row r="37" spans="1:15" ht="17.100000000000001" customHeight="1">
      <c r="A37" s="799" t="s">
        <v>20</v>
      </c>
      <c r="B37" s="799"/>
      <c r="C37" s="799"/>
      <c r="D37" s="816">
        <f>SUM(D35,D29,D24)</f>
        <v>47864449</v>
      </c>
      <c r="E37" s="818">
        <f>SUM(E35,E29,E24)</f>
        <v>7378844</v>
      </c>
      <c r="F37" s="36">
        <v>605697</v>
      </c>
      <c r="G37" s="36"/>
      <c r="H37" s="28">
        <v>3737871.0000000005</v>
      </c>
      <c r="I37" s="36">
        <v>854995</v>
      </c>
      <c r="J37" s="36">
        <v>1142903</v>
      </c>
      <c r="K37" s="36">
        <v>966794</v>
      </c>
      <c r="L37" s="36">
        <v>605697</v>
      </c>
      <c r="N37" s="832">
        <f t="shared" si="0"/>
        <v>7378.8440000000001</v>
      </c>
      <c r="O37" s="36"/>
    </row>
    <row r="38" spans="1:15" ht="17.100000000000001" customHeight="1">
      <c r="A38" s="803" t="s">
        <v>21</v>
      </c>
      <c r="B38" s="803"/>
      <c r="C38" s="803"/>
      <c r="D38" s="805">
        <f>O39</f>
        <v>0</v>
      </c>
      <c r="E38" s="820">
        <f>BS!D9</f>
        <v>13400932</v>
      </c>
      <c r="F38" s="36">
        <v>1003375</v>
      </c>
      <c r="G38" s="36"/>
      <c r="H38" s="28">
        <v>7725</v>
      </c>
      <c r="I38" s="36">
        <v>1003375</v>
      </c>
      <c r="J38" s="36">
        <v>1003375</v>
      </c>
      <c r="K38" s="36">
        <v>1003375</v>
      </c>
      <c r="L38" s="36">
        <v>1003375</v>
      </c>
      <c r="N38" s="832">
        <f t="shared" si="0"/>
        <v>13400.932000000001</v>
      </c>
      <c r="O38" s="36"/>
    </row>
    <row r="39" spans="1:15" s="1" customFormat="1" ht="17.100000000000001" customHeight="1">
      <c r="A39" s="821" t="s">
        <v>22</v>
      </c>
      <c r="B39" s="821"/>
      <c r="C39" s="821"/>
      <c r="D39" s="797">
        <f>SUM(D37:D38)</f>
        <v>47864449</v>
      </c>
      <c r="E39" s="819">
        <f>SUM(E37:E38)</f>
        <v>20779776</v>
      </c>
      <c r="F39" s="48">
        <v>1609072</v>
      </c>
      <c r="G39" s="48"/>
      <c r="H39" s="32">
        <v>3745596.0000000005</v>
      </c>
      <c r="I39" s="48">
        <v>1858370</v>
      </c>
      <c r="J39" s="48">
        <v>2146278</v>
      </c>
      <c r="K39" s="48">
        <v>1970169</v>
      </c>
      <c r="L39" s="48">
        <v>1609072</v>
      </c>
      <c r="N39" s="832">
        <f t="shared" si="0"/>
        <v>20779.776000000002</v>
      </c>
      <c r="O39" s="48"/>
    </row>
    <row r="40" spans="1:15" ht="17.100000000000001" customHeight="1">
      <c r="A40" s="799"/>
      <c r="B40" s="800"/>
      <c r="C40" s="801"/>
      <c r="D40" s="801">
        <f>ROUND(D39-BS!$C$9,0)</f>
        <v>27084673</v>
      </c>
      <c r="E40" s="802">
        <f>ROUND(E39-BS!$C$9,0)</f>
        <v>0</v>
      </c>
      <c r="F40" s="53" t="e">
        <f>ROUND(F39-BS!#REF!,0)</f>
        <v>#REF!</v>
      </c>
      <c r="G40" s="53"/>
      <c r="H40" s="15"/>
      <c r="I40" s="53"/>
      <c r="J40" s="53"/>
      <c r="K40" s="53"/>
      <c r="L40" s="53"/>
      <c r="N40" s="832">
        <f t="shared" si="0"/>
        <v>0</v>
      </c>
    </row>
    <row r="41" spans="1:15" ht="17.100000000000001" customHeight="1">
      <c r="A41" s="803"/>
      <c r="B41" s="804"/>
      <c r="C41" s="805"/>
      <c r="D41" s="805"/>
      <c r="E41" s="806"/>
      <c r="N41" s="832">
        <f t="shared" si="0"/>
        <v>0</v>
      </c>
    </row>
    <row r="42" spans="1:15">
      <c r="A42" s="799"/>
      <c r="B42" s="800"/>
      <c r="C42" s="801"/>
      <c r="D42" s="801"/>
      <c r="E42" s="802"/>
      <c r="N42" s="832">
        <f t="shared" si="0"/>
        <v>0</v>
      </c>
    </row>
    <row r="43" spans="1:15" ht="15.75">
      <c r="A43" s="846" t="str">
        <f>Companyname &amp;" Confidential"</f>
        <v>Aurora Labs Consolidated Confidential</v>
      </c>
      <c r="B43" s="846"/>
      <c r="C43" s="846"/>
      <c r="D43" s="846"/>
      <c r="E43" s="846"/>
      <c r="F43" s="9"/>
      <c r="G43" s="9"/>
      <c r="H43" s="9"/>
      <c r="I43"/>
      <c r="J43"/>
      <c r="K43"/>
      <c r="L43"/>
      <c r="N43" s="826"/>
    </row>
  </sheetData>
  <mergeCells count="3">
    <mergeCell ref="A1:E1"/>
    <mergeCell ref="A2:E2"/>
    <mergeCell ref="A43:E43"/>
  </mergeCells>
  <phoneticPr fontId="31" type="noConversion"/>
  <conditionalFormatting sqref="F40:L40">
    <cfRule type="cellIs" dxfId="56" priority="3" stopIfTrue="1" operator="greaterThan">
      <formula>0</formula>
    </cfRule>
    <cfRule type="cellIs" dxfId="55" priority="4" stopIfTrue="1" operator="lessThan">
      <formula>0</formula>
    </cfRule>
  </conditionalFormatting>
  <pageMargins left="0.94488188976377963" right="0.74803149606299213" top="0.98425196850393704" bottom="0.39370078740157483" header="0.51181102362204722" footer="0.51181102362204722"/>
  <pageSetup paperSize="9" scale="92" orientation="portrait" r:id="rId1"/>
  <headerFooter alignWithMargins="0"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65"/>
  <sheetViews>
    <sheetView view="pageBreakPreview" topLeftCell="A29" zoomScale="85" zoomScaleNormal="100" zoomScaleSheetLayoutView="85" zoomScalePageLayoutView="70" workbookViewId="0">
      <selection activeCell="C51" sqref="C51:C52"/>
    </sheetView>
  </sheetViews>
  <sheetFormatPr defaultRowHeight="15"/>
  <cols>
    <col min="1" max="1" width="56.42578125" style="7" customWidth="1"/>
    <col min="2" max="2" width="9.42578125" style="7" customWidth="1"/>
    <col min="3" max="3" width="17.5703125" style="7" bestFit="1" customWidth="1"/>
    <col min="4" max="4" width="16.42578125" style="7" customWidth="1"/>
    <col min="5" max="5" width="9.42578125" style="3" customWidth="1"/>
    <col min="6" max="6" width="9.42578125" customWidth="1"/>
    <col min="7" max="7" width="18.5703125" style="58" hidden="1" customWidth="1"/>
    <col min="8" max="8" width="5.42578125" hidden="1" customWidth="1"/>
    <col min="9" max="9" width="18.5703125" style="58" hidden="1" customWidth="1"/>
    <col min="10" max="10" width="4.42578125" hidden="1" customWidth="1"/>
    <col min="11" max="11" width="18.5703125" style="58" hidden="1" customWidth="1"/>
    <col min="12" max="12" width="5" hidden="1" customWidth="1"/>
    <col min="13" max="13" width="17.5703125" style="7" hidden="1" customWidth="1"/>
    <col min="14" max="16" width="0" hidden="1" customWidth="1"/>
    <col min="17" max="17" width="17.5703125" style="7" hidden="1" customWidth="1"/>
    <col min="18" max="19" width="0" hidden="1" customWidth="1"/>
    <col min="20" max="20" width="17.5703125" style="7" hidden="1" customWidth="1"/>
    <col min="21" max="21" width="0" hidden="1" customWidth="1"/>
    <col min="22" max="22" width="17.5703125" style="7" hidden="1" customWidth="1"/>
    <col min="23" max="23" width="0" hidden="1" customWidth="1"/>
    <col min="24" max="24" width="17.5703125" style="7" hidden="1" customWidth="1"/>
    <col min="25" max="25" width="0" hidden="1" customWidth="1"/>
    <col min="26" max="26" width="17.5703125" style="7" hidden="1" customWidth="1"/>
    <col min="27" max="28" width="0" hidden="1" customWidth="1"/>
    <col min="29" max="29" width="17.5703125" style="7" hidden="1" customWidth="1"/>
    <col min="32" max="32" width="17.5703125" style="7" hidden="1" customWidth="1"/>
    <col min="35" max="36" width="10.5703125" hidden="1" customWidth="1"/>
  </cols>
  <sheetData>
    <row r="1" spans="1:36" ht="21">
      <c r="A1" s="844" t="str">
        <f>Companyname</f>
        <v>Aurora Labs Consolidated</v>
      </c>
      <c r="B1" s="844"/>
      <c r="C1" s="844"/>
      <c r="D1" s="556"/>
      <c r="E1" s="4" t="s">
        <v>33</v>
      </c>
      <c r="M1"/>
      <c r="Q1"/>
      <c r="T1"/>
      <c r="V1"/>
      <c r="X1"/>
      <c r="Z1"/>
      <c r="AC1"/>
      <c r="AF1"/>
    </row>
    <row r="2" spans="1:36" ht="18.75">
      <c r="A2" s="845" t="s">
        <v>32</v>
      </c>
      <c r="B2" s="845"/>
      <c r="C2" s="845"/>
      <c r="D2" s="557"/>
      <c r="M2"/>
      <c r="Q2"/>
      <c r="T2"/>
      <c r="V2"/>
      <c r="X2"/>
      <c r="Z2"/>
      <c r="AC2"/>
      <c r="AF2"/>
    </row>
    <row r="4" spans="1:36" ht="15.75">
      <c r="A4" s="11" t="s">
        <v>85</v>
      </c>
      <c r="B4" s="11"/>
      <c r="C4" s="9"/>
      <c r="D4" s="9"/>
      <c r="M4" s="9"/>
      <c r="Q4" s="9"/>
      <c r="T4" s="9"/>
      <c r="V4" s="9"/>
      <c r="X4" s="9"/>
      <c r="Z4" s="9"/>
      <c r="AC4" s="9"/>
      <c r="AF4" s="9"/>
    </row>
    <row r="5" spans="1:36" ht="15.75">
      <c r="C5" s="547">
        <f>DATE</f>
        <v>44926</v>
      </c>
      <c r="D5" s="547">
        <v>43830</v>
      </c>
      <c r="G5" s="598">
        <v>44592</v>
      </c>
      <c r="I5" s="598">
        <v>44620</v>
      </c>
      <c r="K5" s="598">
        <v>44651</v>
      </c>
      <c r="M5" s="547">
        <v>44681</v>
      </c>
      <c r="Q5" s="547">
        <v>44712</v>
      </c>
      <c r="T5" s="547">
        <v>44742</v>
      </c>
      <c r="V5" s="547">
        <v>44773</v>
      </c>
      <c r="X5" s="547">
        <v>44804</v>
      </c>
      <c r="Z5" s="547">
        <v>44834</v>
      </c>
      <c r="AC5" s="547">
        <v>44865</v>
      </c>
      <c r="AF5" s="547">
        <v>44895</v>
      </c>
    </row>
    <row r="6" spans="1:36" ht="20.25">
      <c r="C6" s="548">
        <f>DATE</f>
        <v>44926</v>
      </c>
      <c r="D6" s="548">
        <f>CompareDATE</f>
        <v>44561</v>
      </c>
      <c r="G6" s="599">
        <v>44592</v>
      </c>
      <c r="I6" s="599">
        <v>44620</v>
      </c>
      <c r="K6" s="599">
        <v>44651</v>
      </c>
      <c r="M6" s="548">
        <v>44681</v>
      </c>
      <c r="Q6" s="548">
        <v>44712</v>
      </c>
      <c r="T6" s="548">
        <v>44742</v>
      </c>
      <c r="V6" s="548">
        <v>44773</v>
      </c>
      <c r="X6" s="548">
        <v>44804</v>
      </c>
      <c r="Z6" s="548">
        <v>44834</v>
      </c>
      <c r="AC6" s="548">
        <v>44865</v>
      </c>
      <c r="AF6" s="548">
        <v>44895</v>
      </c>
    </row>
    <row r="7" spans="1:36" ht="20.25">
      <c r="C7" s="549" t="s">
        <v>11</v>
      </c>
      <c r="D7" s="549" t="s">
        <v>11</v>
      </c>
      <c r="G7" s="600" t="s">
        <v>11</v>
      </c>
      <c r="I7" s="600" t="s">
        <v>11</v>
      </c>
      <c r="K7" s="600" t="s">
        <v>11</v>
      </c>
      <c r="M7" s="549" t="s">
        <v>11</v>
      </c>
      <c r="Q7" s="549" t="s">
        <v>11</v>
      </c>
      <c r="T7" s="549" t="s">
        <v>11</v>
      </c>
      <c r="V7" s="549" t="s">
        <v>11</v>
      </c>
      <c r="X7" s="549" t="s">
        <v>11</v>
      </c>
      <c r="Z7" s="549" t="s">
        <v>11</v>
      </c>
      <c r="AC7" s="549" t="s">
        <v>11</v>
      </c>
      <c r="AF7" s="549" t="s">
        <v>11</v>
      </c>
    </row>
    <row r="8" spans="1:36" ht="19.5" hidden="1" customHeight="1">
      <c r="A8"/>
      <c r="B8"/>
      <c r="C8"/>
      <c r="D8"/>
      <c r="E8"/>
      <c r="M8"/>
      <c r="Q8"/>
      <c r="T8"/>
      <c r="V8"/>
      <c r="X8"/>
      <c r="Z8"/>
      <c r="AC8"/>
      <c r="AF8"/>
    </row>
    <row r="9" spans="1:36" ht="19.5" customHeight="1">
      <c r="A9" s="7" t="str">
        <f>VLOOKUP(E9,Index!A:B,2,0)</f>
        <v>Israeli currency</v>
      </c>
      <c r="C9" s="39">
        <f>-SUMIF(SAP!A:A,E9,SAP!F:F)</f>
        <v>12486866</v>
      </c>
      <c r="D9" s="39">
        <v>71138</v>
      </c>
      <c r="E9" s="3">
        <v>1302</v>
      </c>
      <c r="G9" s="306">
        <v>1289860</v>
      </c>
      <c r="I9" s="306">
        <v>5084457</v>
      </c>
      <c r="K9" s="306">
        <v>6532473</v>
      </c>
      <c r="M9" s="39">
        <v>6433363</v>
      </c>
      <c r="Q9" s="39">
        <v>8394078</v>
      </c>
      <c r="T9" s="39">
        <v>12995838</v>
      </c>
      <c r="V9" s="39">
        <v>12635288</v>
      </c>
      <c r="X9" s="39">
        <v>11911901</v>
      </c>
      <c r="Z9" s="39">
        <v>13916155</v>
      </c>
      <c r="AC9" s="39">
        <v>14186857</v>
      </c>
      <c r="AF9" s="39">
        <v>13684763</v>
      </c>
      <c r="AI9" s="630">
        <f>C9/1000</f>
        <v>12486.866</v>
      </c>
      <c r="AJ9" s="630">
        <f>D9/1000</f>
        <v>71.138000000000005</v>
      </c>
    </row>
    <row r="10" spans="1:36" ht="19.5" customHeight="1">
      <c r="A10" s="7" t="str">
        <f>VLOOKUP(E10,Index!A:B,2,0)</f>
        <v>USD currency</v>
      </c>
      <c r="C10" s="39">
        <f>-SUMIF(SAP!A:A,E10,SAP!F:F)</f>
        <v>8290712</v>
      </c>
      <c r="D10" s="39">
        <v>13327078</v>
      </c>
      <c r="E10" s="3">
        <v>1304</v>
      </c>
      <c r="G10" s="306">
        <v>11220739</v>
      </c>
      <c r="I10" s="306">
        <v>6553208</v>
      </c>
      <c r="K10" s="306">
        <v>4009069</v>
      </c>
      <c r="M10" s="39">
        <v>2717223</v>
      </c>
      <c r="Q10" s="39">
        <v>29571</v>
      </c>
      <c r="T10" s="39">
        <v>54347641</v>
      </c>
      <c r="V10" s="39">
        <v>56879436</v>
      </c>
      <c r="X10" s="39">
        <v>53932390</v>
      </c>
      <c r="Z10" s="39">
        <v>50288980</v>
      </c>
      <c r="AC10" s="39">
        <v>49245779</v>
      </c>
      <c r="AF10" s="39">
        <v>49106881</v>
      </c>
      <c r="AI10" s="630">
        <f t="shared" ref="AI10:AI65" si="0">C10/1000</f>
        <v>8290.7119999999995</v>
      </c>
      <c r="AJ10" s="630">
        <f t="shared" ref="AJ10:AJ65" si="1">D10/1000</f>
        <v>13327.078</v>
      </c>
    </row>
    <row r="11" spans="1:36" ht="17.25">
      <c r="A11" s="7" t="str">
        <f>VLOOKUP(E11,Index!A:B,2,0)</f>
        <v>EURO currency</v>
      </c>
      <c r="C11" s="94">
        <f>-SUMIF(SAP!A:A,E11,SAP!F:F)</f>
        <v>2198</v>
      </c>
      <c r="D11" s="94">
        <v>2716</v>
      </c>
      <c r="E11" s="3">
        <v>1307</v>
      </c>
      <c r="G11" s="303">
        <v>2677</v>
      </c>
      <c r="I11" s="303">
        <v>2688</v>
      </c>
      <c r="K11" s="303">
        <v>2662</v>
      </c>
      <c r="M11" s="94">
        <v>2541</v>
      </c>
      <c r="Q11" s="94">
        <v>2570</v>
      </c>
      <c r="T11" s="94">
        <v>2527</v>
      </c>
      <c r="V11" s="94">
        <v>2489</v>
      </c>
      <c r="X11" s="94">
        <v>6798</v>
      </c>
      <c r="Z11" s="94">
        <v>2133</v>
      </c>
      <c r="AC11" s="94">
        <v>2148</v>
      </c>
      <c r="AF11" s="94">
        <v>2245</v>
      </c>
      <c r="AI11" s="630">
        <f t="shared" si="0"/>
        <v>2.198</v>
      </c>
      <c r="AJ11" s="630">
        <f t="shared" si="1"/>
        <v>2.7160000000000002</v>
      </c>
    </row>
    <row r="12" spans="1:36" ht="18">
      <c r="C12" s="97">
        <f>SUM(C9:C11)</f>
        <v>20779776</v>
      </c>
      <c r="D12" s="97">
        <f>SUM(D9:D11)</f>
        <v>13400932</v>
      </c>
      <c r="G12" s="233">
        <v>12513276</v>
      </c>
      <c r="I12" s="233">
        <v>11640353</v>
      </c>
      <c r="K12" s="233">
        <v>10544204</v>
      </c>
      <c r="M12" s="97">
        <v>9153127</v>
      </c>
      <c r="Q12" s="97">
        <v>8426219</v>
      </c>
      <c r="T12" s="97">
        <v>67346006</v>
      </c>
      <c r="V12" s="97">
        <v>69517213</v>
      </c>
      <c r="X12" s="97">
        <v>65851089</v>
      </c>
      <c r="Z12" s="97">
        <v>64207268</v>
      </c>
      <c r="AC12" s="97">
        <v>63434784</v>
      </c>
      <c r="AF12" s="97">
        <v>62793889</v>
      </c>
      <c r="AI12" s="630">
        <f t="shared" si="0"/>
        <v>20779.776000000002</v>
      </c>
      <c r="AJ12" s="630">
        <f t="shared" si="1"/>
        <v>13400.932000000001</v>
      </c>
    </row>
    <row r="13" spans="1:36">
      <c r="C13" s="15">
        <f>C12-BS!C9</f>
        <v>0</v>
      </c>
      <c r="D13" s="15">
        <f>D12-BS!D9</f>
        <v>0</v>
      </c>
      <c r="G13" s="601"/>
      <c r="I13" s="601">
        <v>0</v>
      </c>
      <c r="K13" s="601">
        <v>0</v>
      </c>
      <c r="M13" s="15">
        <v>0</v>
      </c>
      <c r="Q13" s="15">
        <v>0</v>
      </c>
      <c r="T13" s="15">
        <v>0</v>
      </c>
      <c r="V13" s="15">
        <v>0</v>
      </c>
      <c r="X13" s="15">
        <v>0</v>
      </c>
      <c r="Z13" s="15">
        <v>0</v>
      </c>
      <c r="AC13" s="15">
        <v>0</v>
      </c>
      <c r="AF13" s="15">
        <v>0</v>
      </c>
      <c r="AI13" s="630">
        <f t="shared" si="0"/>
        <v>0</v>
      </c>
      <c r="AJ13" s="630">
        <f t="shared" si="1"/>
        <v>0</v>
      </c>
    </row>
    <row r="14" spans="1:36">
      <c r="G14" s="56"/>
      <c r="I14" s="56"/>
      <c r="K14" s="56"/>
      <c r="AI14" s="630">
        <f t="shared" si="0"/>
        <v>0</v>
      </c>
      <c r="AJ14" s="630">
        <f t="shared" si="1"/>
        <v>0</v>
      </c>
    </row>
    <row r="15" spans="1:36" ht="15.75">
      <c r="A15" s="11" t="s">
        <v>437</v>
      </c>
      <c r="B15" s="11"/>
      <c r="G15" s="56"/>
      <c r="I15" s="56"/>
      <c r="K15" s="56"/>
      <c r="AI15" s="630">
        <f t="shared" si="0"/>
        <v>0</v>
      </c>
      <c r="AJ15" s="630">
        <f t="shared" si="1"/>
        <v>0</v>
      </c>
    </row>
    <row r="16" spans="1:36" ht="15.75">
      <c r="C16" s="547">
        <f>DATE</f>
        <v>44926</v>
      </c>
      <c r="D16" s="547">
        <v>43830</v>
      </c>
      <c r="G16" s="598">
        <v>44592</v>
      </c>
      <c r="I16" s="598">
        <v>44620</v>
      </c>
      <c r="K16" s="598">
        <v>44651</v>
      </c>
      <c r="M16" s="547">
        <v>44681</v>
      </c>
      <c r="Q16" s="547">
        <v>44712</v>
      </c>
      <c r="T16" s="547">
        <v>44742</v>
      </c>
      <c r="V16" s="547">
        <v>44773</v>
      </c>
      <c r="X16" s="547">
        <v>44804</v>
      </c>
      <c r="Z16" s="547">
        <v>44834</v>
      </c>
      <c r="AC16" s="547">
        <v>44865</v>
      </c>
      <c r="AF16" s="547">
        <v>44895</v>
      </c>
      <c r="AI16" s="630">
        <f t="shared" si="0"/>
        <v>44.926000000000002</v>
      </c>
      <c r="AJ16" s="630">
        <f t="shared" si="1"/>
        <v>43.83</v>
      </c>
    </row>
    <row r="17" spans="1:36" ht="20.25">
      <c r="C17" s="548">
        <f>DATE</f>
        <v>44926</v>
      </c>
      <c r="D17" s="548">
        <f>CompareDATE</f>
        <v>44561</v>
      </c>
      <c r="G17" s="599">
        <v>44592</v>
      </c>
      <c r="I17" s="599">
        <v>44620</v>
      </c>
      <c r="K17" s="599">
        <v>44651</v>
      </c>
      <c r="M17" s="548">
        <v>44681</v>
      </c>
      <c r="Q17" s="548">
        <v>44712</v>
      </c>
      <c r="T17" s="548">
        <v>44742</v>
      </c>
      <c r="V17" s="548">
        <v>44773</v>
      </c>
      <c r="X17" s="548">
        <v>44804</v>
      </c>
      <c r="Z17" s="548">
        <v>44834</v>
      </c>
      <c r="AC17" s="548">
        <v>44865</v>
      </c>
      <c r="AF17" s="548">
        <v>44895</v>
      </c>
      <c r="AI17" s="630">
        <f t="shared" si="0"/>
        <v>44.926000000000002</v>
      </c>
      <c r="AJ17" s="630">
        <f t="shared" si="1"/>
        <v>44.561</v>
      </c>
    </row>
    <row r="18" spans="1:36" ht="20.25">
      <c r="C18" s="549" t="s">
        <v>11</v>
      </c>
      <c r="D18" s="549" t="s">
        <v>11</v>
      </c>
      <c r="G18" s="600" t="s">
        <v>11</v>
      </c>
      <c r="I18" s="600" t="s">
        <v>11</v>
      </c>
      <c r="K18" s="600" t="s">
        <v>11</v>
      </c>
      <c r="M18" s="549" t="s">
        <v>11</v>
      </c>
      <c r="Q18" s="549" t="s">
        <v>11</v>
      </c>
      <c r="T18" s="549" t="s">
        <v>11</v>
      </c>
      <c r="V18" s="549" t="s">
        <v>11</v>
      </c>
      <c r="X18" s="549" t="s">
        <v>11</v>
      </c>
      <c r="Z18" s="549" t="s">
        <v>11</v>
      </c>
      <c r="AC18" s="549" t="s">
        <v>11</v>
      </c>
      <c r="AF18" s="549" t="s">
        <v>11</v>
      </c>
      <c r="AI18" s="630" t="e">
        <f t="shared" si="0"/>
        <v>#VALUE!</v>
      </c>
      <c r="AJ18" s="630" t="e">
        <f t="shared" si="1"/>
        <v>#VALUE!</v>
      </c>
    </row>
    <row r="19" spans="1:36" hidden="1">
      <c r="A19" s="469" t="str">
        <f>VLOOKUP(E19,Index!A:B,2,0)</f>
        <v>Related company</v>
      </c>
      <c r="B19" s="469"/>
      <c r="C19" s="470">
        <f>-SUMIF(SAP!A:A,E19,SAP!F:F)</f>
        <v>0</v>
      </c>
      <c r="D19" s="39">
        <v>0</v>
      </c>
      <c r="E19" s="3">
        <v>1351</v>
      </c>
      <c r="G19" s="602">
        <v>0</v>
      </c>
      <c r="I19" s="602">
        <v>0</v>
      </c>
      <c r="K19" s="602">
        <v>0</v>
      </c>
      <c r="M19" s="470">
        <v>0</v>
      </c>
      <c r="Q19" s="470">
        <v>0</v>
      </c>
      <c r="T19" s="470">
        <v>0</v>
      </c>
      <c r="V19" s="470">
        <v>0</v>
      </c>
      <c r="X19" s="470">
        <v>0</v>
      </c>
      <c r="Z19" s="470">
        <v>0</v>
      </c>
      <c r="AC19" s="470">
        <v>0</v>
      </c>
      <c r="AF19" s="470">
        <v>0</v>
      </c>
      <c r="AI19" s="630">
        <f t="shared" si="0"/>
        <v>0</v>
      </c>
      <c r="AJ19" s="630">
        <f t="shared" si="1"/>
        <v>0</v>
      </c>
    </row>
    <row r="20" spans="1:36">
      <c r="A20" s="7" t="str">
        <f>VLOOKUP(E20,Index!A:B,2,0)</f>
        <v>Prepaid expenses</v>
      </c>
      <c r="C20" s="39">
        <f>-SUMIF(SAP!A:A,E20,SAP!F:F)</f>
        <v>127522</v>
      </c>
      <c r="D20" s="39">
        <v>2991</v>
      </c>
      <c r="E20" s="3">
        <v>1354</v>
      </c>
      <c r="G20" s="306">
        <v>2243</v>
      </c>
      <c r="I20" s="306">
        <v>47900</v>
      </c>
      <c r="K20" s="306">
        <v>99389</v>
      </c>
      <c r="M20" s="39">
        <v>129793</v>
      </c>
      <c r="Q20" s="39">
        <v>118889</v>
      </c>
      <c r="T20" s="39">
        <v>104362</v>
      </c>
      <c r="V20" s="39">
        <v>176260</v>
      </c>
      <c r="X20" s="39">
        <v>162798</v>
      </c>
      <c r="Z20" s="39">
        <v>89627</v>
      </c>
      <c r="AC20" s="39">
        <v>121449</v>
      </c>
      <c r="AF20" s="39">
        <v>114876</v>
      </c>
      <c r="AI20" s="630">
        <f t="shared" si="0"/>
        <v>127.52200000000001</v>
      </c>
      <c r="AJ20" s="630">
        <f t="shared" si="1"/>
        <v>2.9910000000000001</v>
      </c>
    </row>
    <row r="21" spans="1:36">
      <c r="A21" s="7" t="str">
        <f>VLOOKUP(E21,Index!A:B,2,0)</f>
        <v>Guaranty deposits</v>
      </c>
      <c r="C21" s="39">
        <f>-SUMIF(SAP!A:A,E21,SAP!F:F)</f>
        <v>22131</v>
      </c>
      <c r="D21" s="39">
        <v>23879</v>
      </c>
      <c r="E21" s="3">
        <v>1355</v>
      </c>
      <c r="G21" s="306">
        <v>23244</v>
      </c>
      <c r="I21" s="306">
        <v>22935</v>
      </c>
      <c r="K21" s="306">
        <v>23383</v>
      </c>
      <c r="M21" s="39">
        <v>22389</v>
      </c>
      <c r="Q21" s="39">
        <v>22248</v>
      </c>
      <c r="T21" s="39">
        <v>21218</v>
      </c>
      <c r="V21" s="39">
        <v>22966</v>
      </c>
      <c r="X21" s="39">
        <v>23310</v>
      </c>
      <c r="Z21" s="39">
        <v>21981</v>
      </c>
      <c r="AC21" s="39">
        <v>22062</v>
      </c>
      <c r="AF21" s="39">
        <v>22633</v>
      </c>
      <c r="AI21" s="630">
        <f t="shared" si="0"/>
        <v>22.131</v>
      </c>
      <c r="AJ21" s="630">
        <f t="shared" si="1"/>
        <v>23.879000000000001</v>
      </c>
    </row>
    <row r="22" spans="1:36">
      <c r="A22" s="7" t="str">
        <f>VLOOKUP(E22,Index!A:B,2,0)</f>
        <v xml:space="preserve"> Income tax</v>
      </c>
      <c r="C22" s="39">
        <f>-SUMIF(SAP!A:A,E22,SAP!F:F)</f>
        <v>0</v>
      </c>
      <c r="D22" s="39">
        <v>660</v>
      </c>
      <c r="E22" s="3">
        <v>1356</v>
      </c>
      <c r="G22" s="306">
        <v>19430</v>
      </c>
      <c r="I22" s="306">
        <v>18893</v>
      </c>
      <c r="K22" s="306">
        <v>22401</v>
      </c>
      <c r="M22" s="39">
        <v>22954</v>
      </c>
      <c r="Q22" s="39">
        <v>22817</v>
      </c>
      <c r="T22" s="39">
        <v>24354</v>
      </c>
      <c r="V22" s="39">
        <v>26607</v>
      </c>
      <c r="X22" s="39">
        <v>28499</v>
      </c>
      <c r="Z22" s="39">
        <v>26877</v>
      </c>
      <c r="AC22" s="39">
        <v>26977</v>
      </c>
      <c r="AF22" s="39">
        <v>11625</v>
      </c>
      <c r="AI22" s="630">
        <f t="shared" si="0"/>
        <v>0</v>
      </c>
      <c r="AJ22" s="630">
        <f t="shared" si="1"/>
        <v>0.66</v>
      </c>
    </row>
    <row r="23" spans="1:36">
      <c r="A23" s="7" t="str">
        <f>VLOOKUP(E23,Index!A:B,2,0)</f>
        <v>VAT</v>
      </c>
      <c r="C23" s="39">
        <f>-SUMIF(SAP!A:A,E23,SAP!F:F)</f>
        <v>55725</v>
      </c>
      <c r="D23" s="39">
        <v>19813</v>
      </c>
      <c r="E23" s="3">
        <v>1357</v>
      </c>
      <c r="G23" s="306">
        <v>32131</v>
      </c>
      <c r="H23" s="99"/>
      <c r="I23" s="306">
        <v>40232</v>
      </c>
      <c r="J23" s="99"/>
      <c r="K23" s="306">
        <v>31855</v>
      </c>
      <c r="L23" s="99"/>
      <c r="M23" s="39">
        <v>45790</v>
      </c>
      <c r="Q23" s="39">
        <v>13889</v>
      </c>
      <c r="T23" s="39">
        <v>16151</v>
      </c>
      <c r="V23" s="39">
        <v>40821</v>
      </c>
      <c r="X23" s="39">
        <v>66206</v>
      </c>
      <c r="Z23" s="39">
        <v>62024</v>
      </c>
      <c r="AC23" s="39">
        <v>52789</v>
      </c>
      <c r="AF23" s="39">
        <v>42811</v>
      </c>
      <c r="AI23" s="630">
        <f t="shared" si="0"/>
        <v>55.725000000000001</v>
      </c>
      <c r="AJ23" s="630">
        <f t="shared" si="1"/>
        <v>19.812999999999999</v>
      </c>
    </row>
    <row r="24" spans="1:36" ht="17.25">
      <c r="A24" s="7" t="str">
        <f>VLOOKUP(E24,Index!A:B,2,0)</f>
        <v>Other</v>
      </c>
      <c r="C24" s="94">
        <f>-SUMIF(SAP!A:A,E24,SAP!F:F)</f>
        <v>3552</v>
      </c>
      <c r="D24" s="94">
        <v>0</v>
      </c>
      <c r="E24" s="3">
        <v>1358</v>
      </c>
      <c r="G24" s="303">
        <v>0</v>
      </c>
      <c r="I24" s="303">
        <v>13897</v>
      </c>
      <c r="K24" s="303">
        <v>11020</v>
      </c>
      <c r="M24" s="94">
        <v>10552</v>
      </c>
      <c r="Q24" s="94">
        <v>8987</v>
      </c>
      <c r="T24" s="94">
        <v>7143</v>
      </c>
      <c r="V24" s="94">
        <v>13270</v>
      </c>
      <c r="X24" s="94">
        <v>11223</v>
      </c>
      <c r="Z24" s="94">
        <v>351205</v>
      </c>
      <c r="AC24" s="94">
        <v>349112</v>
      </c>
      <c r="AF24" s="94">
        <v>4359</v>
      </c>
      <c r="AI24" s="630">
        <f t="shared" si="0"/>
        <v>3.552</v>
      </c>
      <c r="AJ24" s="630">
        <f t="shared" si="1"/>
        <v>0</v>
      </c>
    </row>
    <row r="25" spans="1:36" ht="18">
      <c r="B25" s="97"/>
      <c r="C25" s="97">
        <f>SUM(C19:C24)</f>
        <v>208930</v>
      </c>
      <c r="D25" s="97">
        <f>SUM(D20:D24)</f>
        <v>47343</v>
      </c>
      <c r="G25" s="233">
        <v>77048</v>
      </c>
      <c r="I25" s="233">
        <v>143857</v>
      </c>
      <c r="K25" s="233">
        <v>188048</v>
      </c>
      <c r="M25" s="97">
        <v>231478</v>
      </c>
      <c r="Q25" s="97">
        <v>186830</v>
      </c>
      <c r="T25" s="97">
        <v>173228</v>
      </c>
      <c r="V25" s="97">
        <v>279924</v>
      </c>
      <c r="X25" s="97">
        <v>292036</v>
      </c>
      <c r="Z25" s="97">
        <v>551714</v>
      </c>
      <c r="AC25" s="97">
        <v>572389</v>
      </c>
      <c r="AF25" s="97">
        <v>196304</v>
      </c>
      <c r="AI25" s="630">
        <f t="shared" si="0"/>
        <v>208.93</v>
      </c>
      <c r="AJ25" s="630">
        <f t="shared" si="1"/>
        <v>47.343000000000004</v>
      </c>
    </row>
    <row r="26" spans="1:36">
      <c r="C26" s="15">
        <f>C25-BS!C12</f>
        <v>0</v>
      </c>
      <c r="D26" s="15">
        <f>D25-BS!D12</f>
        <v>0</v>
      </c>
      <c r="G26" s="601"/>
      <c r="I26" s="601"/>
      <c r="K26" s="601"/>
      <c r="M26" s="15">
        <v>0</v>
      </c>
      <c r="Q26" s="15">
        <v>0</v>
      </c>
      <c r="T26" s="15">
        <v>0</v>
      </c>
      <c r="V26" s="15">
        <v>0</v>
      </c>
      <c r="X26" s="15">
        <v>0</v>
      </c>
      <c r="Z26" s="15">
        <v>0</v>
      </c>
      <c r="AC26" s="15">
        <v>0</v>
      </c>
      <c r="AF26" s="15">
        <v>0</v>
      </c>
      <c r="AI26" s="630">
        <f t="shared" si="0"/>
        <v>0</v>
      </c>
      <c r="AJ26" s="630">
        <f t="shared" si="1"/>
        <v>0</v>
      </c>
    </row>
    <row r="27" spans="1:36">
      <c r="G27" s="56"/>
      <c r="I27" s="56"/>
      <c r="K27" s="56"/>
      <c r="AI27" s="630">
        <f t="shared" si="0"/>
        <v>0</v>
      </c>
      <c r="AJ27" s="630">
        <f t="shared" si="1"/>
        <v>0</v>
      </c>
    </row>
    <row r="28" spans="1:36" ht="18">
      <c r="A28" s="11" t="s">
        <v>438</v>
      </c>
      <c r="B28" s="11"/>
      <c r="D28" s="97"/>
      <c r="G28" s="56"/>
      <c r="I28" s="56"/>
      <c r="K28" s="56"/>
      <c r="AI28" s="630">
        <f t="shared" si="0"/>
        <v>0</v>
      </c>
      <c r="AJ28" s="630">
        <f t="shared" si="1"/>
        <v>0</v>
      </c>
    </row>
    <row r="29" spans="1:36" ht="15.75">
      <c r="C29" s="547">
        <f>DATE</f>
        <v>44926</v>
      </c>
      <c r="D29" s="547">
        <v>43830</v>
      </c>
      <c r="G29" s="598">
        <v>44592</v>
      </c>
      <c r="I29" s="598">
        <v>44620</v>
      </c>
      <c r="K29" s="598">
        <v>44651</v>
      </c>
      <c r="M29" s="547">
        <v>44681</v>
      </c>
      <c r="Q29" s="547">
        <v>44712</v>
      </c>
      <c r="T29" s="547">
        <v>44742</v>
      </c>
      <c r="V29" s="547">
        <v>44773</v>
      </c>
      <c r="X29" s="547">
        <v>44804</v>
      </c>
      <c r="Z29" s="547">
        <v>44834</v>
      </c>
      <c r="AC29" s="547">
        <v>44865</v>
      </c>
      <c r="AF29" s="547">
        <v>44895</v>
      </c>
      <c r="AI29" s="630">
        <f t="shared" si="0"/>
        <v>44.926000000000002</v>
      </c>
      <c r="AJ29" s="630">
        <f t="shared" si="1"/>
        <v>43.83</v>
      </c>
    </row>
    <row r="30" spans="1:36" ht="20.25">
      <c r="C30" s="548">
        <f>DATE</f>
        <v>44926</v>
      </c>
      <c r="D30" s="548">
        <f>CompareDATE</f>
        <v>44561</v>
      </c>
      <c r="G30" s="599">
        <v>44592</v>
      </c>
      <c r="I30" s="599">
        <v>44620</v>
      </c>
      <c r="K30" s="599">
        <v>44651</v>
      </c>
      <c r="M30" s="548">
        <v>44681</v>
      </c>
      <c r="Q30" s="548">
        <v>44712</v>
      </c>
      <c r="T30" s="548">
        <v>44742</v>
      </c>
      <c r="V30" s="548">
        <v>44773</v>
      </c>
      <c r="X30" s="548">
        <v>44804</v>
      </c>
      <c r="Z30" s="548">
        <v>44834</v>
      </c>
      <c r="AC30" s="548">
        <v>44865</v>
      </c>
      <c r="AF30" s="548">
        <v>44895</v>
      </c>
      <c r="AI30" s="630">
        <f t="shared" si="0"/>
        <v>44.926000000000002</v>
      </c>
      <c r="AJ30" s="630">
        <f t="shared" si="1"/>
        <v>44.561</v>
      </c>
    </row>
    <row r="31" spans="1:36" ht="20.25">
      <c r="C31" s="549" t="s">
        <v>11</v>
      </c>
      <c r="D31" s="549" t="s">
        <v>11</v>
      </c>
      <c r="G31" s="600" t="s">
        <v>11</v>
      </c>
      <c r="I31" s="600" t="s">
        <v>11</v>
      </c>
      <c r="K31" s="600" t="s">
        <v>11</v>
      </c>
      <c r="M31" s="549" t="s">
        <v>11</v>
      </c>
      <c r="Q31" s="549" t="s">
        <v>11</v>
      </c>
      <c r="T31" s="549" t="s">
        <v>11</v>
      </c>
      <c r="V31" s="549" t="s">
        <v>11</v>
      </c>
      <c r="X31" s="549" t="s">
        <v>11</v>
      </c>
      <c r="Z31" s="549" t="s">
        <v>11</v>
      </c>
      <c r="AC31" s="549" t="s">
        <v>11</v>
      </c>
      <c r="AF31" s="549" t="s">
        <v>11</v>
      </c>
      <c r="AI31" s="630" t="e">
        <f t="shared" si="0"/>
        <v>#VALUE!</v>
      </c>
      <c r="AJ31" s="630" t="e">
        <f t="shared" si="1"/>
        <v>#VALUE!</v>
      </c>
    </row>
    <row r="32" spans="1:36">
      <c r="A32" s="7" t="str">
        <f>VLOOKUP(E32,Index!A:B,2,0)</f>
        <v>Furniture &amp; Fixtures General</v>
      </c>
      <c r="C32" s="39">
        <f>-SUMIF(SAP!A:A,E32,SAP!F:F)</f>
        <v>17471</v>
      </c>
      <c r="D32" s="39">
        <v>14486</v>
      </c>
      <c r="E32" s="3">
        <v>1903</v>
      </c>
      <c r="G32" s="306">
        <v>15050</v>
      </c>
      <c r="I32" s="306">
        <v>15541</v>
      </c>
      <c r="K32" s="306">
        <v>15541</v>
      </c>
      <c r="M32" s="39">
        <v>15541</v>
      </c>
      <c r="Q32" s="39">
        <v>15541</v>
      </c>
      <c r="T32" s="39">
        <v>15541</v>
      </c>
      <c r="V32" s="39">
        <v>15555</v>
      </c>
      <c r="X32" s="39">
        <v>17471</v>
      </c>
      <c r="Z32" s="39">
        <v>17471</v>
      </c>
      <c r="AC32" s="39">
        <v>17471</v>
      </c>
      <c r="AF32" s="39">
        <v>17471</v>
      </c>
      <c r="AI32" s="630">
        <f t="shared" si="0"/>
        <v>17.471</v>
      </c>
      <c r="AJ32" s="630">
        <f t="shared" si="1"/>
        <v>14.486000000000001</v>
      </c>
    </row>
    <row r="33" spans="1:36">
      <c r="A33" s="7" t="str">
        <f>VLOOKUP(E33,Index!A:B,2,0)</f>
        <v>Computers &amp; Software</v>
      </c>
      <c r="C33" s="39">
        <f>-SUMIF(SAP!A:A,E33,SAP!F:F)</f>
        <v>344827</v>
      </c>
      <c r="D33" s="39">
        <v>253167</v>
      </c>
      <c r="E33" s="3">
        <v>1901</v>
      </c>
      <c r="G33" s="306">
        <v>265468</v>
      </c>
      <c r="I33" s="306">
        <v>269340</v>
      </c>
      <c r="K33" s="306">
        <v>286745</v>
      </c>
      <c r="M33" s="39">
        <v>286745</v>
      </c>
      <c r="Q33" s="39">
        <v>286745</v>
      </c>
      <c r="T33" s="39">
        <v>295539</v>
      </c>
      <c r="V33" s="39">
        <v>297342</v>
      </c>
      <c r="X33" s="39">
        <v>316555</v>
      </c>
      <c r="Z33" s="39">
        <v>318058</v>
      </c>
      <c r="AC33" s="39">
        <v>327092</v>
      </c>
      <c r="AF33" s="39">
        <v>327092</v>
      </c>
      <c r="AI33" s="630">
        <f t="shared" si="0"/>
        <v>344.827</v>
      </c>
      <c r="AJ33" s="630">
        <f t="shared" si="1"/>
        <v>253.167</v>
      </c>
    </row>
    <row r="34" spans="1:36" ht="17.25">
      <c r="A34" s="7" t="str">
        <f>VLOOKUP(E34,Index!A:B,2,0)</f>
        <v>Electronic equipment</v>
      </c>
      <c r="C34" s="94">
        <f>-SUMIF(SAP!A:A,E34,SAP!F:F)</f>
        <v>24544</v>
      </c>
      <c r="D34" s="94">
        <v>19214</v>
      </c>
      <c r="E34" s="3">
        <v>1904</v>
      </c>
      <c r="G34" s="303">
        <v>19214</v>
      </c>
      <c r="I34" s="303">
        <v>19216</v>
      </c>
      <c r="K34" s="303">
        <v>19216</v>
      </c>
      <c r="M34" s="94">
        <v>19216</v>
      </c>
      <c r="Q34" s="94">
        <v>19216</v>
      </c>
      <c r="T34" s="94">
        <v>19216</v>
      </c>
      <c r="V34" s="94">
        <v>20213</v>
      </c>
      <c r="X34" s="94">
        <v>23516</v>
      </c>
      <c r="Z34" s="94">
        <v>23516</v>
      </c>
      <c r="AC34" s="94">
        <v>23516</v>
      </c>
      <c r="AF34" s="94">
        <v>23516</v>
      </c>
      <c r="AI34" s="630">
        <f t="shared" si="0"/>
        <v>24.544</v>
      </c>
      <c r="AJ34" s="630">
        <f t="shared" si="1"/>
        <v>19.213999999999999</v>
      </c>
    </row>
    <row r="35" spans="1:36" ht="18">
      <c r="C35" s="97">
        <f>SUM(C31:C34)</f>
        <v>386842</v>
      </c>
      <c r="D35" s="97">
        <f>SUM(D32:D34)</f>
        <v>286867</v>
      </c>
      <c r="G35" s="233">
        <v>299732</v>
      </c>
      <c r="I35" s="233">
        <v>304097</v>
      </c>
      <c r="K35" s="233">
        <v>321502</v>
      </c>
      <c r="M35" s="97">
        <v>321502</v>
      </c>
      <c r="Q35" s="97">
        <v>321502</v>
      </c>
      <c r="T35" s="97">
        <v>330296</v>
      </c>
      <c r="V35" s="97">
        <v>333110</v>
      </c>
      <c r="X35" s="97">
        <v>357542</v>
      </c>
      <c r="Z35" s="97">
        <v>359045</v>
      </c>
      <c r="AC35" s="97">
        <v>368079</v>
      </c>
      <c r="AF35" s="97">
        <v>368079</v>
      </c>
      <c r="AI35" s="630">
        <f t="shared" si="0"/>
        <v>386.84199999999998</v>
      </c>
      <c r="AJ35" s="630">
        <f t="shared" si="1"/>
        <v>286.86700000000002</v>
      </c>
    </row>
    <row r="36" spans="1:36">
      <c r="C36" s="15">
        <f>C35-BS!C19</f>
        <v>0</v>
      </c>
      <c r="D36" s="15">
        <f>D35-BS!D19</f>
        <v>0</v>
      </c>
      <c r="G36" s="601"/>
      <c r="I36" s="601"/>
      <c r="K36" s="601"/>
      <c r="M36" s="15">
        <v>0</v>
      </c>
      <c r="Q36" s="15">
        <v>0</v>
      </c>
      <c r="T36" s="15">
        <v>0</v>
      </c>
      <c r="V36" s="15">
        <v>0</v>
      </c>
      <c r="X36" s="15">
        <v>0</v>
      </c>
      <c r="Z36" s="15">
        <v>0</v>
      </c>
      <c r="AC36" s="15">
        <v>0</v>
      </c>
      <c r="AF36" s="15">
        <v>0</v>
      </c>
      <c r="AI36" s="630">
        <f t="shared" si="0"/>
        <v>0</v>
      </c>
      <c r="AJ36" s="630">
        <f t="shared" si="1"/>
        <v>0</v>
      </c>
    </row>
    <row r="37" spans="1:36">
      <c r="C37" s="15"/>
      <c r="D37" s="15"/>
      <c r="G37" s="601"/>
      <c r="I37" s="601"/>
      <c r="K37" s="601"/>
      <c r="M37" s="15"/>
      <c r="Q37" s="15"/>
      <c r="T37" s="15"/>
      <c r="V37" s="15"/>
      <c r="X37" s="15"/>
      <c r="Z37" s="15"/>
      <c r="AC37" s="15"/>
      <c r="AF37" s="15"/>
      <c r="AI37" s="630">
        <f t="shared" si="0"/>
        <v>0</v>
      </c>
      <c r="AJ37" s="630">
        <f t="shared" si="1"/>
        <v>0</v>
      </c>
    </row>
    <row r="38" spans="1:36" ht="18">
      <c r="A38" s="11" t="s">
        <v>463</v>
      </c>
      <c r="B38" s="11"/>
      <c r="D38" s="97"/>
      <c r="G38" s="56"/>
      <c r="I38" s="56"/>
      <c r="K38" s="56"/>
      <c r="AI38" s="630">
        <f t="shared" si="0"/>
        <v>0</v>
      </c>
      <c r="AJ38" s="630">
        <f t="shared" si="1"/>
        <v>0</v>
      </c>
    </row>
    <row r="39" spans="1:36" ht="15.75">
      <c r="C39" s="547">
        <f>DATE</f>
        <v>44926</v>
      </c>
      <c r="D39" s="547">
        <v>43830</v>
      </c>
      <c r="G39" s="598">
        <v>44592</v>
      </c>
      <c r="I39" s="598">
        <v>44620</v>
      </c>
      <c r="K39" s="598">
        <v>44651</v>
      </c>
      <c r="M39" s="547">
        <v>44681</v>
      </c>
      <c r="Q39" s="547">
        <v>44712</v>
      </c>
      <c r="T39" s="547">
        <v>44742</v>
      </c>
      <c r="V39" s="547">
        <v>44773</v>
      </c>
      <c r="X39" s="547">
        <v>44804</v>
      </c>
      <c r="Z39" s="547">
        <v>44834</v>
      </c>
      <c r="AC39" s="547">
        <v>44865</v>
      </c>
      <c r="AF39" s="547">
        <v>44895</v>
      </c>
      <c r="AI39" s="630"/>
      <c r="AJ39" s="630"/>
    </row>
    <row r="40" spans="1:36" ht="20.25">
      <c r="C40" s="548">
        <f>DATE</f>
        <v>44926</v>
      </c>
      <c r="D40" s="548">
        <f>CompareDATE</f>
        <v>44561</v>
      </c>
      <c r="G40" s="599">
        <v>44592</v>
      </c>
      <c r="I40" s="599">
        <v>44620</v>
      </c>
      <c r="K40" s="599">
        <v>44651</v>
      </c>
      <c r="M40" s="548">
        <v>44681</v>
      </c>
      <c r="Q40" s="548">
        <v>44712</v>
      </c>
      <c r="T40" s="548">
        <v>44742</v>
      </c>
      <c r="V40" s="548">
        <v>44773</v>
      </c>
      <c r="X40" s="548">
        <v>44804</v>
      </c>
      <c r="Z40" s="548">
        <v>44834</v>
      </c>
      <c r="AC40" s="548">
        <v>44865</v>
      </c>
      <c r="AF40" s="548">
        <v>44895</v>
      </c>
      <c r="AI40" s="630"/>
      <c r="AJ40" s="630"/>
    </row>
    <row r="41" spans="1:36" ht="20.25">
      <c r="C41" s="549" t="s">
        <v>11</v>
      </c>
      <c r="D41" s="549" t="s">
        <v>11</v>
      </c>
      <c r="G41" s="600" t="s">
        <v>11</v>
      </c>
      <c r="I41" s="600" t="s">
        <v>11</v>
      </c>
      <c r="K41" s="600" t="s">
        <v>11</v>
      </c>
      <c r="M41" s="549" t="s">
        <v>11</v>
      </c>
      <c r="Q41" s="549" t="s">
        <v>11</v>
      </c>
      <c r="T41" s="549" t="s">
        <v>11</v>
      </c>
      <c r="V41" s="549" t="s">
        <v>11</v>
      </c>
      <c r="X41" s="549" t="s">
        <v>11</v>
      </c>
      <c r="Z41" s="549" t="s">
        <v>11</v>
      </c>
      <c r="AC41" s="549" t="s">
        <v>11</v>
      </c>
      <c r="AF41" s="549" t="s">
        <v>11</v>
      </c>
      <c r="AI41" s="630"/>
      <c r="AJ41" s="630"/>
    </row>
    <row r="42" spans="1:36">
      <c r="A42" s="7" t="str">
        <f>VLOOKUP(E42,Index!A:B,2,0)</f>
        <v>Accounts payable</v>
      </c>
      <c r="C42" s="39">
        <f>SUMIF(SAP!A:A,E42,SAP!F:F)</f>
        <v>129249</v>
      </c>
      <c r="D42" s="39">
        <v>60901</v>
      </c>
      <c r="E42" s="3">
        <v>2652</v>
      </c>
      <c r="G42" s="306">
        <v>91049</v>
      </c>
      <c r="I42" s="306">
        <v>432673</v>
      </c>
      <c r="K42" s="306">
        <v>140429</v>
      </c>
      <c r="M42" s="39">
        <v>117470</v>
      </c>
      <c r="Q42" s="39">
        <v>56416</v>
      </c>
      <c r="T42" s="39">
        <v>61330</v>
      </c>
      <c r="V42" s="39">
        <v>2805995</v>
      </c>
      <c r="X42" s="39">
        <v>154647</v>
      </c>
      <c r="Z42" s="39">
        <v>166345</v>
      </c>
      <c r="AC42" s="39">
        <v>143862</v>
      </c>
      <c r="AF42" s="39">
        <v>88743</v>
      </c>
      <c r="AI42" s="630">
        <f t="shared" si="0"/>
        <v>129.249</v>
      </c>
      <c r="AJ42" s="630">
        <f t="shared" si="1"/>
        <v>60.901000000000003</v>
      </c>
    </row>
    <row r="43" spans="1:36" ht="17.25">
      <c r="A43" s="7" t="str">
        <f>VLOOKUP(E43,Index!A:B,2,0)</f>
        <v>Checks payable</v>
      </c>
      <c r="C43" s="37">
        <f>SUMIF(SAP!A:A,E43,SAP!F:F)</f>
        <v>20822</v>
      </c>
      <c r="D43" s="37">
        <v>13565</v>
      </c>
      <c r="E43" s="3">
        <v>2658</v>
      </c>
      <c r="G43" s="318">
        <v>10720</v>
      </c>
      <c r="I43" s="318">
        <v>9399</v>
      </c>
      <c r="K43" s="318">
        <v>12013</v>
      </c>
      <c r="M43" s="37">
        <v>12315</v>
      </c>
      <c r="Q43" s="37">
        <v>14899</v>
      </c>
      <c r="T43" s="37">
        <v>3240</v>
      </c>
      <c r="V43" s="37">
        <v>17855</v>
      </c>
      <c r="X43" s="37">
        <v>10309</v>
      </c>
      <c r="Z43" s="37">
        <v>15339</v>
      </c>
      <c r="AC43" s="37">
        <v>13072</v>
      </c>
      <c r="AF43" s="37">
        <v>5482</v>
      </c>
      <c r="AI43" s="630">
        <f t="shared" si="0"/>
        <v>20.821999999999999</v>
      </c>
      <c r="AJ43" s="630">
        <f t="shared" si="1"/>
        <v>13.565</v>
      </c>
    </row>
    <row r="44" spans="1:36" ht="18">
      <c r="C44" s="97">
        <f>SUM(C41:C43)</f>
        <v>150071</v>
      </c>
      <c r="D44" s="97">
        <f>SUM(D41:D43)</f>
        <v>74466</v>
      </c>
      <c r="G44" s="233">
        <v>101769</v>
      </c>
      <c r="I44" s="233">
        <v>442072</v>
      </c>
      <c r="K44" s="233">
        <v>152442</v>
      </c>
      <c r="M44" s="97">
        <v>129785</v>
      </c>
      <c r="Q44" s="97">
        <v>71315</v>
      </c>
      <c r="T44" s="97">
        <v>64570</v>
      </c>
      <c r="V44" s="97">
        <v>2823850</v>
      </c>
      <c r="X44" s="97">
        <v>164956</v>
      </c>
      <c r="Z44" s="97">
        <v>181684</v>
      </c>
      <c r="AC44" s="97">
        <v>156934</v>
      </c>
      <c r="AF44" s="97">
        <v>94225</v>
      </c>
      <c r="AI44" s="630">
        <f t="shared" si="0"/>
        <v>150.071</v>
      </c>
      <c r="AJ44" s="630">
        <f t="shared" si="1"/>
        <v>74.465999999999994</v>
      </c>
    </row>
    <row r="45" spans="1:36">
      <c r="C45" s="15">
        <f>C44-BS!C28</f>
        <v>0</v>
      </c>
      <c r="D45" s="15">
        <f>D44-BS!D28</f>
        <v>0</v>
      </c>
      <c r="G45" s="601"/>
      <c r="I45" s="601"/>
      <c r="K45" s="601"/>
      <c r="M45" s="15">
        <v>0</v>
      </c>
      <c r="Q45" s="15">
        <v>0</v>
      </c>
      <c r="T45" s="15">
        <v>0</v>
      </c>
      <c r="V45" s="15">
        <v>0</v>
      </c>
      <c r="X45" s="15">
        <v>0</v>
      </c>
      <c r="Z45" s="15">
        <v>0</v>
      </c>
      <c r="AC45" s="15">
        <v>0</v>
      </c>
      <c r="AF45" s="15">
        <v>0</v>
      </c>
      <c r="AI45" s="630">
        <f t="shared" si="0"/>
        <v>0</v>
      </c>
      <c r="AJ45" s="630">
        <f t="shared" si="1"/>
        <v>0</v>
      </c>
    </row>
    <row r="46" spans="1:36">
      <c r="C46" s="15"/>
      <c r="D46" s="15"/>
      <c r="G46" s="601"/>
      <c r="I46" s="601"/>
      <c r="K46" s="601"/>
      <c r="M46" s="15"/>
      <c r="Q46" s="15"/>
      <c r="T46" s="15"/>
      <c r="V46" s="15"/>
      <c r="X46" s="15"/>
      <c r="Z46" s="15"/>
      <c r="AC46" s="15"/>
      <c r="AF46" s="15"/>
      <c r="AI46" s="630">
        <f t="shared" si="0"/>
        <v>0</v>
      </c>
      <c r="AJ46" s="630">
        <f t="shared" si="1"/>
        <v>0</v>
      </c>
    </row>
    <row r="47" spans="1:36" ht="15.75">
      <c r="A47" s="11" t="s">
        <v>464</v>
      </c>
      <c r="B47" s="11"/>
      <c r="G47" s="56"/>
      <c r="I47" s="56"/>
      <c r="K47" s="56"/>
      <c r="AI47" s="630">
        <f t="shared" si="0"/>
        <v>0</v>
      </c>
      <c r="AJ47" s="630">
        <f t="shared" si="1"/>
        <v>0</v>
      </c>
    </row>
    <row r="48" spans="1:36" ht="15.75">
      <c r="C48" s="547">
        <f>DATE</f>
        <v>44926</v>
      </c>
      <c r="D48" s="547">
        <v>43830</v>
      </c>
      <c r="G48" s="598">
        <v>44592</v>
      </c>
      <c r="I48" s="598">
        <v>44620</v>
      </c>
      <c r="K48" s="598">
        <v>44651</v>
      </c>
      <c r="M48" s="547">
        <v>44681</v>
      </c>
      <c r="Q48" s="547">
        <v>44712</v>
      </c>
      <c r="T48" s="547">
        <v>44742</v>
      </c>
      <c r="V48" s="547">
        <v>44773</v>
      </c>
      <c r="X48" s="547">
        <v>44804</v>
      </c>
      <c r="Z48" s="547">
        <v>44834</v>
      </c>
      <c r="AC48" s="547">
        <v>44865</v>
      </c>
      <c r="AF48" s="547">
        <v>44895</v>
      </c>
      <c r="AI48" s="630"/>
      <c r="AJ48" s="630"/>
    </row>
    <row r="49" spans="1:36" ht="20.25">
      <c r="C49" s="548">
        <f>DATE</f>
        <v>44926</v>
      </c>
      <c r="D49" s="548">
        <f>CompareDATE</f>
        <v>44561</v>
      </c>
      <c r="G49" s="599">
        <v>44592</v>
      </c>
      <c r="I49" s="599">
        <v>44620</v>
      </c>
      <c r="K49" s="599">
        <v>44651</v>
      </c>
      <c r="M49" s="548">
        <v>44681</v>
      </c>
      <c r="Q49" s="548">
        <v>44712</v>
      </c>
      <c r="T49" s="548">
        <v>44742</v>
      </c>
      <c r="V49" s="548">
        <v>44773</v>
      </c>
      <c r="X49" s="548">
        <v>44804</v>
      </c>
      <c r="Z49" s="548">
        <v>44834</v>
      </c>
      <c r="AC49" s="548">
        <v>44865</v>
      </c>
      <c r="AF49" s="548">
        <v>44895</v>
      </c>
      <c r="AI49" s="630"/>
      <c r="AJ49" s="630"/>
    </row>
    <row r="50" spans="1:36" ht="20.25">
      <c r="C50" s="549" t="s">
        <v>11</v>
      </c>
      <c r="D50" s="549" t="s">
        <v>11</v>
      </c>
      <c r="G50" s="600" t="s">
        <v>11</v>
      </c>
      <c r="I50" s="600" t="s">
        <v>11</v>
      </c>
      <c r="K50" s="600" t="s">
        <v>11</v>
      </c>
      <c r="M50" s="549" t="s">
        <v>11</v>
      </c>
      <c r="Q50" s="549" t="s">
        <v>11</v>
      </c>
      <c r="T50" s="549" t="s">
        <v>11</v>
      </c>
      <c r="V50" s="549" t="s">
        <v>11</v>
      </c>
      <c r="X50" s="549" t="s">
        <v>11</v>
      </c>
      <c r="Z50" s="549" t="s">
        <v>11</v>
      </c>
      <c r="AC50" s="549" t="s">
        <v>11</v>
      </c>
      <c r="AF50" s="549" t="s">
        <v>11</v>
      </c>
      <c r="AI50" s="630"/>
      <c r="AJ50" s="630"/>
    </row>
    <row r="51" spans="1:36" ht="17.25" customHeight="1">
      <c r="A51" s="7" t="str">
        <f>VLOOKUP(E51,Index!A:B,2,0)</f>
        <v>Vacation &amp; Convalescence</v>
      </c>
      <c r="C51" s="39">
        <f>SUMIF(SAP!A:A,E51,SAP!F:F)</f>
        <v>379770</v>
      </c>
      <c r="D51" s="39">
        <v>417475</v>
      </c>
      <c r="E51" s="3">
        <v>2681</v>
      </c>
      <c r="G51" s="306">
        <v>417797</v>
      </c>
      <c r="I51" s="306">
        <v>428853</v>
      </c>
      <c r="K51" s="306">
        <v>457253</v>
      </c>
      <c r="M51" s="39">
        <v>407467</v>
      </c>
      <c r="Q51" s="39">
        <v>425528</v>
      </c>
      <c r="T51" s="39">
        <v>413073</v>
      </c>
      <c r="V51" s="39">
        <v>421410</v>
      </c>
      <c r="X51" s="39">
        <v>406522</v>
      </c>
      <c r="Z51" s="39">
        <v>402201</v>
      </c>
      <c r="AC51" s="39">
        <v>352824</v>
      </c>
      <c r="AF51" s="39">
        <v>384479</v>
      </c>
      <c r="AI51" s="630">
        <f t="shared" si="0"/>
        <v>379.77</v>
      </c>
      <c r="AJ51" s="630">
        <f t="shared" si="1"/>
        <v>417.47500000000002</v>
      </c>
    </row>
    <row r="52" spans="1:36" ht="17.25" customHeight="1">
      <c r="A52" s="7" t="str">
        <f>VLOOKUP(E52,Index!A:B,2,0)</f>
        <v>Employees</v>
      </c>
      <c r="C52" s="39">
        <f>SUMIF(SAP!A:A,E52,SAP!F:F)</f>
        <v>753251</v>
      </c>
      <c r="D52" s="39">
        <v>664338</v>
      </c>
      <c r="E52" s="3">
        <v>2685</v>
      </c>
      <c r="G52" s="306">
        <v>637305</v>
      </c>
      <c r="I52" s="306">
        <v>655320</v>
      </c>
      <c r="K52" s="306">
        <v>714977</v>
      </c>
      <c r="M52" s="39">
        <v>701060</v>
      </c>
      <c r="Q52" s="39">
        <v>855247</v>
      </c>
      <c r="T52" s="39">
        <v>680682</v>
      </c>
      <c r="V52" s="39">
        <v>758456</v>
      </c>
      <c r="X52" s="39">
        <v>775696</v>
      </c>
      <c r="Z52" s="39">
        <v>742545</v>
      </c>
      <c r="AC52" s="39">
        <v>749368</v>
      </c>
      <c r="AF52" s="39">
        <v>761732</v>
      </c>
      <c r="AI52" s="630">
        <f t="shared" si="0"/>
        <v>753.25099999999998</v>
      </c>
      <c r="AJ52" s="630">
        <f t="shared" si="1"/>
        <v>664.33799999999997</v>
      </c>
    </row>
    <row r="53" spans="1:36" ht="17.25" hidden="1" customHeight="1">
      <c r="A53" s="469" t="str">
        <f>VLOOKUP(E53,Index!A:B,2,0)</f>
        <v>Related company</v>
      </c>
      <c r="B53" s="469"/>
      <c r="C53" s="470">
        <f>SUMIF(SAP!A:A,E53,SAP!F:F)</f>
        <v>0</v>
      </c>
      <c r="D53" s="39">
        <v>0</v>
      </c>
      <c r="E53" s="3">
        <v>2686</v>
      </c>
      <c r="G53" s="602">
        <v>0</v>
      </c>
      <c r="I53" s="602">
        <v>0</v>
      </c>
      <c r="K53" s="602">
        <v>0</v>
      </c>
      <c r="M53" s="470">
        <v>0</v>
      </c>
      <c r="Q53" s="470">
        <v>0</v>
      </c>
      <c r="T53" s="470">
        <v>0</v>
      </c>
      <c r="V53" s="470">
        <v>0</v>
      </c>
      <c r="X53" s="470">
        <v>0</v>
      </c>
      <c r="Z53" s="470">
        <v>0</v>
      </c>
      <c r="AC53" s="470">
        <v>0</v>
      </c>
      <c r="AF53" s="470">
        <v>0</v>
      </c>
      <c r="AI53" s="630">
        <f t="shared" si="0"/>
        <v>0</v>
      </c>
      <c r="AJ53" s="630">
        <f t="shared" si="1"/>
        <v>0</v>
      </c>
    </row>
    <row r="54" spans="1:36" ht="17.25" customHeight="1">
      <c r="A54" s="7" t="str">
        <f>VLOOKUP(E54,Index!A:B,2,0)</f>
        <v>Expenses Payable</v>
      </c>
      <c r="C54" s="39">
        <f>SUMIF(SAP!A:A,E54,SAP!F:F)</f>
        <v>174402</v>
      </c>
      <c r="D54" s="39">
        <v>108799</v>
      </c>
      <c r="E54" s="3">
        <v>2687</v>
      </c>
      <c r="G54" s="306">
        <v>127851</v>
      </c>
      <c r="I54" s="306">
        <v>126109</v>
      </c>
      <c r="K54" s="306">
        <v>145233</v>
      </c>
      <c r="M54" s="39">
        <v>129420</v>
      </c>
      <c r="Q54" s="39">
        <v>149018</v>
      </c>
      <c r="T54" s="39">
        <v>203695</v>
      </c>
      <c r="V54" s="39">
        <v>149532</v>
      </c>
      <c r="X54" s="39">
        <v>152804</v>
      </c>
      <c r="Z54" s="39">
        <v>151389</v>
      </c>
      <c r="AC54" s="39">
        <v>151542</v>
      </c>
      <c r="AF54" s="39">
        <v>203900</v>
      </c>
      <c r="AI54" s="630">
        <f t="shared" si="0"/>
        <v>174.40199999999999</v>
      </c>
      <c r="AJ54" s="630">
        <f t="shared" si="1"/>
        <v>108.79900000000001</v>
      </c>
    </row>
    <row r="55" spans="1:36" ht="17.25" customHeight="1">
      <c r="A55" s="7" t="str">
        <f>VLOOKUP(E55,Index!A:B,2,0)</f>
        <v xml:space="preserve"> Income tax</v>
      </c>
      <c r="C55" s="94">
        <f>SUMIF(SAP!A:A,E55,SAP!F:F)</f>
        <v>11993</v>
      </c>
      <c r="D55" s="94">
        <v>0</v>
      </c>
      <c r="E55" s="3">
        <v>2688</v>
      </c>
      <c r="G55" s="303">
        <v>3781</v>
      </c>
      <c r="I55" s="303">
        <v>3964</v>
      </c>
      <c r="K55" s="303">
        <v>597</v>
      </c>
      <c r="M55" s="94">
        <v>570</v>
      </c>
      <c r="Q55" s="94">
        <v>577</v>
      </c>
      <c r="T55" s="94">
        <v>560</v>
      </c>
      <c r="V55" s="94">
        <v>552</v>
      </c>
      <c r="X55" s="94">
        <v>538</v>
      </c>
      <c r="Z55" s="94">
        <v>530</v>
      </c>
      <c r="AC55" s="94">
        <v>534</v>
      </c>
      <c r="AF55" s="94">
        <v>558</v>
      </c>
      <c r="AI55" s="630">
        <f t="shared" si="0"/>
        <v>11.993</v>
      </c>
      <c r="AJ55" s="630">
        <f t="shared" si="1"/>
        <v>0</v>
      </c>
    </row>
    <row r="56" spans="1:36" ht="18">
      <c r="C56" s="97">
        <f>SUM(C51:C55)</f>
        <v>1319416</v>
      </c>
      <c r="D56" s="97">
        <f>SUM(D51:D55)</f>
        <v>1190612</v>
      </c>
      <c r="G56" s="233">
        <v>1186734</v>
      </c>
      <c r="I56" s="233">
        <v>1214246</v>
      </c>
      <c r="K56" s="233">
        <v>1318060</v>
      </c>
      <c r="M56" s="97">
        <v>1238517</v>
      </c>
      <c r="Q56" s="97">
        <v>1430370</v>
      </c>
      <c r="T56" s="97">
        <v>1298010</v>
      </c>
      <c r="V56" s="97">
        <v>1329950</v>
      </c>
      <c r="X56" s="97">
        <v>1335560</v>
      </c>
      <c r="Z56" s="97">
        <v>1296665</v>
      </c>
      <c r="AC56" s="97">
        <v>1254268</v>
      </c>
      <c r="AF56" s="97">
        <v>1350669</v>
      </c>
      <c r="AI56" s="630">
        <f t="shared" si="0"/>
        <v>1319.4159999999999</v>
      </c>
      <c r="AJ56" s="630">
        <f t="shared" si="1"/>
        <v>1190.6120000000001</v>
      </c>
    </row>
    <row r="57" spans="1:36">
      <c r="G57" s="56"/>
      <c r="I57" s="56"/>
      <c r="K57" s="56"/>
      <c r="AI57" s="630">
        <f t="shared" si="0"/>
        <v>0</v>
      </c>
      <c r="AJ57" s="630">
        <f t="shared" si="1"/>
        <v>0</v>
      </c>
    </row>
    <row r="58" spans="1:36">
      <c r="C58" s="15">
        <f>C56-BS!C29</f>
        <v>0</v>
      </c>
      <c r="D58" s="15">
        <f>D56-BS!D29</f>
        <v>0</v>
      </c>
      <c r="G58" s="601"/>
      <c r="I58" s="601"/>
      <c r="K58" s="601"/>
      <c r="M58" s="15">
        <v>0</v>
      </c>
      <c r="Q58" s="15">
        <v>0</v>
      </c>
      <c r="T58" s="15">
        <v>0</v>
      </c>
      <c r="V58" s="15">
        <v>0</v>
      </c>
      <c r="X58" s="15">
        <v>0</v>
      </c>
      <c r="Z58" s="15">
        <v>0</v>
      </c>
      <c r="AC58" s="15">
        <v>0</v>
      </c>
      <c r="AF58" s="15">
        <v>0</v>
      </c>
      <c r="AI58" s="630">
        <f t="shared" si="0"/>
        <v>0</v>
      </c>
      <c r="AJ58" s="630">
        <f t="shared" si="1"/>
        <v>0</v>
      </c>
    </row>
    <row r="59" spans="1:36" ht="15.75">
      <c r="A59" s="11" t="s">
        <v>465</v>
      </c>
      <c r="G59" s="56"/>
      <c r="I59" s="56"/>
      <c r="K59" s="56"/>
      <c r="AI59" s="630">
        <f t="shared" si="0"/>
        <v>0</v>
      </c>
      <c r="AJ59" s="630">
        <f t="shared" si="1"/>
        <v>0</v>
      </c>
    </row>
    <row r="60" spans="1:36" ht="15.75">
      <c r="C60" s="547">
        <f>DATE</f>
        <v>44926</v>
      </c>
      <c r="D60" s="547">
        <v>43830</v>
      </c>
      <c r="G60" s="598">
        <v>44592</v>
      </c>
      <c r="I60" s="598">
        <v>44620</v>
      </c>
      <c r="K60" s="598">
        <v>44651</v>
      </c>
      <c r="M60" s="547">
        <v>44681</v>
      </c>
      <c r="Q60" s="547">
        <v>44712</v>
      </c>
      <c r="T60" s="547">
        <v>44742</v>
      </c>
      <c r="V60" s="547">
        <v>44773</v>
      </c>
      <c r="X60" s="547">
        <v>44804</v>
      </c>
      <c r="Z60" s="547">
        <v>44834</v>
      </c>
      <c r="AC60" s="547">
        <v>44865</v>
      </c>
      <c r="AF60" s="547">
        <v>44895</v>
      </c>
      <c r="AI60" s="630">
        <f t="shared" si="0"/>
        <v>44.926000000000002</v>
      </c>
      <c r="AJ60" s="630">
        <f t="shared" si="1"/>
        <v>43.83</v>
      </c>
    </row>
    <row r="61" spans="1:36" ht="20.25">
      <c r="C61" s="548">
        <f>DATE</f>
        <v>44926</v>
      </c>
      <c r="D61" s="548">
        <f>CompareDATE</f>
        <v>44561</v>
      </c>
      <c r="G61" s="599">
        <v>44592</v>
      </c>
      <c r="I61" s="599">
        <v>44620</v>
      </c>
      <c r="K61" s="599">
        <v>44651</v>
      </c>
      <c r="M61" s="548">
        <v>44681</v>
      </c>
      <c r="Q61" s="548">
        <v>44712</v>
      </c>
      <c r="T61" s="548">
        <v>44742</v>
      </c>
      <c r="V61" s="548">
        <v>44773</v>
      </c>
      <c r="X61" s="548">
        <v>44804</v>
      </c>
      <c r="Z61" s="548">
        <v>44834</v>
      </c>
      <c r="AC61" s="548">
        <v>44865</v>
      </c>
      <c r="AF61" s="548">
        <v>44895</v>
      </c>
      <c r="AI61" s="630">
        <f t="shared" si="0"/>
        <v>44.926000000000002</v>
      </c>
      <c r="AJ61" s="630">
        <f t="shared" si="1"/>
        <v>44.561</v>
      </c>
    </row>
    <row r="62" spans="1:36" ht="20.25">
      <c r="C62" s="549" t="s">
        <v>11</v>
      </c>
      <c r="D62" s="549" t="s">
        <v>11</v>
      </c>
      <c r="G62" s="600" t="s">
        <v>11</v>
      </c>
      <c r="I62" s="600" t="s">
        <v>11</v>
      </c>
      <c r="K62" s="600" t="s">
        <v>11</v>
      </c>
      <c r="M62" s="549" t="s">
        <v>11</v>
      </c>
      <c r="Q62" s="549" t="s">
        <v>11</v>
      </c>
      <c r="T62" s="549" t="s">
        <v>11</v>
      </c>
      <c r="V62" s="549" t="s">
        <v>11</v>
      </c>
      <c r="X62" s="549" t="s">
        <v>11</v>
      </c>
      <c r="Z62" s="549" t="s">
        <v>11</v>
      </c>
      <c r="AC62" s="549" t="s">
        <v>11</v>
      </c>
      <c r="AF62" s="549" t="s">
        <v>11</v>
      </c>
      <c r="AI62" s="630" t="e">
        <f t="shared" si="0"/>
        <v>#VALUE!</v>
      </c>
      <c r="AJ62" s="630" t="e">
        <f t="shared" si="1"/>
        <v>#VALUE!</v>
      </c>
    </row>
    <row r="63" spans="1:36" ht="17.25">
      <c r="A63" s="7" t="str">
        <f>VLOOKUP(E63,Index!A:B,2,0)</f>
        <v>Share capital</v>
      </c>
      <c r="C63" s="94">
        <f>SUMIF(SAP!A:A,E63,SAP!F:F)</f>
        <v>2215</v>
      </c>
      <c r="D63" s="94">
        <v>1866</v>
      </c>
      <c r="E63" s="3">
        <v>3721</v>
      </c>
      <c r="G63" s="303">
        <v>1866</v>
      </c>
      <c r="I63" s="303">
        <v>1866</v>
      </c>
      <c r="K63" s="303">
        <v>1866</v>
      </c>
      <c r="M63" s="94">
        <v>1866</v>
      </c>
      <c r="Q63" s="94">
        <v>1866</v>
      </c>
      <c r="T63" s="94">
        <v>1866</v>
      </c>
      <c r="V63" s="94">
        <v>2215</v>
      </c>
      <c r="X63" s="94">
        <v>2215</v>
      </c>
      <c r="Z63" s="94">
        <v>2215</v>
      </c>
      <c r="AC63" s="94">
        <v>2215</v>
      </c>
      <c r="AF63" s="94">
        <v>2215</v>
      </c>
      <c r="AI63" s="630">
        <f t="shared" si="0"/>
        <v>2.2149999999999999</v>
      </c>
      <c r="AJ63" s="630">
        <f t="shared" si="1"/>
        <v>1.8660000000000001</v>
      </c>
    </row>
    <row r="64" spans="1:36" ht="18">
      <c r="C64" s="97">
        <f>SUM(C63:C63)</f>
        <v>2215</v>
      </c>
      <c r="D64" s="97">
        <f>SUM(D63:D63)</f>
        <v>1866</v>
      </c>
      <c r="G64" s="233">
        <v>1866</v>
      </c>
      <c r="I64" s="233">
        <v>1866</v>
      </c>
      <c r="K64" s="233">
        <v>1866</v>
      </c>
      <c r="M64" s="97">
        <v>1866</v>
      </c>
      <c r="Q64" s="97">
        <v>1866</v>
      </c>
      <c r="T64" s="97">
        <v>1866</v>
      </c>
      <c r="V64" s="97">
        <v>2215</v>
      </c>
      <c r="X64" s="97">
        <v>2215</v>
      </c>
      <c r="Z64" s="97">
        <v>2215</v>
      </c>
      <c r="AC64" s="97">
        <v>2215</v>
      </c>
      <c r="AF64" s="97">
        <v>2215</v>
      </c>
      <c r="AI64" s="630">
        <f t="shared" si="0"/>
        <v>2.2149999999999999</v>
      </c>
      <c r="AJ64" s="630">
        <f t="shared" si="1"/>
        <v>1.8660000000000001</v>
      </c>
    </row>
    <row r="65" spans="3:36">
      <c r="C65" s="15">
        <f>C64-BS!C39</f>
        <v>0</v>
      </c>
      <c r="D65" s="15">
        <f>D64-BS!D39</f>
        <v>0</v>
      </c>
      <c r="M65" s="15">
        <v>0</v>
      </c>
      <c r="Q65" s="15">
        <v>0</v>
      </c>
      <c r="T65" s="15">
        <v>0</v>
      </c>
      <c r="V65" s="15">
        <v>0</v>
      </c>
      <c r="X65" s="15">
        <v>0</v>
      </c>
      <c r="Z65" s="15">
        <v>0</v>
      </c>
      <c r="AC65" s="15">
        <v>0</v>
      </c>
      <c r="AF65" s="15">
        <v>0</v>
      </c>
      <c r="AI65" s="630">
        <f t="shared" si="0"/>
        <v>0</v>
      </c>
      <c r="AJ65" s="630">
        <f t="shared" si="1"/>
        <v>0</v>
      </c>
    </row>
  </sheetData>
  <mergeCells count="2">
    <mergeCell ref="A1:C1"/>
    <mergeCell ref="A2:C2"/>
  </mergeCells>
  <phoneticPr fontId="31" type="noConversion"/>
  <conditionalFormatting sqref="C13:D13 C26:D26 C36:D37 C45:D46 C58:D58 C65:D65">
    <cfRule type="cellIs" dxfId="54" priority="143" stopIfTrue="1" operator="greaterThan">
      <formula>1</formula>
    </cfRule>
    <cfRule type="cellIs" dxfId="53" priority="144" stopIfTrue="1" operator="lessThan">
      <formula>-1</formula>
    </cfRule>
  </conditionalFormatting>
  <conditionalFormatting sqref="G13 G26 G36:G37 G45:G46 G58">
    <cfRule type="cellIs" dxfId="52" priority="23" stopIfTrue="1" operator="greaterThan">
      <formula>1</formula>
    </cfRule>
    <cfRule type="cellIs" dxfId="51" priority="24" stopIfTrue="1" operator="lessThan">
      <formula>-1</formula>
    </cfRule>
  </conditionalFormatting>
  <conditionalFormatting sqref="I13 I26 I36:I37 I45:I46 I58">
    <cfRule type="cellIs" dxfId="50" priority="17" stopIfTrue="1" operator="greaterThan">
      <formula>1</formula>
    </cfRule>
    <cfRule type="cellIs" dxfId="49" priority="18" stopIfTrue="1" operator="lessThan">
      <formula>-1</formula>
    </cfRule>
  </conditionalFormatting>
  <conditionalFormatting sqref="K13 K26 K36:K37 K45:K46 K58">
    <cfRule type="cellIs" dxfId="48" priority="19" stopIfTrue="1" operator="greaterThan">
      <formula>1</formula>
    </cfRule>
    <cfRule type="cellIs" dxfId="47" priority="20" stopIfTrue="1" operator="lessThan">
      <formula>-1</formula>
    </cfRule>
  </conditionalFormatting>
  <conditionalFormatting sqref="M13 M26 M36:M37 M45:M46 M58 M65">
    <cfRule type="cellIs" dxfId="46" priority="15" stopIfTrue="1" operator="greaterThan">
      <formula>1</formula>
    </cfRule>
    <cfRule type="cellIs" dxfId="45" priority="16" stopIfTrue="1" operator="lessThan">
      <formula>-1</formula>
    </cfRule>
  </conditionalFormatting>
  <conditionalFormatting sqref="Q13 Q26 Q36:Q37 Q45:Q46 Q58 Q65">
    <cfRule type="cellIs" dxfId="44" priority="13" stopIfTrue="1" operator="greaterThan">
      <formula>1</formula>
    </cfRule>
    <cfRule type="cellIs" dxfId="43" priority="14" stopIfTrue="1" operator="lessThan">
      <formula>-1</formula>
    </cfRule>
  </conditionalFormatting>
  <conditionalFormatting sqref="T13 T26 T36:T37 T45:T46 T58 T65">
    <cfRule type="cellIs" dxfId="42" priority="11" stopIfTrue="1" operator="greaterThan">
      <formula>1</formula>
    </cfRule>
    <cfRule type="cellIs" dxfId="41" priority="12" stopIfTrue="1" operator="lessThan">
      <formula>-1</formula>
    </cfRule>
  </conditionalFormatting>
  <conditionalFormatting sqref="V13 V26 V36:V37 V45:V46 V58 V65">
    <cfRule type="cellIs" dxfId="40" priority="9" stopIfTrue="1" operator="greaterThan">
      <formula>1</formula>
    </cfRule>
    <cfRule type="cellIs" dxfId="39" priority="10" stopIfTrue="1" operator="lessThan">
      <formula>-1</formula>
    </cfRule>
  </conditionalFormatting>
  <conditionalFormatting sqref="X13 X26 X36:X37 X45:X46 X58 X65">
    <cfRule type="cellIs" dxfId="38" priority="7" stopIfTrue="1" operator="greaterThan">
      <formula>1</formula>
    </cfRule>
    <cfRule type="cellIs" dxfId="37" priority="8" stopIfTrue="1" operator="lessThan">
      <formula>-1</formula>
    </cfRule>
  </conditionalFormatting>
  <conditionalFormatting sqref="Z13 Z26 Z36:Z37 Z45:Z46 Z58 Z65">
    <cfRule type="cellIs" dxfId="36" priority="5" stopIfTrue="1" operator="greaterThan">
      <formula>1</formula>
    </cfRule>
    <cfRule type="cellIs" dxfId="35" priority="6" stopIfTrue="1" operator="lessThan">
      <formula>-1</formula>
    </cfRule>
  </conditionalFormatting>
  <conditionalFormatting sqref="AC13 AC26 AC36:AC37 AC45:AC46 AC58 AC65">
    <cfRule type="cellIs" dxfId="34" priority="3" stopIfTrue="1" operator="greaterThan">
      <formula>1</formula>
    </cfRule>
    <cfRule type="cellIs" dxfId="33" priority="4" stopIfTrue="1" operator="lessThan">
      <formula>-1</formula>
    </cfRule>
  </conditionalFormatting>
  <conditionalFormatting sqref="AF13 AF26 AF36:AF37 AF45:AF46 AF58 AF65">
    <cfRule type="cellIs" dxfId="32" priority="1" stopIfTrue="1" operator="greaterThan">
      <formula>1</formula>
    </cfRule>
    <cfRule type="cellIs" dxfId="31" priority="2" stopIfTrue="1" operator="lessThan">
      <formula>-1</formula>
    </cfRule>
  </conditionalFormatting>
  <pageMargins left="0.70866141732283472" right="0.70866141732283472" top="0.74803149606299213" bottom="0.74803149606299213" header="0.31496062992125984" footer="0.31496062992125984"/>
  <pageSetup paperSize="9" scale="61" fitToWidth="0" fitToHeight="0" orientation="portrait" r:id="rId1"/>
  <headerFooter differentFirst="1" scaleWithDoc="0">
    <oddHeader>&amp;L
&amp;C&amp;"Open Sans Semibold,מודגש"&amp;14&amp;K00+000 Demo Company Ltd. Consolidated - Balance Sheet</oddHeader>
    <oddFooter xml:space="preserve">&amp;R&amp;"Open Sans,Regular"&amp;K00+000&amp;P           &amp;   </oddFooter>
    <firstHeader>&amp;C&amp;G</firstHeader>
  </headerFooter>
  <ignoredErrors>
    <ignoredError sqref="D25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Y89"/>
  <sheetViews>
    <sheetView view="pageBreakPreview" topLeftCell="A28" zoomScale="115" zoomScaleNormal="100" zoomScaleSheetLayoutView="115" zoomScalePageLayoutView="70" workbookViewId="0">
      <selection activeCell="F47" activeCellId="2" sqref="F41:F43 F46 F47"/>
    </sheetView>
  </sheetViews>
  <sheetFormatPr defaultColWidth="9.42578125" defaultRowHeight="15"/>
  <cols>
    <col min="1" max="1" width="66" style="7" customWidth="1"/>
    <col min="2" max="2" width="16.5703125" style="7" hidden="1" customWidth="1"/>
    <col min="3" max="3" width="2.5703125" style="7" hidden="1" customWidth="1"/>
    <col min="4" max="4" width="17.42578125" style="7" hidden="1" customWidth="1"/>
    <col min="5" max="5" width="2.5703125" style="7" customWidth="1"/>
    <col min="6" max="6" width="16.5703125" style="16" customWidth="1"/>
    <col min="7" max="7" width="18.5703125" style="16" customWidth="1"/>
    <col min="8" max="8" width="9.5703125" bestFit="1" customWidth="1"/>
    <col min="10" max="10" width="16.5703125" style="605" hidden="1" customWidth="1"/>
    <col min="11" max="11" width="9.42578125" hidden="1" customWidth="1"/>
    <col min="12" max="13" width="16.5703125" style="56" hidden="1" customWidth="1"/>
    <col min="14" max="14" width="9.42578125" hidden="1" customWidth="1"/>
    <col min="15" max="16" width="16.5703125" style="56" hidden="1" customWidth="1"/>
    <col min="17" max="17" width="9.42578125" hidden="1" customWidth="1"/>
    <col min="18" max="26" width="16.5703125" style="56" hidden="1" customWidth="1"/>
    <col min="27" max="28" width="9.42578125" hidden="1" customWidth="1"/>
    <col min="29" max="30" width="16.5703125" style="56" hidden="1" customWidth="1"/>
    <col min="31" max="31" width="9.42578125" hidden="1" customWidth="1"/>
    <col min="32" max="33" width="16.5703125" style="56" hidden="1" customWidth="1"/>
    <col min="34" max="36" width="16.5703125" style="7" hidden="1" customWidth="1"/>
    <col min="37" max="37" width="9.28515625" style="7" hidden="1" customWidth="1"/>
    <col min="38" max="39" width="15.42578125" style="7" hidden="1" customWidth="1"/>
    <col min="40" max="41" width="10.28515625" style="7" hidden="1" customWidth="1"/>
    <col min="43" max="44" width="16.5703125" style="7" hidden="1" customWidth="1"/>
    <col min="45" max="45" width="0" hidden="1" customWidth="1"/>
    <col min="50" max="51" width="0" hidden="1" customWidth="1"/>
  </cols>
  <sheetData>
    <row r="1" spans="1:51" ht="15" customHeight="1">
      <c r="A1" s="844" t="str">
        <f>Companyname</f>
        <v>Aurora Labs Consolidated</v>
      </c>
      <c r="B1" s="844"/>
      <c r="C1" s="844"/>
      <c r="D1" s="844"/>
      <c r="E1" s="844"/>
      <c r="F1" s="844"/>
      <c r="G1" s="556"/>
      <c r="H1" s="142" t="s">
        <v>33</v>
      </c>
      <c r="L1" s="58"/>
      <c r="M1" s="58"/>
      <c r="O1" s="58"/>
      <c r="P1" s="58"/>
      <c r="R1" s="58"/>
      <c r="S1" s="58"/>
      <c r="T1" s="58"/>
      <c r="U1" s="58"/>
      <c r="V1" s="58"/>
      <c r="W1" s="58"/>
      <c r="X1" s="58"/>
      <c r="Y1" s="58"/>
      <c r="Z1" s="58"/>
      <c r="AC1" s="58"/>
      <c r="AD1" s="58"/>
      <c r="AF1" s="58"/>
      <c r="AG1" s="58"/>
      <c r="AH1"/>
      <c r="AI1"/>
      <c r="AJ1"/>
      <c r="AK1"/>
      <c r="AL1"/>
      <c r="AM1"/>
      <c r="AN1"/>
      <c r="AO1"/>
      <c r="AQ1"/>
      <c r="AR1"/>
    </row>
    <row r="2" spans="1:51" ht="18.75">
      <c r="A2" s="845" t="s">
        <v>32</v>
      </c>
      <c r="B2" s="845"/>
      <c r="C2" s="845"/>
      <c r="D2" s="845"/>
      <c r="E2" s="845"/>
      <c r="F2" s="845"/>
      <c r="G2" s="557"/>
      <c r="L2" s="58"/>
      <c r="M2" s="58"/>
      <c r="O2" s="58"/>
      <c r="P2" s="58"/>
      <c r="R2" s="58"/>
      <c r="S2" s="58"/>
      <c r="T2" s="58"/>
      <c r="U2" s="58"/>
      <c r="V2" s="58"/>
      <c r="W2" s="58"/>
      <c r="X2" s="58"/>
      <c r="Y2" s="58"/>
      <c r="Z2" s="58"/>
      <c r="AC2" s="58"/>
      <c r="AD2" s="58"/>
      <c r="AF2" s="58"/>
      <c r="AG2" s="58"/>
      <c r="AH2"/>
      <c r="AI2"/>
      <c r="AJ2"/>
      <c r="AK2"/>
      <c r="AL2"/>
      <c r="AM2"/>
      <c r="AN2"/>
      <c r="AO2"/>
      <c r="AQ2"/>
      <c r="AR2"/>
    </row>
    <row r="3" spans="1:51">
      <c r="A3" s="8"/>
      <c r="B3" s="8"/>
      <c r="C3" s="8"/>
      <c r="D3" s="8"/>
      <c r="E3" s="8"/>
      <c r="F3" s="231"/>
      <c r="G3" s="231"/>
      <c r="L3" s="8"/>
      <c r="M3" s="8"/>
      <c r="O3" s="8"/>
      <c r="P3" s="8"/>
      <c r="R3" s="8"/>
      <c r="S3" s="8"/>
      <c r="T3" s="8"/>
      <c r="U3" s="8"/>
      <c r="V3" s="8"/>
      <c r="W3" s="8"/>
      <c r="X3" s="8"/>
      <c r="Y3" s="8"/>
      <c r="Z3" s="8"/>
      <c r="AC3" s="8"/>
      <c r="AD3" s="8"/>
      <c r="AF3" s="8"/>
      <c r="AG3" s="8"/>
      <c r="AH3" s="8"/>
      <c r="AI3" s="8"/>
      <c r="AJ3" s="8"/>
      <c r="AK3" s="8"/>
      <c r="AL3" s="8"/>
      <c r="AM3" s="8"/>
      <c r="AN3" s="8"/>
      <c r="AO3" s="8"/>
      <c r="AQ3" s="8"/>
      <c r="AR3" s="8"/>
    </row>
    <row r="4" spans="1:51" ht="15.75">
      <c r="A4" s="11" t="s">
        <v>466</v>
      </c>
      <c r="B4" s="9"/>
      <c r="C4" s="9"/>
      <c r="D4" s="9"/>
      <c r="E4" s="9"/>
      <c r="F4" s="232"/>
      <c r="G4" s="232"/>
      <c r="H4" s="3"/>
      <c r="L4" s="18"/>
      <c r="M4" s="18"/>
      <c r="O4" s="18"/>
      <c r="P4" s="18"/>
      <c r="R4" s="18"/>
      <c r="S4" s="18"/>
      <c r="T4" s="18"/>
      <c r="U4" s="18"/>
      <c r="V4" s="18"/>
      <c r="W4" s="18"/>
      <c r="X4" s="18"/>
      <c r="Y4" s="18"/>
      <c r="Z4" s="18"/>
      <c r="AC4" s="18"/>
      <c r="AD4" s="18"/>
      <c r="AF4" s="18"/>
      <c r="AG4" s="18"/>
      <c r="AH4" s="9"/>
      <c r="AI4" s="9"/>
      <c r="AJ4" s="9"/>
      <c r="AK4" s="9"/>
      <c r="AL4" s="9"/>
      <c r="AM4" s="9"/>
      <c r="AN4" s="9"/>
      <c r="AO4" s="9"/>
      <c r="AQ4" s="9"/>
      <c r="AR4" s="9"/>
    </row>
    <row r="5" spans="1:51" ht="15.75">
      <c r="B5" s="551" t="s">
        <v>710</v>
      </c>
      <c r="C5" s="551"/>
      <c r="D5" s="551" t="s">
        <v>159</v>
      </c>
      <c r="E5" s="551"/>
      <c r="F5" s="551" t="s">
        <v>125</v>
      </c>
      <c r="G5" s="551" t="s">
        <v>125</v>
      </c>
      <c r="H5" s="3"/>
      <c r="J5" s="598" t="s">
        <v>125</v>
      </c>
      <c r="L5" s="598" t="s">
        <v>710</v>
      </c>
      <c r="M5" s="598" t="s">
        <v>125</v>
      </c>
      <c r="O5" s="598" t="s">
        <v>710</v>
      </c>
      <c r="P5" s="598" t="s">
        <v>125</v>
      </c>
      <c r="R5" s="598" t="s">
        <v>710</v>
      </c>
      <c r="S5" s="598" t="s">
        <v>125</v>
      </c>
      <c r="T5" s="598"/>
      <c r="U5" s="598" t="s">
        <v>125</v>
      </c>
      <c r="V5" s="598" t="s">
        <v>125</v>
      </c>
      <c r="W5" s="598" t="s">
        <v>710</v>
      </c>
      <c r="X5" s="598" t="s">
        <v>125</v>
      </c>
      <c r="Y5" s="598" t="s">
        <v>710</v>
      </c>
      <c r="Z5" s="598" t="s">
        <v>159</v>
      </c>
      <c r="AC5" s="598" t="s">
        <v>710</v>
      </c>
      <c r="AD5" s="598" t="s">
        <v>125</v>
      </c>
      <c r="AF5" s="598" t="s">
        <v>710</v>
      </c>
      <c r="AG5" s="598" t="s">
        <v>125</v>
      </c>
      <c r="AH5" s="551" t="s">
        <v>710</v>
      </c>
      <c r="AI5" s="551" t="s">
        <v>159</v>
      </c>
      <c r="AJ5" s="551" t="s">
        <v>125</v>
      </c>
      <c r="AK5" s="598"/>
      <c r="AL5" s="598" t="s">
        <v>710</v>
      </c>
      <c r="AM5" s="598" t="s">
        <v>125</v>
      </c>
      <c r="AN5" s="598"/>
      <c r="AO5" s="598"/>
      <c r="AQ5" s="551" t="s">
        <v>710</v>
      </c>
      <c r="AR5" s="551" t="s">
        <v>125</v>
      </c>
    </row>
    <row r="6" spans="1:51" ht="15.75">
      <c r="B6" s="552">
        <f t="shared" ref="B6:F7" si="0">DATE</f>
        <v>44926</v>
      </c>
      <c r="C6" s="552"/>
      <c r="D6" s="552">
        <f t="shared" si="0"/>
        <v>44926</v>
      </c>
      <c r="E6" s="552"/>
      <c r="F6" s="552">
        <f t="shared" si="0"/>
        <v>44926</v>
      </c>
      <c r="G6" s="552">
        <v>43830</v>
      </c>
      <c r="H6" s="3"/>
      <c r="J6" s="598">
        <v>44592</v>
      </c>
      <c r="L6" s="598">
        <v>44620</v>
      </c>
      <c r="M6" s="598">
        <v>44620</v>
      </c>
      <c r="O6" s="598">
        <v>44651</v>
      </c>
      <c r="P6" s="598">
        <v>44742</v>
      </c>
      <c r="R6" s="598">
        <v>44681</v>
      </c>
      <c r="S6" s="598">
        <v>44681</v>
      </c>
      <c r="T6" s="598"/>
      <c r="U6" s="598">
        <v>44712</v>
      </c>
      <c r="V6" s="598">
        <v>44742</v>
      </c>
      <c r="W6" s="598">
        <v>44712</v>
      </c>
      <c r="X6" s="598">
        <v>44804</v>
      </c>
      <c r="Y6" s="598">
        <v>44742</v>
      </c>
      <c r="Z6" s="598">
        <v>44742</v>
      </c>
      <c r="AC6" s="598">
        <v>44773</v>
      </c>
      <c r="AD6" s="598">
        <v>44773</v>
      </c>
      <c r="AF6" s="598">
        <v>44804</v>
      </c>
      <c r="AG6" s="598">
        <v>44804</v>
      </c>
      <c r="AH6" s="552">
        <v>44834</v>
      </c>
      <c r="AI6" s="552">
        <v>44834</v>
      </c>
      <c r="AJ6" s="552">
        <v>44834</v>
      </c>
      <c r="AK6" s="598"/>
      <c r="AL6" s="598">
        <v>44865</v>
      </c>
      <c r="AM6" s="598">
        <v>44865</v>
      </c>
      <c r="AN6" s="598"/>
      <c r="AO6" s="598"/>
      <c r="AQ6" s="552">
        <v>44895</v>
      </c>
      <c r="AR6" s="552">
        <v>44895</v>
      </c>
    </row>
    <row r="7" spans="1:51" ht="18" customHeight="1">
      <c r="B7" s="553">
        <f t="shared" si="0"/>
        <v>44926</v>
      </c>
      <c r="C7" s="553"/>
      <c r="D7" s="553">
        <f t="shared" si="0"/>
        <v>44926</v>
      </c>
      <c r="E7" s="553"/>
      <c r="F7" s="553">
        <f t="shared" si="0"/>
        <v>44926</v>
      </c>
      <c r="G7" s="553">
        <f>CompareDATE</f>
        <v>44561</v>
      </c>
      <c r="H7" s="3"/>
      <c r="J7" s="606">
        <v>44592</v>
      </c>
      <c r="L7" s="606">
        <v>44620</v>
      </c>
      <c r="M7" s="606">
        <v>44620</v>
      </c>
      <c r="O7" s="606">
        <v>44651</v>
      </c>
      <c r="P7" s="606">
        <v>44742</v>
      </c>
      <c r="R7" s="606">
        <v>44681</v>
      </c>
      <c r="S7" s="606">
        <v>44681</v>
      </c>
      <c r="T7" s="606"/>
      <c r="U7" s="606">
        <v>44712</v>
      </c>
      <c r="V7" s="606">
        <v>44742</v>
      </c>
      <c r="W7" s="606">
        <v>44712</v>
      </c>
      <c r="X7" s="606">
        <v>44804</v>
      </c>
      <c r="Y7" s="606">
        <v>44742</v>
      </c>
      <c r="Z7" s="606">
        <v>44742</v>
      </c>
      <c r="AC7" s="606">
        <v>44773</v>
      </c>
      <c r="AD7" s="606">
        <v>44773</v>
      </c>
      <c r="AF7" s="606">
        <v>44804</v>
      </c>
      <c r="AG7" s="606">
        <v>44804</v>
      </c>
      <c r="AH7" s="553">
        <v>44834</v>
      </c>
      <c r="AI7" s="553">
        <v>44834</v>
      </c>
      <c r="AJ7" s="553">
        <v>44834</v>
      </c>
      <c r="AK7" s="606"/>
      <c r="AL7" s="606">
        <v>44865</v>
      </c>
      <c r="AM7" s="606">
        <v>44865</v>
      </c>
      <c r="AN7" s="606"/>
      <c r="AO7" s="606"/>
      <c r="AQ7" s="553">
        <v>44895</v>
      </c>
      <c r="AR7" s="553">
        <v>44895</v>
      </c>
    </row>
    <row r="8" spans="1:51" ht="20.25">
      <c r="B8" s="549" t="s">
        <v>11</v>
      </c>
      <c r="C8" s="549"/>
      <c r="D8" s="549" t="s">
        <v>11</v>
      </c>
      <c r="E8" s="549"/>
      <c r="F8" s="549" t="s">
        <v>11</v>
      </c>
      <c r="G8" s="549" t="s">
        <v>11</v>
      </c>
      <c r="H8" s="3"/>
      <c r="J8" s="600" t="s">
        <v>11</v>
      </c>
      <c r="L8" s="600" t="s">
        <v>11</v>
      </c>
      <c r="M8" s="600" t="s">
        <v>11</v>
      </c>
      <c r="O8" s="600" t="s">
        <v>11</v>
      </c>
      <c r="P8" s="600" t="s">
        <v>11</v>
      </c>
      <c r="R8" s="600" t="s">
        <v>11</v>
      </c>
      <c r="S8" s="600" t="s">
        <v>11</v>
      </c>
      <c r="T8" s="600"/>
      <c r="U8" s="600" t="s">
        <v>11</v>
      </c>
      <c r="V8" s="600" t="s">
        <v>11</v>
      </c>
      <c r="W8" s="600" t="s">
        <v>11</v>
      </c>
      <c r="X8" s="600" t="s">
        <v>11</v>
      </c>
      <c r="Y8" s="600" t="s">
        <v>11</v>
      </c>
      <c r="Z8" s="600" t="s">
        <v>11</v>
      </c>
      <c r="AC8" s="600" t="s">
        <v>11</v>
      </c>
      <c r="AD8" s="600" t="s">
        <v>11</v>
      </c>
      <c r="AF8" s="600" t="s">
        <v>11</v>
      </c>
      <c r="AG8" s="600" t="s">
        <v>11</v>
      </c>
      <c r="AH8" s="549" t="s">
        <v>11</v>
      </c>
      <c r="AI8" s="549" t="s">
        <v>11</v>
      </c>
      <c r="AJ8" s="549" t="s">
        <v>11</v>
      </c>
      <c r="AK8" s="600"/>
      <c r="AL8" s="600" t="s">
        <v>11</v>
      </c>
      <c r="AM8" s="600" t="s">
        <v>11</v>
      </c>
      <c r="AN8" s="600"/>
      <c r="AO8" s="600"/>
      <c r="AQ8" s="549" t="s">
        <v>11</v>
      </c>
      <c r="AR8" s="549" t="s">
        <v>11</v>
      </c>
    </row>
    <row r="9" spans="1:51" ht="12.75">
      <c r="A9"/>
      <c r="B9"/>
      <c r="C9"/>
      <c r="D9"/>
      <c r="E9"/>
      <c r="F9"/>
      <c r="G9"/>
      <c r="L9" s="58"/>
      <c r="M9" s="58"/>
      <c r="O9" s="58"/>
      <c r="P9" s="58"/>
      <c r="R9" s="58"/>
      <c r="S9" s="58"/>
      <c r="T9" s="58"/>
      <c r="U9" s="58"/>
      <c r="V9" s="58"/>
      <c r="W9" s="58"/>
      <c r="X9" s="58"/>
      <c r="Y9" s="58"/>
      <c r="Z9" s="58"/>
      <c r="AC9" s="58"/>
      <c r="AD9" s="58"/>
      <c r="AF9" s="58"/>
      <c r="AG9" s="58"/>
      <c r="AH9"/>
      <c r="AI9"/>
      <c r="AJ9"/>
      <c r="AK9"/>
      <c r="AL9"/>
      <c r="AM9"/>
      <c r="AN9"/>
      <c r="AO9"/>
      <c r="AQ9"/>
      <c r="AR9"/>
    </row>
    <row r="10" spans="1:51">
      <c r="A10" s="7" t="str">
        <f>VLOOKUP(H10,Index!A:B,2,0)</f>
        <v>Salaries and social benefits</v>
      </c>
      <c r="B10" s="39">
        <f>טבלה5[[#This Row],[עמודה4]]-AR10</f>
        <v>845679</v>
      </c>
      <c r="C10" s="39"/>
      <c r="D10" s="39">
        <f>טבלה5[[#This Row],[עמודה4]]-AJ10</f>
        <v>2107456</v>
      </c>
      <c r="E10" s="39"/>
      <c r="F10" s="39">
        <f>-SUMIF(SAP!A:A,H10,SAP!F:F)</f>
        <v>7823748</v>
      </c>
      <c r="G10" s="39">
        <v>4719388</v>
      </c>
      <c r="H10" s="3">
        <v>7000</v>
      </c>
      <c r="J10" s="607">
        <v>556984</v>
      </c>
      <c r="L10" s="306">
        <v>555255</v>
      </c>
      <c r="M10" s="306">
        <v>1112239</v>
      </c>
      <c r="O10" s="306">
        <v>716439</v>
      </c>
      <c r="P10" s="306">
        <v>3683897</v>
      </c>
      <c r="R10" s="306">
        <v>547781</v>
      </c>
      <c r="S10" s="306">
        <v>2376459</v>
      </c>
      <c r="T10" s="306"/>
      <c r="U10" s="306">
        <v>2999454</v>
      </c>
      <c r="V10" s="306">
        <v>3683897</v>
      </c>
      <c r="W10" s="306">
        <v>622995</v>
      </c>
      <c r="X10" s="306">
        <v>4959416</v>
      </c>
      <c r="Y10" s="306">
        <v>684443</v>
      </c>
      <c r="Z10" s="306">
        <v>1855219</v>
      </c>
      <c r="AC10" s="306">
        <v>617593</v>
      </c>
      <c r="AD10" s="306">
        <v>4301490</v>
      </c>
      <c r="AF10" s="306">
        <v>657926</v>
      </c>
      <c r="AG10" s="306">
        <v>4959416</v>
      </c>
      <c r="AH10" s="39">
        <v>756876</v>
      </c>
      <c r="AI10" s="39">
        <v>2032395</v>
      </c>
      <c r="AJ10" s="39">
        <v>5716292</v>
      </c>
      <c r="AK10" s="39"/>
      <c r="AL10" s="39">
        <v>588857</v>
      </c>
      <c r="AM10" s="39">
        <v>6305149</v>
      </c>
      <c r="AN10" s="39"/>
      <c r="AO10" s="39"/>
      <c r="AQ10" s="39">
        <v>672920</v>
      </c>
      <c r="AR10" s="39">
        <v>6978069</v>
      </c>
      <c r="AX10" s="43">
        <f>טבלה5[[#This Row],[עמודה4]]/1000</f>
        <v>7823.7479999999996</v>
      </c>
      <c r="AY10" s="43">
        <f>טבלה5[[#This Row],[עמודה4]]/1000</f>
        <v>7823.7479999999996</v>
      </c>
    </row>
    <row r="11" spans="1:51">
      <c r="A11" s="7" t="str">
        <f>VLOOKUP(H11,Index!A:B,2,0)</f>
        <v>Outsourcing &amp; Consultation</v>
      </c>
      <c r="B11" s="39">
        <f>טבלה5[[#This Row],[עמודה4]]-AR11</f>
        <v>113996</v>
      </c>
      <c r="C11" s="39"/>
      <c r="D11" s="39">
        <f>טבלה5[[#This Row],[עמודה4]]-AJ11</f>
        <v>351588</v>
      </c>
      <c r="E11" s="39"/>
      <c r="F11" s="39">
        <f>-SUMIF(SAP!A:A,H11,SAP!F:F)</f>
        <v>1267597</v>
      </c>
      <c r="G11" s="39">
        <v>1174376</v>
      </c>
      <c r="H11" s="3">
        <v>7001</v>
      </c>
      <c r="J11" s="608">
        <v>99768</v>
      </c>
      <c r="L11" s="306">
        <v>98284</v>
      </c>
      <c r="M11" s="306">
        <v>198052</v>
      </c>
      <c r="O11" s="306">
        <v>97146</v>
      </c>
      <c r="P11" s="306">
        <v>623169</v>
      </c>
      <c r="R11" s="306">
        <v>115746</v>
      </c>
      <c r="S11" s="306">
        <v>410944</v>
      </c>
      <c r="T11" s="306"/>
      <c r="U11" s="306">
        <v>513602</v>
      </c>
      <c r="V11" s="306">
        <v>623169</v>
      </c>
      <c r="W11" s="306">
        <v>102658</v>
      </c>
      <c r="X11" s="306">
        <v>805805</v>
      </c>
      <c r="Y11" s="306">
        <v>109567</v>
      </c>
      <c r="Z11" s="306">
        <v>327971</v>
      </c>
      <c r="AC11" s="306">
        <v>80334</v>
      </c>
      <c r="AD11" s="306">
        <v>703503</v>
      </c>
      <c r="AF11" s="306">
        <v>102302</v>
      </c>
      <c r="AG11" s="306">
        <v>805805</v>
      </c>
      <c r="AH11" s="39">
        <v>110204</v>
      </c>
      <c r="AI11" s="39">
        <v>292840</v>
      </c>
      <c r="AJ11" s="39">
        <v>916009</v>
      </c>
      <c r="AK11" s="39"/>
      <c r="AL11" s="39">
        <v>88950</v>
      </c>
      <c r="AM11" s="39">
        <v>1004959</v>
      </c>
      <c r="AN11" s="39"/>
      <c r="AO11" s="39"/>
      <c r="AQ11" s="39">
        <v>148642</v>
      </c>
      <c r="AR11" s="39">
        <v>1153601</v>
      </c>
      <c r="AX11" s="43">
        <f>טבלה5[[#This Row],[עמודה4]]/1000</f>
        <v>1267.597</v>
      </c>
      <c r="AY11" s="43">
        <f>טבלה5[[#This Row],[עמודה4]]/1000</f>
        <v>1267.597</v>
      </c>
    </row>
    <row r="12" spans="1:51" ht="17.25">
      <c r="A12" s="7" t="str">
        <f>VLOOKUP(H12,Index!A:B,2,0)</f>
        <v>Communication &amp; Computer Maintenance</v>
      </c>
      <c r="B12" s="94">
        <f>טבלה5[[#This Row],[עמודה4]]-AR12</f>
        <v>29319</v>
      </c>
      <c r="C12" s="94"/>
      <c r="D12" s="94">
        <f>טבלה5[[#This Row],[עמודה4]]-AJ12</f>
        <v>121318</v>
      </c>
      <c r="E12" s="94"/>
      <c r="F12" s="94">
        <f>-SUMIF(SAP!A:A,H12,SAP!F:F)</f>
        <v>512228</v>
      </c>
      <c r="G12" s="94">
        <v>426171</v>
      </c>
      <c r="H12" s="3">
        <v>7002</v>
      </c>
      <c r="J12" s="609">
        <v>23576</v>
      </c>
      <c r="L12" s="303">
        <v>17179</v>
      </c>
      <c r="M12" s="303">
        <v>40755</v>
      </c>
      <c r="O12" s="303">
        <v>20838</v>
      </c>
      <c r="P12" s="303">
        <v>167105</v>
      </c>
      <c r="R12" s="303">
        <v>29724</v>
      </c>
      <c r="S12" s="303">
        <v>91317</v>
      </c>
      <c r="T12" s="303"/>
      <c r="U12" s="303">
        <v>132728</v>
      </c>
      <c r="V12" s="303">
        <v>167105</v>
      </c>
      <c r="W12" s="303">
        <v>41411</v>
      </c>
      <c r="X12" s="303">
        <v>284654</v>
      </c>
      <c r="Y12" s="303">
        <v>34377</v>
      </c>
      <c r="Z12" s="303">
        <v>105512</v>
      </c>
      <c r="AC12" s="303">
        <v>40426</v>
      </c>
      <c r="AD12" s="303">
        <v>207531</v>
      </c>
      <c r="AF12" s="303">
        <v>77123</v>
      </c>
      <c r="AG12" s="303">
        <v>284654</v>
      </c>
      <c r="AH12" s="94">
        <v>106256</v>
      </c>
      <c r="AI12" s="94">
        <v>223805</v>
      </c>
      <c r="AJ12" s="94">
        <v>390910</v>
      </c>
      <c r="AK12" s="94"/>
      <c r="AL12" s="94">
        <v>20807</v>
      </c>
      <c r="AM12" s="94">
        <v>411717</v>
      </c>
      <c r="AN12" s="94"/>
      <c r="AO12" s="94"/>
      <c r="AQ12" s="94">
        <v>71192</v>
      </c>
      <c r="AR12" s="94">
        <v>482909</v>
      </c>
      <c r="AX12" s="43">
        <f>טבלה5[[#This Row],[עמודה4]]/1000</f>
        <v>512.22799999999995</v>
      </c>
      <c r="AY12" s="43">
        <f>טבלה5[[#This Row],[עמודה4]]/1000</f>
        <v>512.22799999999995</v>
      </c>
    </row>
    <row r="13" spans="1:51" ht="17.25" hidden="1">
      <c r="A13" s="7" t="str">
        <f>VLOOKUP(H13,Index!A:B,2,0)</f>
        <v>Travel Abroad</v>
      </c>
      <c r="B13" s="94">
        <f>F13-J13</f>
        <v>0</v>
      </c>
      <c r="C13" s="94"/>
      <c r="D13" s="94"/>
      <c r="E13" s="94"/>
      <c r="F13" s="94">
        <f>-SUMIF(SAP!A:A,H13,SAP!F:F)</f>
        <v>0</v>
      </c>
      <c r="G13" s="94"/>
      <c r="H13" s="3">
        <v>7007</v>
      </c>
      <c r="J13" s="607">
        <v>0</v>
      </c>
      <c r="L13" s="303">
        <v>0</v>
      </c>
      <c r="M13" s="303">
        <v>0</v>
      </c>
      <c r="O13" s="303">
        <v>0</v>
      </c>
      <c r="P13" s="303">
        <v>0</v>
      </c>
      <c r="R13" s="303">
        <v>0</v>
      </c>
      <c r="S13" s="303">
        <v>0</v>
      </c>
      <c r="T13" s="303"/>
      <c r="U13" s="303">
        <v>0</v>
      </c>
      <c r="V13" s="303">
        <v>0</v>
      </c>
      <c r="W13" s="303">
        <v>0</v>
      </c>
      <c r="X13" s="303">
        <v>0</v>
      </c>
      <c r="Y13" s="303">
        <v>0</v>
      </c>
      <c r="Z13" s="303"/>
      <c r="AC13" s="303">
        <v>0</v>
      </c>
      <c r="AD13" s="303">
        <v>0</v>
      </c>
      <c r="AF13" s="303">
        <v>0</v>
      </c>
      <c r="AG13" s="303">
        <v>0</v>
      </c>
      <c r="AH13" s="94">
        <v>0</v>
      </c>
      <c r="AI13" s="94"/>
      <c r="AJ13" s="94">
        <v>0</v>
      </c>
      <c r="AK13" s="94"/>
      <c r="AL13" s="94">
        <v>0</v>
      </c>
      <c r="AM13" s="94">
        <v>0</v>
      </c>
      <c r="AN13" s="94"/>
      <c r="AO13" s="94"/>
      <c r="AQ13" s="94">
        <v>0</v>
      </c>
      <c r="AR13" s="94">
        <v>0</v>
      </c>
      <c r="AX13" s="43">
        <f>טבלה5[[#This Row],[עמודה4]]/1000</f>
        <v>0</v>
      </c>
      <c r="AY13" s="43">
        <f>טבלה5[[#This Row],[עמודה4]]/1000</f>
        <v>0</v>
      </c>
    </row>
    <row r="14" spans="1:51" ht="18">
      <c r="B14" s="97">
        <f>SUM(B10:B13)</f>
        <v>988994</v>
      </c>
      <c r="C14" s="97">
        <f t="shared" ref="C14:D14" si="1">SUM(C10:C13)</f>
        <v>0</v>
      </c>
      <c r="D14" s="97">
        <f t="shared" si="1"/>
        <v>2580362</v>
      </c>
      <c r="E14" s="233"/>
      <c r="F14" s="97">
        <f>SUM(F10:F13)</f>
        <v>9603573</v>
      </c>
      <c r="G14" s="97">
        <f>SUM(G10:G13)</f>
        <v>6319935</v>
      </c>
      <c r="H14" s="3"/>
      <c r="J14" s="233">
        <v>680328</v>
      </c>
      <c r="L14" s="233">
        <v>670718</v>
      </c>
      <c r="M14" s="233">
        <v>1351046</v>
      </c>
      <c r="O14" s="233">
        <v>834423</v>
      </c>
      <c r="P14" s="233">
        <v>4474171</v>
      </c>
      <c r="R14" s="233">
        <v>693251</v>
      </c>
      <c r="S14" s="233">
        <v>2878720</v>
      </c>
      <c r="T14" s="233"/>
      <c r="U14" s="233">
        <v>3645784</v>
      </c>
      <c r="V14" s="233">
        <v>4474171</v>
      </c>
      <c r="W14" s="233">
        <v>767064</v>
      </c>
      <c r="X14" s="233">
        <v>6049875</v>
      </c>
      <c r="Y14" s="233">
        <v>828387</v>
      </c>
      <c r="Z14" s="233">
        <v>2288702</v>
      </c>
      <c r="AC14" s="233">
        <v>738353</v>
      </c>
      <c r="AD14" s="233">
        <v>5212524</v>
      </c>
      <c r="AF14" s="233">
        <v>837351</v>
      </c>
      <c r="AG14" s="233">
        <v>6049875</v>
      </c>
      <c r="AH14" s="97">
        <v>973336</v>
      </c>
      <c r="AI14" s="97">
        <v>2549040</v>
      </c>
      <c r="AJ14" s="97">
        <v>7023211</v>
      </c>
      <c r="AK14" s="97"/>
      <c r="AL14" s="97">
        <v>698614</v>
      </c>
      <c r="AM14" s="97">
        <v>7721825</v>
      </c>
      <c r="AN14" s="97"/>
      <c r="AO14" s="97"/>
      <c r="AQ14" s="97">
        <v>892754</v>
      </c>
      <c r="AR14" s="97">
        <v>8614579</v>
      </c>
      <c r="AX14" s="43">
        <f>טבלה5[[#This Row],[עמודה4]]/1000</f>
        <v>9603.5730000000003</v>
      </c>
      <c r="AY14" s="43">
        <f>טבלה5[[#This Row],[עמודה4]]/1000</f>
        <v>9603.5730000000003</v>
      </c>
    </row>
    <row r="15" spans="1:51" ht="17.25">
      <c r="B15" s="234">
        <f>B14-'P&amp;L'!D19</f>
        <v>0</v>
      </c>
      <c r="C15" s="234"/>
      <c r="D15" s="234">
        <f>D14-'P&amp;L'!F19</f>
        <v>0</v>
      </c>
      <c r="E15" s="234"/>
      <c r="F15" s="234">
        <f>F14-'P&amp;L'!H19</f>
        <v>0</v>
      </c>
      <c r="G15" s="234">
        <f>G14-'P&amp;L'!I19</f>
        <v>0</v>
      </c>
      <c r="H15" s="3"/>
      <c r="J15" s="609"/>
      <c r="L15" s="616"/>
      <c r="M15" s="616"/>
      <c r="O15" s="616"/>
      <c r="P15" s="616">
        <v>0</v>
      </c>
      <c r="R15" s="616"/>
      <c r="S15" s="616">
        <v>0</v>
      </c>
      <c r="T15" s="616"/>
      <c r="U15" s="616">
        <v>0</v>
      </c>
      <c r="V15" s="616">
        <v>0</v>
      </c>
      <c r="W15" s="616">
        <v>0</v>
      </c>
      <c r="X15" s="616">
        <v>0</v>
      </c>
      <c r="Y15" s="616">
        <v>0</v>
      </c>
      <c r="Z15" s="616">
        <v>0</v>
      </c>
      <c r="AC15" s="616">
        <v>0</v>
      </c>
      <c r="AD15" s="616">
        <v>0</v>
      </c>
      <c r="AF15" s="616">
        <v>0</v>
      </c>
      <c r="AG15" s="616">
        <v>0</v>
      </c>
      <c r="AH15" s="234">
        <v>0</v>
      </c>
      <c r="AI15" s="234">
        <v>0</v>
      </c>
      <c r="AJ15" s="234">
        <v>0</v>
      </c>
      <c r="AK15" s="234"/>
      <c r="AL15" s="234">
        <v>0</v>
      </c>
      <c r="AM15" s="234">
        <v>0</v>
      </c>
      <c r="AN15" s="234"/>
      <c r="AO15" s="234"/>
      <c r="AQ15" s="234">
        <v>0</v>
      </c>
      <c r="AR15" s="234">
        <v>0</v>
      </c>
      <c r="AX15" s="43">
        <f>טבלה5[[#This Row],[עמודה4]]/1000</f>
        <v>0</v>
      </c>
      <c r="AY15" s="43">
        <f>טבלה5[[#This Row],[עמודה4]]/1000</f>
        <v>0</v>
      </c>
    </row>
    <row r="16" spans="1:51">
      <c r="B16" s="234"/>
      <c r="C16" s="234"/>
      <c r="D16" s="234"/>
      <c r="E16" s="234"/>
      <c r="F16" s="234"/>
      <c r="G16" s="234"/>
      <c r="H16" s="3"/>
      <c r="J16" s="607"/>
      <c r="L16" s="616"/>
      <c r="M16" s="616"/>
      <c r="O16" s="616"/>
      <c r="P16" s="616"/>
      <c r="R16" s="616"/>
      <c r="S16" s="616"/>
      <c r="T16" s="616"/>
      <c r="U16" s="616"/>
      <c r="V16" s="616"/>
      <c r="W16" s="616"/>
      <c r="X16" s="616"/>
      <c r="Y16" s="616"/>
      <c r="Z16" s="616"/>
      <c r="AC16" s="616"/>
      <c r="AD16" s="616"/>
      <c r="AF16" s="616"/>
      <c r="AG16" s="616"/>
      <c r="AH16" s="234"/>
      <c r="AI16" s="234"/>
      <c r="AJ16" s="234"/>
      <c r="AK16" s="234"/>
      <c r="AL16" s="234"/>
      <c r="AM16" s="234"/>
      <c r="AN16" s="234"/>
      <c r="AO16" s="234"/>
      <c r="AQ16" s="234"/>
      <c r="AR16" s="234"/>
      <c r="AX16" s="43">
        <f>טבלה5[[#This Row],[עמודה4]]/1000</f>
        <v>0</v>
      </c>
      <c r="AY16" s="43">
        <f>טבלה5[[#This Row],[עמודה4]]/1000</f>
        <v>0</v>
      </c>
    </row>
    <row r="17" spans="1:51" ht="15.75">
      <c r="A17" s="11" t="s">
        <v>467</v>
      </c>
      <c r="B17" s="234"/>
      <c r="C17" s="234"/>
      <c r="D17" s="234"/>
      <c r="E17" s="234"/>
      <c r="F17" s="234"/>
      <c r="G17" s="234"/>
      <c r="H17" s="3"/>
      <c r="J17" s="608"/>
      <c r="L17" s="616"/>
      <c r="M17" s="616"/>
      <c r="O17" s="616"/>
      <c r="P17" s="616"/>
      <c r="R17" s="616"/>
      <c r="S17" s="616"/>
      <c r="T17" s="616"/>
      <c r="U17" s="616"/>
      <c r="V17" s="616"/>
      <c r="W17" s="616"/>
      <c r="X17" s="616"/>
      <c r="Y17" s="616"/>
      <c r="Z17" s="616"/>
      <c r="AC17" s="616"/>
      <c r="AD17" s="616"/>
      <c r="AF17" s="616"/>
      <c r="AG17" s="616"/>
      <c r="AH17" s="234"/>
      <c r="AI17" s="234"/>
      <c r="AJ17" s="234"/>
      <c r="AK17" s="234"/>
      <c r="AL17" s="234"/>
      <c r="AM17" s="234"/>
      <c r="AN17" s="234"/>
      <c r="AO17" s="234"/>
      <c r="AQ17" s="234"/>
      <c r="AR17" s="234"/>
      <c r="AX17" s="43">
        <f>טבלה5[[#This Row],[עמודה4]]/1000</f>
        <v>0</v>
      </c>
      <c r="AY17" s="43">
        <f>טבלה5[[#This Row],[עמודה4]]/1000</f>
        <v>0</v>
      </c>
    </row>
    <row r="18" spans="1:51" ht="15.75">
      <c r="B18" s="551" t="str">
        <f>B5</f>
        <v>MTD</v>
      </c>
      <c r="C18" s="551"/>
      <c r="D18" s="551" t="s">
        <v>159</v>
      </c>
      <c r="E18" s="551"/>
      <c r="F18" s="551" t="s">
        <v>125</v>
      </c>
      <c r="G18" s="551" t="s">
        <v>125</v>
      </c>
      <c r="H18" s="3"/>
      <c r="J18" s="598" t="s">
        <v>125</v>
      </c>
      <c r="L18" s="598" t="s">
        <v>710</v>
      </c>
      <c r="M18" s="598" t="s">
        <v>125</v>
      </c>
      <c r="O18" s="598" t="s">
        <v>710</v>
      </c>
      <c r="P18" s="598" t="s">
        <v>125</v>
      </c>
      <c r="R18" s="598" t="s">
        <v>710</v>
      </c>
      <c r="S18" s="598" t="s">
        <v>125</v>
      </c>
      <c r="T18" s="598"/>
      <c r="U18" s="598" t="s">
        <v>125</v>
      </c>
      <c r="V18" s="598" t="s">
        <v>125</v>
      </c>
      <c r="W18" s="598" t="s">
        <v>710</v>
      </c>
      <c r="X18" s="598" t="s">
        <v>125</v>
      </c>
      <c r="Y18" s="598" t="s">
        <v>710</v>
      </c>
      <c r="Z18" s="598" t="s">
        <v>159</v>
      </c>
      <c r="AC18" s="598" t="s">
        <v>710</v>
      </c>
      <c r="AD18" s="598" t="s">
        <v>125</v>
      </c>
      <c r="AF18" s="598" t="s">
        <v>710</v>
      </c>
      <c r="AG18" s="598" t="s">
        <v>125</v>
      </c>
      <c r="AH18" s="551" t="s">
        <v>710</v>
      </c>
      <c r="AI18" s="551" t="s">
        <v>159</v>
      </c>
      <c r="AJ18" s="551" t="s">
        <v>125</v>
      </c>
      <c r="AK18" s="598"/>
      <c r="AL18" s="598" t="s">
        <v>710</v>
      </c>
      <c r="AM18" s="598" t="s">
        <v>125</v>
      </c>
      <c r="AN18" s="598"/>
      <c r="AO18" s="598"/>
      <c r="AQ18" s="551" t="s">
        <v>710</v>
      </c>
      <c r="AR18" s="551" t="s">
        <v>125</v>
      </c>
      <c r="AX18" s="43"/>
      <c r="AY18" s="43"/>
    </row>
    <row r="19" spans="1:51" ht="15.75">
      <c r="B19" s="552">
        <f t="shared" ref="B19:F20" si="2">DATE</f>
        <v>44926</v>
      </c>
      <c r="C19" s="552"/>
      <c r="D19" s="552">
        <f t="shared" ref="D19:D20" si="3">DATE</f>
        <v>44926</v>
      </c>
      <c r="E19" s="552"/>
      <c r="F19" s="552">
        <f t="shared" si="2"/>
        <v>44926</v>
      </c>
      <c r="G19" s="552">
        <v>43830</v>
      </c>
      <c r="H19" s="3"/>
      <c r="J19" s="598">
        <v>44592</v>
      </c>
      <c r="L19" s="598">
        <v>44620</v>
      </c>
      <c r="M19" s="598">
        <v>44620</v>
      </c>
      <c r="O19" s="598">
        <v>44651</v>
      </c>
      <c r="P19" s="598">
        <v>44742</v>
      </c>
      <c r="R19" s="598">
        <v>44681</v>
      </c>
      <c r="S19" s="598">
        <v>44681</v>
      </c>
      <c r="T19" s="598"/>
      <c r="U19" s="598">
        <v>44712</v>
      </c>
      <c r="V19" s="598">
        <v>44742</v>
      </c>
      <c r="W19" s="598">
        <v>44712</v>
      </c>
      <c r="X19" s="598">
        <v>44804</v>
      </c>
      <c r="Y19" s="598">
        <v>44742</v>
      </c>
      <c r="Z19" s="598">
        <v>44742</v>
      </c>
      <c r="AC19" s="598">
        <v>44773</v>
      </c>
      <c r="AD19" s="598">
        <v>44773</v>
      </c>
      <c r="AF19" s="598">
        <v>44804</v>
      </c>
      <c r="AG19" s="598">
        <v>44804</v>
      </c>
      <c r="AH19" s="552">
        <v>44834</v>
      </c>
      <c r="AI19" s="552">
        <v>44834</v>
      </c>
      <c r="AJ19" s="552">
        <v>44834</v>
      </c>
      <c r="AK19" s="598"/>
      <c r="AL19" s="598">
        <v>44865</v>
      </c>
      <c r="AM19" s="598">
        <v>44865</v>
      </c>
      <c r="AN19" s="598"/>
      <c r="AO19" s="598"/>
      <c r="AQ19" s="552">
        <v>44895</v>
      </c>
      <c r="AR19" s="552">
        <v>44895</v>
      </c>
      <c r="AX19" s="43"/>
      <c r="AY19" s="43"/>
    </row>
    <row r="20" spans="1:51" ht="15.75">
      <c r="B20" s="553">
        <f t="shared" si="2"/>
        <v>44926</v>
      </c>
      <c r="C20" s="553"/>
      <c r="D20" s="553">
        <f t="shared" si="3"/>
        <v>44926</v>
      </c>
      <c r="E20" s="553"/>
      <c r="F20" s="553">
        <f t="shared" si="2"/>
        <v>44926</v>
      </c>
      <c r="G20" s="553">
        <f>CompareDATE</f>
        <v>44561</v>
      </c>
      <c r="H20" s="3"/>
      <c r="J20" s="606">
        <v>44592</v>
      </c>
      <c r="L20" s="606">
        <v>44620</v>
      </c>
      <c r="M20" s="606">
        <v>44620</v>
      </c>
      <c r="O20" s="606">
        <v>44651</v>
      </c>
      <c r="P20" s="606">
        <v>44742</v>
      </c>
      <c r="R20" s="606">
        <v>44681</v>
      </c>
      <c r="S20" s="606">
        <v>44681</v>
      </c>
      <c r="T20" s="606"/>
      <c r="U20" s="606">
        <v>44712</v>
      </c>
      <c r="V20" s="606">
        <v>44742</v>
      </c>
      <c r="W20" s="606">
        <v>44712</v>
      </c>
      <c r="X20" s="606">
        <v>44804</v>
      </c>
      <c r="Y20" s="606">
        <v>44742</v>
      </c>
      <c r="Z20" s="606">
        <v>44742</v>
      </c>
      <c r="AC20" s="606">
        <v>44773</v>
      </c>
      <c r="AD20" s="606">
        <v>44773</v>
      </c>
      <c r="AF20" s="606">
        <v>44804</v>
      </c>
      <c r="AG20" s="606">
        <v>44804</v>
      </c>
      <c r="AH20" s="553">
        <v>44834</v>
      </c>
      <c r="AI20" s="553">
        <v>44834</v>
      </c>
      <c r="AJ20" s="553">
        <v>44834</v>
      </c>
      <c r="AK20" s="606"/>
      <c r="AL20" s="606">
        <v>44865</v>
      </c>
      <c r="AM20" s="606">
        <v>44865</v>
      </c>
      <c r="AN20" s="606"/>
      <c r="AO20" s="606"/>
      <c r="AQ20" s="553">
        <v>44895</v>
      </c>
      <c r="AR20" s="553">
        <v>44895</v>
      </c>
      <c r="AX20" s="43"/>
      <c r="AY20" s="43"/>
    </row>
    <row r="21" spans="1:51" ht="20.25">
      <c r="B21" s="549" t="s">
        <v>11</v>
      </c>
      <c r="C21" s="549"/>
      <c r="D21" s="549" t="s">
        <v>11</v>
      </c>
      <c r="E21" s="549"/>
      <c r="F21" s="549" t="s">
        <v>11</v>
      </c>
      <c r="G21" s="549" t="s">
        <v>11</v>
      </c>
      <c r="H21" s="3"/>
      <c r="J21" s="600" t="s">
        <v>11</v>
      </c>
      <c r="L21" s="600" t="s">
        <v>11</v>
      </c>
      <c r="M21" s="600" t="s">
        <v>11</v>
      </c>
      <c r="O21" s="600" t="s">
        <v>11</v>
      </c>
      <c r="P21" s="600" t="s">
        <v>11</v>
      </c>
      <c r="R21" s="600" t="s">
        <v>11</v>
      </c>
      <c r="S21" s="600" t="s">
        <v>11</v>
      </c>
      <c r="T21" s="600"/>
      <c r="U21" s="600" t="s">
        <v>11</v>
      </c>
      <c r="V21" s="600" t="s">
        <v>11</v>
      </c>
      <c r="W21" s="600" t="s">
        <v>11</v>
      </c>
      <c r="X21" s="600" t="s">
        <v>11</v>
      </c>
      <c r="Y21" s="600" t="s">
        <v>11</v>
      </c>
      <c r="Z21" s="600" t="s">
        <v>11</v>
      </c>
      <c r="AC21" s="600" t="s">
        <v>11</v>
      </c>
      <c r="AD21" s="600" t="s">
        <v>11</v>
      </c>
      <c r="AF21" s="600" t="s">
        <v>11</v>
      </c>
      <c r="AG21" s="600" t="s">
        <v>11</v>
      </c>
      <c r="AH21" s="549" t="s">
        <v>11</v>
      </c>
      <c r="AI21" s="549" t="s">
        <v>11</v>
      </c>
      <c r="AJ21" s="549" t="s">
        <v>11</v>
      </c>
      <c r="AK21" s="600"/>
      <c r="AL21" s="600" t="s">
        <v>11</v>
      </c>
      <c r="AM21" s="600" t="s">
        <v>11</v>
      </c>
      <c r="AN21" s="600"/>
      <c r="AO21" s="600"/>
      <c r="AQ21" s="549" t="s">
        <v>11</v>
      </c>
      <c r="AR21" s="549" t="s">
        <v>11</v>
      </c>
      <c r="AX21" s="43"/>
      <c r="AY21" s="43"/>
    </row>
    <row r="22" spans="1:51">
      <c r="A22" s="7" t="str">
        <f>VLOOKUP(H22,Index!A:B,2,0)</f>
        <v>Salaries and social benefits</v>
      </c>
      <c r="B22" s="39">
        <f>טבלה5[[#This Row],[עמודה4]]-AR22</f>
        <v>-136286</v>
      </c>
      <c r="C22" s="39"/>
      <c r="D22" s="39">
        <f>טבלה5[[#This Row],[עמודה4]]-AJ22</f>
        <v>4244</v>
      </c>
      <c r="E22" s="39"/>
      <c r="F22" s="39">
        <f>-SUMIF(SAP!A:A,H22,SAP!F:F)</f>
        <v>639847</v>
      </c>
      <c r="G22" s="39">
        <v>873229</v>
      </c>
      <c r="H22" s="3">
        <v>7020</v>
      </c>
      <c r="J22" s="607">
        <v>57074</v>
      </c>
      <c r="L22" s="306">
        <v>57576</v>
      </c>
      <c r="M22" s="306">
        <v>114650</v>
      </c>
      <c r="O22" s="306">
        <v>104488</v>
      </c>
      <c r="P22" s="306">
        <v>423716</v>
      </c>
      <c r="R22" s="306">
        <v>52542</v>
      </c>
      <c r="S22" s="306">
        <v>271680</v>
      </c>
      <c r="T22" s="306"/>
      <c r="U22" s="306">
        <v>321569</v>
      </c>
      <c r="V22" s="306">
        <v>423716</v>
      </c>
      <c r="W22" s="306">
        <v>49889</v>
      </c>
      <c r="X22" s="306">
        <v>522265</v>
      </c>
      <c r="Y22" s="306">
        <v>102147</v>
      </c>
      <c r="Z22" s="306">
        <v>204578</v>
      </c>
      <c r="AC22" s="306">
        <v>53348</v>
      </c>
      <c r="AD22" s="306">
        <v>477064</v>
      </c>
      <c r="AF22" s="306">
        <v>45201</v>
      </c>
      <c r="AG22" s="306">
        <v>522265</v>
      </c>
      <c r="AH22" s="39">
        <v>113338</v>
      </c>
      <c r="AI22" s="39">
        <v>211887</v>
      </c>
      <c r="AJ22" s="39">
        <v>635603</v>
      </c>
      <c r="AK22" s="39"/>
      <c r="AL22" s="39">
        <v>59805</v>
      </c>
      <c r="AM22" s="39">
        <v>695408</v>
      </c>
      <c r="AN22" s="39"/>
      <c r="AO22" s="39"/>
      <c r="AQ22" s="39">
        <v>80725</v>
      </c>
      <c r="AR22" s="39">
        <v>776133</v>
      </c>
      <c r="AX22" s="43">
        <f>טבלה5[[#This Row],[עמודה4]]/1000</f>
        <v>639.84699999999998</v>
      </c>
      <c r="AY22" s="43">
        <f>טבלה5[[#This Row],[עמודה4]]/1000</f>
        <v>639.84699999999998</v>
      </c>
    </row>
    <row r="23" spans="1:51">
      <c r="A23" s="7" t="str">
        <f>VLOOKUP(H23,Index!A:B,2,0)</f>
        <v>Marketing exepences</v>
      </c>
      <c r="B23" s="39">
        <f>טבלה5[[#This Row],[עמודה4]]-AR23</f>
        <v>48402</v>
      </c>
      <c r="C23" s="39"/>
      <c r="D23" s="39">
        <f>טבלה5[[#This Row],[עמודה4]]-AJ23</f>
        <v>142440</v>
      </c>
      <c r="E23" s="39"/>
      <c r="F23" s="39">
        <f>-SUMIF(SAP!A:A,H23,SAP!F:F)</f>
        <v>471153</v>
      </c>
      <c r="G23" s="39">
        <v>327480</v>
      </c>
      <c r="H23" s="3">
        <v>7021</v>
      </c>
      <c r="J23" s="608">
        <v>34927</v>
      </c>
      <c r="L23" s="306">
        <v>31174</v>
      </c>
      <c r="M23" s="306">
        <v>66101</v>
      </c>
      <c r="O23" s="306">
        <v>46352</v>
      </c>
      <c r="P23" s="306">
        <v>196784</v>
      </c>
      <c r="R23" s="306">
        <v>33730</v>
      </c>
      <c r="S23" s="306">
        <v>146183</v>
      </c>
      <c r="T23" s="306"/>
      <c r="U23" s="306">
        <v>181038</v>
      </c>
      <c r="V23" s="306">
        <v>196784</v>
      </c>
      <c r="W23" s="306">
        <v>34855</v>
      </c>
      <c r="X23" s="306">
        <v>295018</v>
      </c>
      <c r="Y23" s="306">
        <v>15746</v>
      </c>
      <c r="Z23" s="306">
        <v>84331</v>
      </c>
      <c r="AC23" s="306">
        <v>46614</v>
      </c>
      <c r="AD23" s="306">
        <v>243398</v>
      </c>
      <c r="AF23" s="306">
        <v>51620</v>
      </c>
      <c r="AG23" s="306">
        <v>295018</v>
      </c>
      <c r="AH23" s="39">
        <v>33695</v>
      </c>
      <c r="AI23" s="39">
        <v>131929</v>
      </c>
      <c r="AJ23" s="39">
        <v>328713</v>
      </c>
      <c r="AK23" s="39"/>
      <c r="AL23" s="39">
        <v>38444</v>
      </c>
      <c r="AM23" s="39">
        <v>367157</v>
      </c>
      <c r="AN23" s="39"/>
      <c r="AO23" s="39"/>
      <c r="AQ23" s="39">
        <v>55594</v>
      </c>
      <c r="AR23" s="39">
        <v>422751</v>
      </c>
      <c r="AX23" s="43">
        <f>טבלה5[[#This Row],[עמודה4]]/1000</f>
        <v>471.15300000000002</v>
      </c>
      <c r="AY23" s="43">
        <f>טבלה5[[#This Row],[עמודה4]]/1000</f>
        <v>471.15300000000002</v>
      </c>
    </row>
    <row r="24" spans="1:51">
      <c r="A24" s="7" t="str">
        <f>VLOOKUP(H24,Index!A:B,2,0)</f>
        <v>Conference and shows</v>
      </c>
      <c r="B24" s="39">
        <f>טבלה5[[#This Row],[עמודה4]]-AR24</f>
        <v>27054</v>
      </c>
      <c r="C24" s="39"/>
      <c r="D24" s="39">
        <f>טבלה5[[#This Row],[עמודה4]]-AJ24</f>
        <v>49686</v>
      </c>
      <c r="E24" s="39"/>
      <c r="F24" s="39">
        <f>-SUMIF(SAP!A:A,H24,SAP!F:F)</f>
        <v>75712</v>
      </c>
      <c r="G24" s="39">
        <v>16541</v>
      </c>
      <c r="H24" s="3">
        <v>7022</v>
      </c>
      <c r="J24" s="604">
        <f>-SUMIF(SAP!E:E,L24,SAP!J:J)</f>
        <v>0</v>
      </c>
      <c r="L24" s="306">
        <v>0</v>
      </c>
      <c r="M24" s="306">
        <v>0</v>
      </c>
      <c r="O24" s="306">
        <v>0</v>
      </c>
      <c r="P24" s="306">
        <v>24411</v>
      </c>
      <c r="R24" s="306">
        <v>16699</v>
      </c>
      <c r="S24" s="306">
        <v>16699</v>
      </c>
      <c r="T24" s="306"/>
      <c r="U24" s="306">
        <v>17844</v>
      </c>
      <c r="V24" s="306">
        <v>24411</v>
      </c>
      <c r="W24" s="306">
        <v>1145</v>
      </c>
      <c r="X24" s="306">
        <v>25332</v>
      </c>
      <c r="Y24" s="306">
        <v>6567</v>
      </c>
      <c r="Z24" s="306">
        <v>24411</v>
      </c>
      <c r="AC24" s="304">
        <v>-3838</v>
      </c>
      <c r="AD24" s="304">
        <v>20573</v>
      </c>
      <c r="AF24" s="304">
        <v>4759</v>
      </c>
      <c r="AG24" s="304">
        <v>25332</v>
      </c>
      <c r="AH24" s="36">
        <v>694</v>
      </c>
      <c r="AI24" s="36">
        <v>1615</v>
      </c>
      <c r="AJ24" s="36">
        <v>26026</v>
      </c>
      <c r="AK24" s="36"/>
      <c r="AL24" s="36">
        <v>9219</v>
      </c>
      <c r="AM24" s="36">
        <v>35245</v>
      </c>
      <c r="AN24" s="36"/>
      <c r="AO24" s="36"/>
      <c r="AQ24" s="36">
        <v>13413</v>
      </c>
      <c r="AR24" s="36">
        <v>48658</v>
      </c>
      <c r="AX24" s="43">
        <f>טבלה5[[#This Row],[עמודה4]]/1000</f>
        <v>75.712000000000003</v>
      </c>
      <c r="AY24" s="43">
        <f>טבלה5[[#This Row],[עמודה4]]/1000</f>
        <v>75.712000000000003</v>
      </c>
    </row>
    <row r="25" spans="1:51" hidden="1">
      <c r="A25" s="7" t="str">
        <f>VLOOKUP(H25,Index!A:B,2,0)</f>
        <v>Subcontructors GMBH</v>
      </c>
      <c r="B25" s="39">
        <f>טבלה5[[#This Row],[עמודה4]]-AR25</f>
        <v>0</v>
      </c>
      <c r="C25" s="39"/>
      <c r="D25" s="39">
        <f>טבלה5[[#This Row],[עמודה4]]-AJ25</f>
        <v>0</v>
      </c>
      <c r="E25" s="39"/>
      <c r="F25" s="39">
        <f>-SUMIF(SAP!A:A,H25,SAP!F:F)</f>
        <v>0</v>
      </c>
      <c r="G25" s="39">
        <v>0</v>
      </c>
      <c r="H25" s="3">
        <v>7023</v>
      </c>
      <c r="J25" s="610">
        <f>-SUMIF(SAP!E:E,L25,SAP!J:J)</f>
        <v>0</v>
      </c>
      <c r="L25" s="306">
        <v>0</v>
      </c>
      <c r="M25" s="306">
        <v>0</v>
      </c>
      <c r="O25" s="306">
        <v>0</v>
      </c>
      <c r="P25" s="306">
        <v>0</v>
      </c>
      <c r="R25" s="306">
        <v>0</v>
      </c>
      <c r="S25" s="306">
        <v>0</v>
      </c>
      <c r="T25" s="306"/>
      <c r="U25" s="306">
        <v>0</v>
      </c>
      <c r="V25" s="306">
        <v>0</v>
      </c>
      <c r="W25" s="306">
        <v>0</v>
      </c>
      <c r="X25" s="306">
        <v>0</v>
      </c>
      <c r="Y25" s="306">
        <v>0</v>
      </c>
      <c r="Z25" s="306">
        <v>0</v>
      </c>
      <c r="AC25" s="306">
        <v>0</v>
      </c>
      <c r="AD25" s="306">
        <v>0</v>
      </c>
      <c r="AF25" s="306">
        <v>0</v>
      </c>
      <c r="AG25" s="306">
        <v>0</v>
      </c>
      <c r="AH25" s="39">
        <v>0</v>
      </c>
      <c r="AI25" s="39">
        <v>0</v>
      </c>
      <c r="AJ25" s="39">
        <v>0</v>
      </c>
      <c r="AK25" s="39"/>
      <c r="AL25" s="39">
        <v>0</v>
      </c>
      <c r="AM25" s="39">
        <v>0</v>
      </c>
      <c r="AN25" s="39"/>
      <c r="AO25" s="39"/>
      <c r="AQ25" s="39">
        <v>0</v>
      </c>
      <c r="AR25" s="39">
        <v>0</v>
      </c>
      <c r="AX25" s="43">
        <f>טבלה5[[#This Row],[עמודה4]]/1000</f>
        <v>0</v>
      </c>
      <c r="AY25" s="43">
        <f>טבלה5[[#This Row],[עמודה4]]/1000</f>
        <v>0</v>
      </c>
    </row>
    <row r="26" spans="1:51">
      <c r="A26" s="7" t="str">
        <f>VLOOKUP(H26,Index!A:B,2,0)</f>
        <v>Other expenses</v>
      </c>
      <c r="B26" s="39">
        <f>טבלה5[[#This Row],[עמודה4]]-AR26</f>
        <v>8635</v>
      </c>
      <c r="C26" s="39"/>
      <c r="D26" s="39">
        <f>טבלה5[[#This Row],[עמודה4]]-AJ26</f>
        <v>8777</v>
      </c>
      <c r="E26" s="39"/>
      <c r="F26" s="39">
        <f>-SUMIF(SAP!A:A,H26,SAP!F:F)</f>
        <v>10194</v>
      </c>
      <c r="G26" s="39">
        <v>2566</v>
      </c>
      <c r="H26" s="3">
        <v>7028</v>
      </c>
      <c r="J26" s="603">
        <f>-SUMIF(SAP!E:E,L26,SAP!J:J)</f>
        <v>0</v>
      </c>
      <c r="L26" s="306">
        <v>290</v>
      </c>
      <c r="M26" s="306">
        <v>290</v>
      </c>
      <c r="O26" s="306">
        <v>338</v>
      </c>
      <c r="P26" s="306">
        <v>4342</v>
      </c>
      <c r="R26" s="632">
        <v>-29</v>
      </c>
      <c r="S26" s="632">
        <v>599</v>
      </c>
      <c r="T26" s="632"/>
      <c r="U26" s="306">
        <v>971</v>
      </c>
      <c r="V26" s="306">
        <v>4342</v>
      </c>
      <c r="W26" s="306">
        <v>372</v>
      </c>
      <c r="X26" s="306">
        <v>1131</v>
      </c>
      <c r="Y26" s="306">
        <v>3371</v>
      </c>
      <c r="Z26" s="306">
        <v>3714</v>
      </c>
      <c r="AC26" s="304">
        <v>9973</v>
      </c>
      <c r="AD26" s="304">
        <v>14315</v>
      </c>
      <c r="AF26" s="304">
        <v>-13184</v>
      </c>
      <c r="AG26" s="304">
        <v>1131</v>
      </c>
      <c r="AH26" s="36">
        <v>286</v>
      </c>
      <c r="AI26" s="36">
        <v>-2925</v>
      </c>
      <c r="AJ26" s="36">
        <v>1417</v>
      </c>
      <c r="AK26" s="36"/>
      <c r="AL26" s="36">
        <v>10</v>
      </c>
      <c r="AM26" s="36">
        <v>1427</v>
      </c>
      <c r="AN26" s="36"/>
      <c r="AO26" s="36"/>
      <c r="AQ26" s="36">
        <v>132</v>
      </c>
      <c r="AR26" s="36">
        <v>1559</v>
      </c>
      <c r="AX26" s="43">
        <f>טבלה5[[#This Row],[עמודה4]]/1000</f>
        <v>10.194000000000001</v>
      </c>
      <c r="AY26" s="43">
        <f>טבלה5[[#This Row],[עמודה4]]/1000</f>
        <v>10.194000000000001</v>
      </c>
    </row>
    <row r="27" spans="1:51">
      <c r="A27" s="7" t="str">
        <f>VLOOKUP(H27,Index!A:B,2,0)</f>
        <v>Travel Abroad</v>
      </c>
      <c r="B27" s="39">
        <f>טבלה5[[#This Row],[עמודה4]]-AR27</f>
        <v>793</v>
      </c>
      <c r="C27" s="39"/>
      <c r="D27" s="39">
        <f>טבלה5[[#This Row],[עמודה4]]-AJ27</f>
        <v>1088</v>
      </c>
      <c r="E27" s="39"/>
      <c r="F27" s="39">
        <f>-SUMIF(SAP!A:A,H27,SAP!F:F)</f>
        <v>6688</v>
      </c>
      <c r="G27" s="39">
        <v>2452</v>
      </c>
      <c r="H27" s="3">
        <v>7025</v>
      </c>
      <c r="J27" s="607">
        <v>0</v>
      </c>
      <c r="L27" s="306">
        <v>0</v>
      </c>
      <c r="M27" s="306">
        <v>0</v>
      </c>
      <c r="O27" s="306">
        <v>0</v>
      </c>
      <c r="P27" s="306">
        <v>0</v>
      </c>
      <c r="R27" s="306">
        <v>0</v>
      </c>
      <c r="S27" s="306">
        <v>0</v>
      </c>
      <c r="T27" s="306"/>
      <c r="U27" s="306">
        <v>0</v>
      </c>
      <c r="V27" s="306">
        <v>0</v>
      </c>
      <c r="W27" s="306">
        <v>0</v>
      </c>
      <c r="X27" s="306">
        <v>5826</v>
      </c>
      <c r="Y27" s="306">
        <v>0</v>
      </c>
      <c r="Z27" s="306">
        <v>0</v>
      </c>
      <c r="AC27" s="306">
        <v>5826</v>
      </c>
      <c r="AD27" s="306">
        <v>5826</v>
      </c>
      <c r="AF27" s="304">
        <v>0</v>
      </c>
      <c r="AG27" s="304">
        <v>5826</v>
      </c>
      <c r="AH27" s="36">
        <v>-226</v>
      </c>
      <c r="AI27" s="36">
        <v>5600</v>
      </c>
      <c r="AJ27" s="36">
        <v>5600</v>
      </c>
      <c r="AK27" s="36"/>
      <c r="AL27" s="36">
        <v>40</v>
      </c>
      <c r="AM27" s="36">
        <v>5640</v>
      </c>
      <c r="AN27" s="36"/>
      <c r="AO27" s="36"/>
      <c r="AQ27" s="36">
        <v>255</v>
      </c>
      <c r="AR27" s="36">
        <v>5895</v>
      </c>
      <c r="AX27" s="43">
        <f>טבלה5[[#This Row],[עמודה4]]/1000</f>
        <v>6.6879999999999997</v>
      </c>
      <c r="AY27" s="43">
        <f>טבלה5[[#This Row],[עמודה4]]/1000</f>
        <v>6.6879999999999997</v>
      </c>
    </row>
    <row r="28" spans="1:51" ht="17.25">
      <c r="A28" s="7" t="str">
        <f>VLOOKUP(H28,Index!A:B,2,0)</f>
        <v>Creative &amp; branding</v>
      </c>
      <c r="B28" s="94">
        <f>טבלה5[[#This Row],[עמודה4]]-AR28</f>
        <v>30041</v>
      </c>
      <c r="C28" s="94"/>
      <c r="D28" s="94">
        <f>טבלה5[[#This Row],[עמודה4]]-AJ28</f>
        <v>68127</v>
      </c>
      <c r="E28" s="94"/>
      <c r="F28" s="94">
        <f>-SUMIF(SAP!A:A,H28,SAP!F:F)</f>
        <v>202799</v>
      </c>
      <c r="G28" s="94">
        <v>100646</v>
      </c>
      <c r="H28" s="3">
        <v>7026</v>
      </c>
      <c r="J28" s="609">
        <v>10941</v>
      </c>
      <c r="L28" s="303">
        <v>9044</v>
      </c>
      <c r="M28" s="303">
        <v>19985</v>
      </c>
      <c r="O28" s="303">
        <v>8471</v>
      </c>
      <c r="P28" s="303">
        <v>107385</v>
      </c>
      <c r="R28" s="303">
        <v>57410</v>
      </c>
      <c r="S28" s="303">
        <v>85866</v>
      </c>
      <c r="T28" s="303"/>
      <c r="U28" s="303">
        <v>98826</v>
      </c>
      <c r="V28" s="303">
        <v>107385</v>
      </c>
      <c r="W28" s="303">
        <v>12960</v>
      </c>
      <c r="X28" s="303">
        <v>123013</v>
      </c>
      <c r="Y28" s="303">
        <v>8559</v>
      </c>
      <c r="Z28" s="303">
        <v>78929</v>
      </c>
      <c r="AC28" s="318">
        <v>-8533</v>
      </c>
      <c r="AD28" s="318">
        <v>98852</v>
      </c>
      <c r="AF28" s="318">
        <v>24161</v>
      </c>
      <c r="AG28" s="318">
        <v>123013</v>
      </c>
      <c r="AH28" s="37">
        <v>11659</v>
      </c>
      <c r="AI28" s="37">
        <v>27287</v>
      </c>
      <c r="AJ28" s="37">
        <v>134672</v>
      </c>
      <c r="AK28" s="37"/>
      <c r="AL28" s="37">
        <v>13287</v>
      </c>
      <c r="AM28" s="37">
        <v>147959</v>
      </c>
      <c r="AN28" s="37"/>
      <c r="AO28" s="37"/>
      <c r="AQ28" s="37">
        <v>24799</v>
      </c>
      <c r="AR28" s="37">
        <v>172758</v>
      </c>
      <c r="AX28" s="43">
        <f>טבלה5[[#This Row],[עמודה4]]/1000</f>
        <v>202.79900000000001</v>
      </c>
      <c r="AY28" s="43">
        <f>טבלה5[[#This Row],[עמודה4]]/1000</f>
        <v>202.79900000000001</v>
      </c>
    </row>
    <row r="29" spans="1:51" ht="18">
      <c r="B29" s="97">
        <f>SUM(B22:B28)</f>
        <v>-21361</v>
      </c>
      <c r="C29" s="97">
        <f t="shared" ref="C29:E29" si="4">SUM(C22:C28)</f>
        <v>0</v>
      </c>
      <c r="D29" s="97">
        <f t="shared" si="4"/>
        <v>274362</v>
      </c>
      <c r="E29" s="97">
        <f t="shared" si="4"/>
        <v>0</v>
      </c>
      <c r="F29" s="97">
        <f>SUM(F22:F28)</f>
        <v>1406393</v>
      </c>
      <c r="G29" s="233">
        <f t="shared" ref="G29" si="5">SUM(G22:G28)</f>
        <v>1322914</v>
      </c>
      <c r="H29" s="3"/>
      <c r="J29" s="233">
        <v>102942</v>
      </c>
      <c r="L29" s="233">
        <v>98084</v>
      </c>
      <c r="M29" s="233">
        <v>201026</v>
      </c>
      <c r="O29" s="233">
        <v>159649</v>
      </c>
      <c r="P29" s="233">
        <v>756638</v>
      </c>
      <c r="R29" s="233">
        <v>160352</v>
      </c>
      <c r="S29" s="233">
        <v>521027</v>
      </c>
      <c r="T29" s="233"/>
      <c r="U29" s="233">
        <v>620248</v>
      </c>
      <c r="V29" s="233">
        <v>756638</v>
      </c>
      <c r="W29" s="233">
        <v>99221</v>
      </c>
      <c r="X29" s="233">
        <v>972585</v>
      </c>
      <c r="Y29" s="233">
        <v>136390</v>
      </c>
      <c r="Z29" s="233">
        <v>395963</v>
      </c>
      <c r="AC29" s="233">
        <v>103390</v>
      </c>
      <c r="AD29" s="233">
        <v>860028</v>
      </c>
      <c r="AF29" s="233">
        <v>112557</v>
      </c>
      <c r="AG29" s="233">
        <v>972585</v>
      </c>
      <c r="AH29" s="97">
        <v>159446</v>
      </c>
      <c r="AI29" s="97">
        <v>375393</v>
      </c>
      <c r="AJ29" s="97">
        <v>1132031</v>
      </c>
      <c r="AK29" s="97"/>
      <c r="AL29" s="97">
        <v>120805</v>
      </c>
      <c r="AM29" s="97">
        <v>1252836</v>
      </c>
      <c r="AN29" s="97"/>
      <c r="AO29" s="97"/>
      <c r="AQ29" s="97">
        <v>174918</v>
      </c>
      <c r="AR29" s="97">
        <v>1427754</v>
      </c>
      <c r="AX29" s="43">
        <f>טבלה5[[#This Row],[עמודה4]]/1000</f>
        <v>1406.393</v>
      </c>
      <c r="AY29" s="43">
        <f>טבלה5[[#This Row],[עמודה4]]/1000</f>
        <v>1406.393</v>
      </c>
    </row>
    <row r="30" spans="1:51" ht="17.25">
      <c r="B30" s="234">
        <f>B29-'P&amp;L'!D20</f>
        <v>0</v>
      </c>
      <c r="C30" s="234"/>
      <c r="D30" s="234">
        <f>D29-'P&amp;L'!F20</f>
        <v>0</v>
      </c>
      <c r="E30" s="234"/>
      <c r="F30" s="234">
        <f>F29-'P&amp;L'!H20</f>
        <v>0</v>
      </c>
      <c r="G30" s="234">
        <f>G29-'P&amp;L'!I20</f>
        <v>0</v>
      </c>
      <c r="H30" s="3"/>
      <c r="J30" s="609"/>
      <c r="L30" s="616"/>
      <c r="M30" s="616"/>
      <c r="O30" s="616"/>
      <c r="P30" s="616">
        <v>0</v>
      </c>
      <c r="R30" s="616"/>
      <c r="S30" s="616">
        <v>0</v>
      </c>
      <c r="T30" s="616"/>
      <c r="U30" s="616">
        <v>0</v>
      </c>
      <c r="V30" s="616">
        <v>0</v>
      </c>
      <c r="W30" s="616">
        <v>0</v>
      </c>
      <c r="X30" s="616">
        <v>0</v>
      </c>
      <c r="Y30" s="616">
        <v>0</v>
      </c>
      <c r="Z30" s="616">
        <v>0</v>
      </c>
      <c r="AC30" s="616">
        <v>0</v>
      </c>
      <c r="AD30" s="616">
        <v>0</v>
      </c>
      <c r="AF30" s="616">
        <v>0</v>
      </c>
      <c r="AG30" s="616">
        <v>0</v>
      </c>
      <c r="AH30" s="234">
        <v>0</v>
      </c>
      <c r="AI30" s="234">
        <v>0</v>
      </c>
      <c r="AJ30" s="234">
        <v>0</v>
      </c>
      <c r="AK30" s="234"/>
      <c r="AL30" s="234">
        <v>0</v>
      </c>
      <c r="AM30" s="234">
        <v>0</v>
      </c>
      <c r="AN30" s="234"/>
      <c r="AO30" s="234"/>
      <c r="AQ30" s="234">
        <v>0</v>
      </c>
      <c r="AR30" s="234">
        <v>0</v>
      </c>
      <c r="AX30" s="43">
        <f>טבלה5[[#This Row],[עמודה4]]/1000</f>
        <v>0</v>
      </c>
      <c r="AY30" s="43">
        <f>טבלה5[[#This Row],[עמודה4]]/1000</f>
        <v>0</v>
      </c>
    </row>
    <row r="31" spans="1:51">
      <c r="B31" s="234"/>
      <c r="C31" s="234"/>
      <c r="D31" s="234"/>
      <c r="E31" s="234"/>
      <c r="F31" s="234"/>
      <c r="G31" s="234"/>
      <c r="H31" s="3"/>
      <c r="J31" s="607"/>
      <c r="L31" s="616"/>
      <c r="M31" s="616"/>
      <c r="O31" s="616"/>
      <c r="P31" s="616"/>
      <c r="R31" s="616"/>
      <c r="S31" s="616"/>
      <c r="T31" s="616"/>
      <c r="U31" s="616"/>
      <c r="V31" s="616"/>
      <c r="W31" s="616"/>
      <c r="X31" s="616"/>
      <c r="Y31" s="616"/>
      <c r="Z31" s="616"/>
      <c r="AC31" s="616"/>
      <c r="AD31" s="616"/>
      <c r="AF31" s="616"/>
      <c r="AG31" s="616"/>
      <c r="AH31" s="234"/>
      <c r="AI31" s="234"/>
      <c r="AJ31" s="234"/>
      <c r="AK31" s="234"/>
      <c r="AL31" s="234"/>
      <c r="AM31" s="234"/>
      <c r="AN31" s="234"/>
      <c r="AO31" s="234"/>
      <c r="AQ31" s="234"/>
      <c r="AR31" s="234"/>
      <c r="AX31" s="43">
        <f>טבלה5[[#This Row],[עמודה4]]/1000</f>
        <v>0</v>
      </c>
      <c r="AY31" s="43">
        <f>טבלה5[[#This Row],[עמודה4]]/1000</f>
        <v>0</v>
      </c>
    </row>
    <row r="32" spans="1:51">
      <c r="B32" s="234"/>
      <c r="C32" s="234"/>
      <c r="D32" s="234"/>
      <c r="E32" s="234"/>
      <c r="F32" s="234"/>
      <c r="G32" s="234"/>
      <c r="H32" s="3"/>
      <c r="J32" s="608"/>
      <c r="L32" s="616"/>
      <c r="M32" s="616"/>
      <c r="O32" s="616"/>
      <c r="P32" s="616"/>
      <c r="R32" s="616"/>
      <c r="S32" s="616"/>
      <c r="T32" s="616"/>
      <c r="U32" s="616"/>
      <c r="V32" s="616"/>
      <c r="W32" s="616"/>
      <c r="X32" s="616"/>
      <c r="Y32" s="616"/>
      <c r="Z32" s="616"/>
      <c r="AC32" s="616"/>
      <c r="AD32" s="616"/>
      <c r="AF32" s="616"/>
      <c r="AG32" s="616"/>
      <c r="AH32" s="234"/>
      <c r="AI32" s="234"/>
      <c r="AJ32" s="234"/>
      <c r="AK32" s="234"/>
      <c r="AL32" s="234"/>
      <c r="AM32" s="234"/>
      <c r="AN32" s="234"/>
      <c r="AO32" s="234"/>
      <c r="AQ32" s="234"/>
      <c r="AR32" s="234"/>
      <c r="AX32" s="43">
        <f>טבלה5[[#This Row],[עמודה4]]/1000</f>
        <v>0</v>
      </c>
      <c r="AY32" s="43">
        <f>טבלה5[[#This Row],[עמודה4]]/1000</f>
        <v>0</v>
      </c>
    </row>
    <row r="33" spans="1:51" ht="17.25">
      <c r="B33" s="234"/>
      <c r="C33" s="234"/>
      <c r="D33" s="234"/>
      <c r="E33" s="234"/>
      <c r="F33" s="234"/>
      <c r="G33" s="234"/>
      <c r="H33" s="3"/>
      <c r="J33" s="609"/>
      <c r="L33" s="616"/>
      <c r="M33" s="616"/>
      <c r="O33" s="616"/>
      <c r="P33" s="616"/>
      <c r="R33" s="616"/>
      <c r="S33" s="616"/>
      <c r="T33" s="616"/>
      <c r="U33" s="616"/>
      <c r="V33" s="616"/>
      <c r="W33" s="616"/>
      <c r="X33" s="616"/>
      <c r="Y33" s="616"/>
      <c r="Z33" s="616"/>
      <c r="AC33" s="616"/>
      <c r="AD33" s="616"/>
      <c r="AF33" s="616"/>
      <c r="AG33" s="616"/>
      <c r="AH33" s="234"/>
      <c r="AI33" s="234"/>
      <c r="AJ33" s="234"/>
      <c r="AK33" s="234"/>
      <c r="AL33" s="234"/>
      <c r="AM33" s="234"/>
      <c r="AN33" s="234"/>
      <c r="AO33" s="234"/>
      <c r="AQ33" s="234"/>
      <c r="AR33" s="234"/>
      <c r="AX33" s="43">
        <f>טבלה5[[#This Row],[עמודה4]]/1000</f>
        <v>0</v>
      </c>
      <c r="AY33" s="43">
        <f>טבלה5[[#This Row],[עמודה4]]/1000</f>
        <v>0</v>
      </c>
    </row>
    <row r="34" spans="1:51" ht="15.75">
      <c r="A34" s="11" t="s">
        <v>468</v>
      </c>
      <c r="B34" s="16"/>
      <c r="C34" s="16"/>
      <c r="D34" s="16"/>
      <c r="E34" s="16"/>
      <c r="J34" s="607"/>
      <c r="L34" s="617"/>
      <c r="M34" s="617"/>
      <c r="O34" s="617"/>
      <c r="P34" s="617"/>
      <c r="R34" s="617"/>
      <c r="S34" s="617"/>
      <c r="T34" s="617"/>
      <c r="U34" s="617"/>
      <c r="V34" s="617"/>
      <c r="W34" s="617"/>
      <c r="X34" s="617"/>
      <c r="Y34" s="617"/>
      <c r="Z34" s="617"/>
      <c r="AC34" s="617"/>
      <c r="AD34" s="617"/>
      <c r="AF34" s="617"/>
      <c r="AG34" s="617"/>
      <c r="AH34" s="16"/>
      <c r="AI34" s="16"/>
      <c r="AJ34" s="16"/>
      <c r="AK34" s="16"/>
      <c r="AL34" s="16"/>
      <c r="AM34" s="16"/>
      <c r="AN34" s="16"/>
      <c r="AO34" s="16"/>
      <c r="AQ34" s="16"/>
      <c r="AR34" s="16"/>
      <c r="AX34" s="43">
        <f>טבלה5[[#This Row],[עמודה4]]/1000</f>
        <v>0</v>
      </c>
      <c r="AY34" s="43">
        <f>טבלה5[[#This Row],[עמודה4]]/1000</f>
        <v>0</v>
      </c>
    </row>
    <row r="35" spans="1:51" ht="15.75">
      <c r="B35" s="551" t="str">
        <f>B18</f>
        <v>MTD</v>
      </c>
      <c r="C35" s="551"/>
      <c r="D35" s="551" t="s">
        <v>159</v>
      </c>
      <c r="E35" s="551"/>
      <c r="F35" s="551" t="s">
        <v>125</v>
      </c>
      <c r="G35" s="551" t="s">
        <v>125</v>
      </c>
      <c r="H35" s="3"/>
      <c r="J35" s="598" t="s">
        <v>125</v>
      </c>
      <c r="L35" s="598" t="s">
        <v>710</v>
      </c>
      <c r="M35" s="598" t="s">
        <v>125</v>
      </c>
      <c r="O35" s="598" t="s">
        <v>710</v>
      </c>
      <c r="P35" s="598" t="s">
        <v>125</v>
      </c>
      <c r="R35" s="598" t="s">
        <v>710</v>
      </c>
      <c r="S35" s="598" t="s">
        <v>125</v>
      </c>
      <c r="T35" s="598"/>
      <c r="U35" s="598" t="s">
        <v>125</v>
      </c>
      <c r="V35" s="598" t="s">
        <v>125</v>
      </c>
      <c r="W35" s="598" t="s">
        <v>710</v>
      </c>
      <c r="X35" s="598" t="s">
        <v>125</v>
      </c>
      <c r="Y35" s="598" t="s">
        <v>710</v>
      </c>
      <c r="Z35" s="598" t="s">
        <v>159</v>
      </c>
      <c r="AC35" s="598" t="s">
        <v>710</v>
      </c>
      <c r="AD35" s="598" t="s">
        <v>125</v>
      </c>
      <c r="AF35" s="598" t="s">
        <v>710</v>
      </c>
      <c r="AG35" s="598" t="s">
        <v>125</v>
      </c>
      <c r="AH35" s="551" t="s">
        <v>710</v>
      </c>
      <c r="AI35" s="551" t="s">
        <v>159</v>
      </c>
      <c r="AJ35" s="551" t="s">
        <v>125</v>
      </c>
      <c r="AK35" s="598"/>
      <c r="AL35" s="598" t="s">
        <v>710</v>
      </c>
      <c r="AM35" s="598" t="s">
        <v>125</v>
      </c>
      <c r="AN35" s="598"/>
      <c r="AO35" s="598"/>
      <c r="AQ35" s="551" t="s">
        <v>710</v>
      </c>
      <c r="AR35" s="551" t="s">
        <v>125</v>
      </c>
      <c r="AX35" s="43" t="e">
        <f>טבלה5[[#This Row],[עמודה4]]/1000</f>
        <v>#VALUE!</v>
      </c>
      <c r="AY35" s="43" t="e">
        <f>טבלה5[[#This Row],[עמודה4]]/1000</f>
        <v>#VALUE!</v>
      </c>
    </row>
    <row r="36" spans="1:51" ht="15.75">
      <c r="B36" s="552">
        <f t="shared" ref="B36:F37" si="6">DATE</f>
        <v>44926</v>
      </c>
      <c r="C36" s="552"/>
      <c r="D36" s="552">
        <f t="shared" ref="D36:D37" si="7">DATE</f>
        <v>44926</v>
      </c>
      <c r="E36" s="552"/>
      <c r="F36" s="552">
        <f t="shared" si="6"/>
        <v>44926</v>
      </c>
      <c r="G36" s="552">
        <v>43830</v>
      </c>
      <c r="H36" s="3"/>
      <c r="J36" s="598">
        <v>44592</v>
      </c>
      <c r="L36" s="598">
        <v>44620</v>
      </c>
      <c r="M36" s="598">
        <v>44620</v>
      </c>
      <c r="O36" s="598">
        <v>44651</v>
      </c>
      <c r="P36" s="598">
        <v>44742</v>
      </c>
      <c r="R36" s="598">
        <v>44681</v>
      </c>
      <c r="S36" s="598">
        <v>44681</v>
      </c>
      <c r="T36" s="598"/>
      <c r="U36" s="598">
        <v>44712</v>
      </c>
      <c r="V36" s="598">
        <v>44742</v>
      </c>
      <c r="W36" s="598">
        <v>44712</v>
      </c>
      <c r="X36" s="598">
        <v>44804</v>
      </c>
      <c r="Y36" s="598">
        <v>44742</v>
      </c>
      <c r="Z36" s="598">
        <v>44742</v>
      </c>
      <c r="AC36" s="598">
        <v>44773</v>
      </c>
      <c r="AD36" s="598">
        <v>44773</v>
      </c>
      <c r="AF36" s="598">
        <v>44804</v>
      </c>
      <c r="AG36" s="598">
        <v>44804</v>
      </c>
      <c r="AH36" s="552">
        <v>44834</v>
      </c>
      <c r="AI36" s="552">
        <v>44834</v>
      </c>
      <c r="AJ36" s="552">
        <v>44834</v>
      </c>
      <c r="AK36" s="598"/>
      <c r="AL36" s="598">
        <v>44865</v>
      </c>
      <c r="AM36" s="598">
        <v>44865</v>
      </c>
      <c r="AN36" s="598"/>
      <c r="AO36" s="598"/>
      <c r="AQ36" s="552">
        <v>44895</v>
      </c>
      <c r="AR36" s="552">
        <v>44895</v>
      </c>
      <c r="AX36" s="43">
        <f>טבלה5[[#This Row],[עמודה4]]/1000</f>
        <v>44.926000000000002</v>
      </c>
      <c r="AY36" s="43">
        <f>טבלה5[[#This Row],[עמודה4]]/1000</f>
        <v>44.926000000000002</v>
      </c>
    </row>
    <row r="37" spans="1:51" ht="18.75" customHeight="1">
      <c r="B37" s="553">
        <f t="shared" si="6"/>
        <v>44926</v>
      </c>
      <c r="C37" s="553"/>
      <c r="D37" s="553">
        <f t="shared" si="7"/>
        <v>44926</v>
      </c>
      <c r="E37" s="553"/>
      <c r="F37" s="553">
        <f t="shared" si="6"/>
        <v>44926</v>
      </c>
      <c r="G37" s="553">
        <f>CompareDATE</f>
        <v>44561</v>
      </c>
      <c r="H37" s="3"/>
      <c r="J37" s="606">
        <v>44592</v>
      </c>
      <c r="L37" s="606">
        <v>44620</v>
      </c>
      <c r="M37" s="606">
        <v>44620</v>
      </c>
      <c r="O37" s="606">
        <v>44651</v>
      </c>
      <c r="P37" s="606">
        <v>44742</v>
      </c>
      <c r="R37" s="606">
        <v>44681</v>
      </c>
      <c r="S37" s="606">
        <v>44681</v>
      </c>
      <c r="T37" s="606"/>
      <c r="U37" s="606">
        <v>44712</v>
      </c>
      <c r="V37" s="606">
        <v>44742</v>
      </c>
      <c r="W37" s="606">
        <v>44712</v>
      </c>
      <c r="X37" s="606">
        <v>44804</v>
      </c>
      <c r="Y37" s="606">
        <v>44742</v>
      </c>
      <c r="Z37" s="606">
        <v>44742</v>
      </c>
      <c r="AC37" s="606">
        <v>44773</v>
      </c>
      <c r="AD37" s="606">
        <v>44773</v>
      </c>
      <c r="AF37" s="606">
        <v>44804</v>
      </c>
      <c r="AG37" s="606">
        <v>44804</v>
      </c>
      <c r="AH37" s="553">
        <v>44834</v>
      </c>
      <c r="AI37" s="553">
        <v>44834</v>
      </c>
      <c r="AJ37" s="553">
        <v>44834</v>
      </c>
      <c r="AK37" s="606"/>
      <c r="AL37" s="606">
        <v>44865</v>
      </c>
      <c r="AM37" s="606">
        <v>44865</v>
      </c>
      <c r="AN37" s="606"/>
      <c r="AO37" s="606"/>
      <c r="AQ37" s="553">
        <v>44895</v>
      </c>
      <c r="AR37" s="553">
        <v>44895</v>
      </c>
      <c r="AX37" s="43">
        <f>טבלה5[[#This Row],[עמודה4]]/1000</f>
        <v>44.926000000000002</v>
      </c>
      <c r="AY37" s="43">
        <f>טבלה5[[#This Row],[עמודה4]]/1000</f>
        <v>44.926000000000002</v>
      </c>
    </row>
    <row r="38" spans="1:51" ht="20.25">
      <c r="B38" s="549" t="s">
        <v>11</v>
      </c>
      <c r="C38" s="549"/>
      <c r="D38" s="549" t="s">
        <v>11</v>
      </c>
      <c r="E38" s="549"/>
      <c r="F38" s="549" t="s">
        <v>11</v>
      </c>
      <c r="G38" s="549" t="s">
        <v>11</v>
      </c>
      <c r="H38" s="3"/>
      <c r="J38" s="600" t="s">
        <v>11</v>
      </c>
      <c r="L38" s="600" t="s">
        <v>11</v>
      </c>
      <c r="M38" s="600" t="s">
        <v>11</v>
      </c>
      <c r="O38" s="600" t="s">
        <v>11</v>
      </c>
      <c r="P38" s="600" t="s">
        <v>11</v>
      </c>
      <c r="R38" s="600" t="s">
        <v>11</v>
      </c>
      <c r="S38" s="600" t="s">
        <v>11</v>
      </c>
      <c r="T38" s="600"/>
      <c r="U38" s="600" t="s">
        <v>11</v>
      </c>
      <c r="V38" s="600" t="s">
        <v>11</v>
      </c>
      <c r="W38" s="600" t="s">
        <v>11</v>
      </c>
      <c r="X38" s="600" t="s">
        <v>11</v>
      </c>
      <c r="Y38" s="600" t="s">
        <v>11</v>
      </c>
      <c r="Z38" s="600" t="s">
        <v>11</v>
      </c>
      <c r="AC38" s="600" t="s">
        <v>11</v>
      </c>
      <c r="AD38" s="600" t="s">
        <v>11</v>
      </c>
      <c r="AF38" s="600" t="s">
        <v>11</v>
      </c>
      <c r="AG38" s="600" t="s">
        <v>11</v>
      </c>
      <c r="AH38" s="549" t="s">
        <v>11</v>
      </c>
      <c r="AI38" s="549" t="s">
        <v>11</v>
      </c>
      <c r="AJ38" s="549" t="s">
        <v>11</v>
      </c>
      <c r="AK38" s="600"/>
      <c r="AL38" s="600" t="s">
        <v>11</v>
      </c>
      <c r="AM38" s="600" t="s">
        <v>11</v>
      </c>
      <c r="AN38" s="600"/>
      <c r="AO38" s="600"/>
      <c r="AQ38" s="549" t="s">
        <v>11</v>
      </c>
      <c r="AR38" s="549" t="s">
        <v>11</v>
      </c>
      <c r="AX38" s="43" t="e">
        <f>טבלה5[[#This Row],[עמודה4]]/1000</f>
        <v>#VALUE!</v>
      </c>
      <c r="AY38" s="43" t="e">
        <f>טבלה5[[#This Row],[עמודה4]]/1000</f>
        <v>#VALUE!</v>
      </c>
    </row>
    <row r="39" spans="1:51" ht="14.25" customHeight="1">
      <c r="A39" s="7" t="str">
        <f>VLOOKUP(H39,Index!A:B,2,0)</f>
        <v>Salaries and social benefits</v>
      </c>
      <c r="B39" s="39">
        <f>טבלה5[[#This Row],[עמודה4]]-AR39</f>
        <v>62436</v>
      </c>
      <c r="C39" s="39"/>
      <c r="D39" s="39">
        <f>טבלה5[[#This Row],[עמודה4]]-AJ39</f>
        <v>209618</v>
      </c>
      <c r="E39" s="39"/>
      <c r="F39" s="837">
        <f>-SUMIF(SAP!A:A,H39,SAP!F:F)</f>
        <v>933435</v>
      </c>
      <c r="G39" s="39">
        <v>820270</v>
      </c>
      <c r="H39" s="3">
        <v>7050</v>
      </c>
      <c r="J39" s="607">
        <v>73400</v>
      </c>
      <c r="L39" s="306">
        <v>77980</v>
      </c>
      <c r="M39" s="306">
        <v>151380</v>
      </c>
      <c r="O39" s="306">
        <v>92151</v>
      </c>
      <c r="P39" s="306">
        <v>485780</v>
      </c>
      <c r="R39" s="306">
        <v>76377</v>
      </c>
      <c r="S39" s="306">
        <v>319908</v>
      </c>
      <c r="T39" s="306"/>
      <c r="U39" s="306">
        <v>398777</v>
      </c>
      <c r="V39" s="306">
        <v>485780</v>
      </c>
      <c r="W39" s="306">
        <v>78869</v>
      </c>
      <c r="X39" s="306">
        <v>640821</v>
      </c>
      <c r="Y39" s="306">
        <v>87003</v>
      </c>
      <c r="Z39" s="306">
        <v>242249</v>
      </c>
      <c r="AC39" s="306">
        <v>75887</v>
      </c>
      <c r="AD39" s="306">
        <v>561667</v>
      </c>
      <c r="AF39" s="306">
        <v>79154</v>
      </c>
      <c r="AG39" s="306">
        <v>640821</v>
      </c>
      <c r="AH39" s="39">
        <v>82996</v>
      </c>
      <c r="AI39" s="39">
        <v>238037</v>
      </c>
      <c r="AJ39" s="39">
        <v>723817</v>
      </c>
      <c r="AK39" s="39"/>
      <c r="AL39" s="39">
        <v>70714</v>
      </c>
      <c r="AM39" s="39">
        <v>794531</v>
      </c>
      <c r="AN39" s="39"/>
      <c r="AO39" s="39"/>
      <c r="AQ39" s="39">
        <v>76468</v>
      </c>
      <c r="AR39" s="39">
        <v>870999</v>
      </c>
      <c r="AX39" s="43">
        <f>טבלה5[[#This Row],[עמודה4]]/1000</f>
        <v>933.43499999999995</v>
      </c>
      <c r="AY39" s="43">
        <f>טבלה5[[#This Row],[עמודה4]]/1000</f>
        <v>933.43499999999995</v>
      </c>
    </row>
    <row r="40" spans="1:51" ht="14.25" customHeight="1">
      <c r="A40" s="7" t="str">
        <f>VLOOKUP(H40,Index!A:B,2,0)</f>
        <v>Professional services</v>
      </c>
      <c r="B40" s="39">
        <f>טבלה5[[#This Row],[עמודה4]]-AR40</f>
        <v>19171</v>
      </c>
      <c r="C40" s="39"/>
      <c r="D40" s="39">
        <f>טבלה5[[#This Row],[עמודה4]]-AJ40</f>
        <v>40173</v>
      </c>
      <c r="E40" s="39"/>
      <c r="F40" s="837">
        <f>-SUMIF(SAP!A:A,H40,SAP!F:F)</f>
        <v>181013</v>
      </c>
      <c r="G40" s="39">
        <v>335179</v>
      </c>
      <c r="H40" s="3">
        <v>7051</v>
      </c>
      <c r="J40" s="607">
        <v>23816</v>
      </c>
      <c r="L40" s="306">
        <v>13870</v>
      </c>
      <c r="M40" s="306">
        <v>37686</v>
      </c>
      <c r="O40" s="306">
        <v>13841</v>
      </c>
      <c r="P40" s="306">
        <v>101072</v>
      </c>
      <c r="R40" s="306">
        <v>18263</v>
      </c>
      <c r="S40" s="306">
        <v>69790</v>
      </c>
      <c r="T40" s="306"/>
      <c r="U40" s="306">
        <v>94169</v>
      </c>
      <c r="V40" s="306">
        <v>101072</v>
      </c>
      <c r="W40" s="306">
        <v>24379</v>
      </c>
      <c r="X40" s="306">
        <v>128359</v>
      </c>
      <c r="Y40" s="306">
        <v>6903</v>
      </c>
      <c r="Z40" s="306">
        <v>49545</v>
      </c>
      <c r="AC40" s="306">
        <v>8603</v>
      </c>
      <c r="AD40" s="306">
        <v>109675</v>
      </c>
      <c r="AF40" s="306">
        <v>18684</v>
      </c>
      <c r="AG40" s="306">
        <v>128359</v>
      </c>
      <c r="AH40" s="39">
        <v>12481</v>
      </c>
      <c r="AI40" s="39">
        <v>39768</v>
      </c>
      <c r="AJ40" s="39">
        <v>140840</v>
      </c>
      <c r="AK40" s="39"/>
      <c r="AL40" s="39">
        <v>9929</v>
      </c>
      <c r="AM40" s="39">
        <v>150769</v>
      </c>
      <c r="AN40" s="39"/>
      <c r="AO40" s="39"/>
      <c r="AQ40" s="39">
        <v>11073</v>
      </c>
      <c r="AR40" s="39">
        <v>161842</v>
      </c>
      <c r="AX40" s="43">
        <f>טבלה5[[#This Row],[עמודה4]]/1000</f>
        <v>181.01300000000001</v>
      </c>
      <c r="AY40" s="43">
        <f>טבלה5[[#This Row],[עמודה4]]/1000</f>
        <v>181.01300000000001</v>
      </c>
    </row>
    <row r="41" spans="1:51" ht="14.25" customHeight="1">
      <c r="A41" s="7" t="str">
        <f>VLOOKUP(H41,Index!A:B,2,0)</f>
        <v>Depreciation</v>
      </c>
      <c r="B41" s="39">
        <f>טבלה5[[#This Row],[עמודה4]]-AR41</f>
        <v>6997</v>
      </c>
      <c r="C41" s="39"/>
      <c r="D41" s="39">
        <f>טבלה5[[#This Row],[עמודה4]]-AJ41</f>
        <v>20488</v>
      </c>
      <c r="E41" s="39"/>
      <c r="F41" s="39">
        <f>-SUMIF(SAP!A:A,H41,SAP!F:F)</f>
        <v>73303</v>
      </c>
      <c r="G41" s="39">
        <v>46356</v>
      </c>
      <c r="H41" s="3">
        <v>7052</v>
      </c>
      <c r="J41" s="608">
        <v>5276</v>
      </c>
      <c r="L41" s="306">
        <v>5371</v>
      </c>
      <c r="M41" s="306">
        <v>10647</v>
      </c>
      <c r="O41" s="306">
        <v>5463</v>
      </c>
      <c r="P41" s="306">
        <v>33657</v>
      </c>
      <c r="R41" s="306">
        <v>5807</v>
      </c>
      <c r="S41" s="306">
        <v>21917</v>
      </c>
      <c r="T41" s="306"/>
      <c r="U41" s="306">
        <v>27671</v>
      </c>
      <c r="V41" s="306">
        <v>33657</v>
      </c>
      <c r="W41" s="306">
        <v>5754</v>
      </c>
      <c r="X41" s="306">
        <v>46243</v>
      </c>
      <c r="Y41" s="306">
        <v>5986</v>
      </c>
      <c r="Z41" s="306">
        <v>17547</v>
      </c>
      <c r="AC41" s="306">
        <v>6059</v>
      </c>
      <c r="AD41" s="306">
        <v>39716</v>
      </c>
      <c r="AF41" s="306">
        <v>6527</v>
      </c>
      <c r="AG41" s="306">
        <v>46243</v>
      </c>
      <c r="AH41" s="39">
        <v>6572</v>
      </c>
      <c r="AI41" s="39">
        <v>19158</v>
      </c>
      <c r="AJ41" s="39">
        <v>52815</v>
      </c>
      <c r="AK41" s="39"/>
      <c r="AL41" s="39">
        <v>6573</v>
      </c>
      <c r="AM41" s="39">
        <v>59388</v>
      </c>
      <c r="AN41" s="39"/>
      <c r="AO41" s="39"/>
      <c r="AQ41" s="39">
        <v>6918</v>
      </c>
      <c r="AR41" s="39">
        <v>66306</v>
      </c>
      <c r="AX41" s="43">
        <f>טבלה5[[#This Row],[עמודה4]]/1000</f>
        <v>73.302999999999997</v>
      </c>
      <c r="AY41" s="43">
        <f>טבלה5[[#This Row],[עמודה4]]/1000</f>
        <v>73.302999999999997</v>
      </c>
    </row>
    <row r="42" spans="1:51" ht="14.25" customHeight="1">
      <c r="A42" s="7" t="str">
        <f>VLOOKUP(H42,Index!A:B,2,0)</f>
        <v>Insurance</v>
      </c>
      <c r="B42" s="39">
        <f>טבלה5[[#This Row],[עמודה4]]-AR42</f>
        <v>3359</v>
      </c>
      <c r="C42" s="39"/>
      <c r="D42" s="39">
        <f>טבלה5[[#This Row],[עמודה4]]-AJ42</f>
        <v>10060</v>
      </c>
      <c r="E42" s="39"/>
      <c r="F42" s="39">
        <f>-SUMIF(SAP!A:A,H42,SAP!F:F)</f>
        <v>124846</v>
      </c>
      <c r="G42" s="39">
        <v>12350</v>
      </c>
      <c r="H42" s="3">
        <v>7054</v>
      </c>
      <c r="J42" s="607">
        <v>2006</v>
      </c>
      <c r="L42" s="306">
        <v>1316</v>
      </c>
      <c r="M42" s="306">
        <v>3322</v>
      </c>
      <c r="O42" s="306">
        <v>1347</v>
      </c>
      <c r="P42" s="306">
        <v>7080</v>
      </c>
      <c r="R42" s="306">
        <v>1261</v>
      </c>
      <c r="S42" s="306">
        <v>5930</v>
      </c>
      <c r="T42" s="306"/>
      <c r="U42" s="306">
        <v>6240</v>
      </c>
      <c r="V42" s="306">
        <v>7080</v>
      </c>
      <c r="W42" s="306">
        <v>310</v>
      </c>
      <c r="X42" s="306">
        <v>43402</v>
      </c>
      <c r="Y42" s="306">
        <v>840</v>
      </c>
      <c r="Z42" s="306">
        <v>2411</v>
      </c>
      <c r="AC42" s="306">
        <v>32811</v>
      </c>
      <c r="AD42" s="306">
        <v>39891</v>
      </c>
      <c r="AF42" s="306">
        <v>3511</v>
      </c>
      <c r="AG42" s="306">
        <v>43402</v>
      </c>
      <c r="AH42" s="39">
        <v>71384</v>
      </c>
      <c r="AI42" s="39">
        <v>107706</v>
      </c>
      <c r="AJ42" s="39">
        <v>114786</v>
      </c>
      <c r="AK42" s="39"/>
      <c r="AL42" s="39">
        <v>779</v>
      </c>
      <c r="AM42" s="39">
        <v>115565</v>
      </c>
      <c r="AN42" s="39"/>
      <c r="AO42" s="39"/>
      <c r="AQ42" s="39">
        <v>5922</v>
      </c>
      <c r="AR42" s="39">
        <v>121487</v>
      </c>
      <c r="AX42" s="43">
        <f>טבלה5[[#This Row],[עמודה4]]/1000</f>
        <v>124.846</v>
      </c>
      <c r="AY42" s="43">
        <f>טבלה5[[#This Row],[עמודה4]]/1000</f>
        <v>124.846</v>
      </c>
    </row>
    <row r="43" spans="1:51" ht="14.25" customHeight="1">
      <c r="A43" s="7" t="str">
        <f>VLOOKUP(H43,Index!A:B,2,0)</f>
        <v>Vehicle expense</v>
      </c>
      <c r="B43" s="39">
        <f>טבלה5[[#This Row],[עמודה4]]-AR43</f>
        <v>0</v>
      </c>
      <c r="C43" s="39"/>
      <c r="D43" s="39">
        <f>טבלה5[[#This Row],[עמודה4]]-AJ43</f>
        <v>793</v>
      </c>
      <c r="E43" s="39"/>
      <c r="F43" s="39">
        <f>-SUMIF(SAP!A:A,H43,SAP!F:F)</f>
        <v>793</v>
      </c>
      <c r="G43" s="39">
        <v>6077</v>
      </c>
      <c r="H43" s="3">
        <v>7056</v>
      </c>
      <c r="J43" s="607">
        <v>0</v>
      </c>
      <c r="L43" s="306">
        <v>0</v>
      </c>
      <c r="M43" s="306">
        <v>0</v>
      </c>
      <c r="O43" s="306">
        <v>0</v>
      </c>
      <c r="P43" s="306">
        <v>0</v>
      </c>
      <c r="R43" s="306">
        <v>0</v>
      </c>
      <c r="S43" s="306">
        <v>0</v>
      </c>
      <c r="T43" s="306"/>
      <c r="U43" s="306">
        <v>0</v>
      </c>
      <c r="V43" s="306">
        <v>0</v>
      </c>
      <c r="W43" s="306">
        <v>0</v>
      </c>
      <c r="X43" s="306">
        <v>0</v>
      </c>
      <c r="Y43" s="306">
        <v>0</v>
      </c>
      <c r="Z43" s="306">
        <v>0</v>
      </c>
      <c r="AC43" s="306">
        <v>0</v>
      </c>
      <c r="AD43" s="306">
        <v>0</v>
      </c>
      <c r="AF43" s="306">
        <v>0</v>
      </c>
      <c r="AG43" s="306">
        <v>0</v>
      </c>
      <c r="AH43" s="39">
        <v>0</v>
      </c>
      <c r="AI43" s="39">
        <v>0</v>
      </c>
      <c r="AJ43" s="39">
        <v>0</v>
      </c>
      <c r="AK43" s="39"/>
      <c r="AL43" s="39">
        <v>793</v>
      </c>
      <c r="AM43" s="39">
        <v>793</v>
      </c>
      <c r="AN43" s="39"/>
      <c r="AO43" s="39"/>
      <c r="AQ43" s="39">
        <v>0</v>
      </c>
      <c r="AR43" s="39">
        <v>793</v>
      </c>
      <c r="AX43" s="43">
        <f>טבלה5[[#This Row],[עמודה4]]/1000</f>
        <v>0.79300000000000004</v>
      </c>
      <c r="AY43" s="43">
        <f>טבלה5[[#This Row],[עמודה4]]/1000</f>
        <v>0.79300000000000004</v>
      </c>
    </row>
    <row r="44" spans="1:51" ht="14.25" customHeight="1">
      <c r="A44" s="7" t="str">
        <f>VLOOKUP(H44,Index!A:B,2,0)</f>
        <v>Consulting</v>
      </c>
      <c r="B44" s="39">
        <f>טבלה5[[#This Row],[עמודה4]]-AR44</f>
        <v>-308510</v>
      </c>
      <c r="C44" s="39"/>
      <c r="D44" s="39">
        <f>טבלה5[[#This Row],[עמודה4]]-AJ44</f>
        <v>-291421</v>
      </c>
      <c r="E44" s="39"/>
      <c r="F44" s="837">
        <f>-SUMIF(SAP!A:A,H44,SAP!F:F)</f>
        <v>105442</v>
      </c>
      <c r="G44" s="39">
        <v>101458</v>
      </c>
      <c r="H44" s="3">
        <v>7053</v>
      </c>
      <c r="J44" s="608">
        <v>9401</v>
      </c>
      <c r="L44" s="306">
        <v>326935</v>
      </c>
      <c r="M44" s="306">
        <v>336336</v>
      </c>
      <c r="O44" s="306">
        <v>9204</v>
      </c>
      <c r="P44" s="306">
        <v>371960</v>
      </c>
      <c r="R44" s="306">
        <v>8755</v>
      </c>
      <c r="S44" s="306">
        <v>354295</v>
      </c>
      <c r="T44" s="306"/>
      <c r="U44" s="306">
        <v>363189</v>
      </c>
      <c r="V44" s="306">
        <v>371960</v>
      </c>
      <c r="W44" s="306">
        <v>8894</v>
      </c>
      <c r="X44" s="306">
        <v>388717</v>
      </c>
      <c r="Y44" s="306">
        <v>8771</v>
      </c>
      <c r="Z44" s="306">
        <v>26420</v>
      </c>
      <c r="AC44" s="306">
        <v>8439</v>
      </c>
      <c r="AD44" s="306">
        <v>380399</v>
      </c>
      <c r="AF44" s="306">
        <v>8318</v>
      </c>
      <c r="AG44" s="306">
        <v>388717</v>
      </c>
      <c r="AH44" s="39">
        <v>8146</v>
      </c>
      <c r="AI44" s="39">
        <v>24903</v>
      </c>
      <c r="AJ44" s="39">
        <v>396863</v>
      </c>
      <c r="AK44" s="39"/>
      <c r="AL44" s="39">
        <v>8074</v>
      </c>
      <c r="AM44" s="39">
        <v>404937</v>
      </c>
      <c r="AN44" s="39"/>
      <c r="AO44" s="39"/>
      <c r="AQ44" s="39">
        <v>9015</v>
      </c>
      <c r="AR44" s="39">
        <v>413952</v>
      </c>
      <c r="AX44" s="43">
        <f>טבלה5[[#This Row],[עמודה4]]/1000</f>
        <v>105.44199999999999</v>
      </c>
      <c r="AY44" s="43">
        <f>טבלה5[[#This Row],[עמודה4]]/1000</f>
        <v>105.44199999999999</v>
      </c>
    </row>
    <row r="45" spans="1:51" ht="14.25" customHeight="1">
      <c r="A45" s="7" t="str">
        <f>VLOOKUP(H45,Index!A:B,2,0)</f>
        <v>Office Maintenance</v>
      </c>
      <c r="B45" s="39">
        <f>טבלה5[[#This Row],[עמודה4]]-AR45</f>
        <v>34438</v>
      </c>
      <c r="C45" s="39"/>
      <c r="D45" s="39">
        <f>טבלה5[[#This Row],[עמודה4]]-AJ45</f>
        <v>91971</v>
      </c>
      <c r="E45" s="39"/>
      <c r="F45" s="837">
        <f>-SUMIF(SAP!A:A,H45,SAP!F:F)</f>
        <v>331046</v>
      </c>
      <c r="G45" s="39">
        <v>306316</v>
      </c>
      <c r="H45" s="3">
        <v>7055</v>
      </c>
      <c r="J45" s="607">
        <v>26898</v>
      </c>
      <c r="L45" s="306">
        <v>22301</v>
      </c>
      <c r="M45" s="306">
        <v>49199</v>
      </c>
      <c r="O45" s="306">
        <v>26600</v>
      </c>
      <c r="P45" s="306">
        <v>158378</v>
      </c>
      <c r="R45" s="306">
        <v>25395</v>
      </c>
      <c r="S45" s="306">
        <v>101194</v>
      </c>
      <c r="T45" s="306"/>
      <c r="U45" s="306">
        <v>131406</v>
      </c>
      <c r="V45" s="306">
        <v>158378</v>
      </c>
      <c r="W45" s="306">
        <v>30212</v>
      </c>
      <c r="X45" s="306">
        <v>207309</v>
      </c>
      <c r="Y45" s="306">
        <v>26972</v>
      </c>
      <c r="Z45" s="306">
        <v>82579</v>
      </c>
      <c r="AC45" s="306">
        <v>22612</v>
      </c>
      <c r="AD45" s="306">
        <v>180990</v>
      </c>
      <c r="AF45" s="306">
        <v>26319</v>
      </c>
      <c r="AG45" s="306">
        <v>207309</v>
      </c>
      <c r="AH45" s="39">
        <v>31766</v>
      </c>
      <c r="AI45" s="39">
        <v>80697</v>
      </c>
      <c r="AJ45" s="39">
        <v>239075</v>
      </c>
      <c r="AK45" s="39"/>
      <c r="AL45" s="39">
        <v>27252</v>
      </c>
      <c r="AM45" s="39">
        <v>266327</v>
      </c>
      <c r="AN45" s="39"/>
      <c r="AO45" s="39"/>
      <c r="AQ45" s="39">
        <v>30281</v>
      </c>
      <c r="AR45" s="39">
        <v>296608</v>
      </c>
      <c r="AX45" s="43">
        <f>טבלה5[[#This Row],[עמודה4]]/1000</f>
        <v>331.04599999999999</v>
      </c>
      <c r="AY45" s="43">
        <f>טבלה5[[#This Row],[עמודה4]]/1000</f>
        <v>331.04599999999999</v>
      </c>
    </row>
    <row r="46" spans="1:51" ht="14.25" customHeight="1">
      <c r="A46" s="7" t="str">
        <f>VLOOKUP(H46,Index!A:B,2,0)</f>
        <v>Travel Abroad</v>
      </c>
      <c r="B46" s="39">
        <f>טבלה5[[#This Row],[עמודה4]]-AR46</f>
        <v>32789</v>
      </c>
      <c r="C46" s="39"/>
      <c r="D46" s="39">
        <f>טבלה5[[#This Row],[עמודה4]]-AJ46</f>
        <v>56471</v>
      </c>
      <c r="E46" s="39"/>
      <c r="F46" s="36">
        <f>-SUMIF(SAP!A:A,H46,SAP!F:F)</f>
        <v>196840</v>
      </c>
      <c r="G46" s="39">
        <v>14258</v>
      </c>
      <c r="H46" s="3">
        <v>7057</v>
      </c>
      <c r="J46" s="632">
        <v>-4310</v>
      </c>
      <c r="K46" s="203"/>
      <c r="L46" s="304">
        <v>0</v>
      </c>
      <c r="M46" s="304">
        <v>-4310</v>
      </c>
      <c r="O46" s="304">
        <v>4620</v>
      </c>
      <c r="P46" s="304">
        <v>28659</v>
      </c>
      <c r="R46" s="306">
        <v>9928</v>
      </c>
      <c r="S46" s="306">
        <v>10238</v>
      </c>
      <c r="T46" s="306"/>
      <c r="U46" s="306">
        <v>10245</v>
      </c>
      <c r="V46" s="306">
        <v>28659</v>
      </c>
      <c r="W46" s="306">
        <v>7</v>
      </c>
      <c r="X46" s="306">
        <v>100296</v>
      </c>
      <c r="Y46" s="306">
        <v>18414</v>
      </c>
      <c r="Z46" s="306">
        <v>28349</v>
      </c>
      <c r="AC46" s="306">
        <v>66310</v>
      </c>
      <c r="AD46" s="306">
        <v>94969</v>
      </c>
      <c r="AF46" s="306">
        <v>5327</v>
      </c>
      <c r="AG46" s="306">
        <v>100296</v>
      </c>
      <c r="AH46" s="39">
        <v>40073</v>
      </c>
      <c r="AI46" s="39">
        <v>111710</v>
      </c>
      <c r="AJ46" s="39">
        <v>140369</v>
      </c>
      <c r="AK46" s="39"/>
      <c r="AL46" s="39">
        <v>20361</v>
      </c>
      <c r="AM46" s="39">
        <v>160730</v>
      </c>
      <c r="AN46" s="39"/>
      <c r="AO46" s="39"/>
      <c r="AQ46" s="39">
        <v>3321</v>
      </c>
      <c r="AR46" s="39">
        <v>164051</v>
      </c>
      <c r="AX46" s="43">
        <f>טבלה5[[#This Row],[עמודה4]]/1000</f>
        <v>196.84</v>
      </c>
      <c r="AY46" s="43">
        <f>טבלה5[[#This Row],[עמודה4]]/1000</f>
        <v>196.84</v>
      </c>
    </row>
    <row r="47" spans="1:51" ht="17.25">
      <c r="A47" s="7" t="str">
        <f>VLOOKUP(H47,Index!A:B,2,0)</f>
        <v>Other</v>
      </c>
      <c r="B47" s="94">
        <f>טבלה5[[#This Row],[עמודה4]]-AR47</f>
        <v>69212</v>
      </c>
      <c r="C47" s="94"/>
      <c r="D47" s="94">
        <f>טבלה5[[#This Row],[עמודה4]]-AJ47</f>
        <v>85077</v>
      </c>
      <c r="E47" s="94"/>
      <c r="F47" s="94">
        <f>-SUMIF(SAP!A:A,H47,SAP!F:F)</f>
        <v>239232</v>
      </c>
      <c r="G47" s="303">
        <v>217530</v>
      </c>
      <c r="H47" s="3">
        <v>7059</v>
      </c>
      <c r="J47" s="631">
        <v>11096</v>
      </c>
      <c r="L47" s="303">
        <v>4942</v>
      </c>
      <c r="M47" s="303">
        <v>16038</v>
      </c>
      <c r="O47" s="303">
        <v>21936</v>
      </c>
      <c r="P47" s="303">
        <v>73383</v>
      </c>
      <c r="R47" s="303">
        <v>10322</v>
      </c>
      <c r="S47" s="303">
        <v>48296</v>
      </c>
      <c r="T47" s="303"/>
      <c r="U47" s="303">
        <v>57959</v>
      </c>
      <c r="V47" s="303">
        <v>73383</v>
      </c>
      <c r="W47" s="303">
        <v>9663</v>
      </c>
      <c r="X47" s="303">
        <v>144384</v>
      </c>
      <c r="Y47" s="303">
        <v>15424</v>
      </c>
      <c r="Z47" s="303">
        <v>35409</v>
      </c>
      <c r="AC47" s="303">
        <v>41451</v>
      </c>
      <c r="AD47" s="303">
        <v>114834</v>
      </c>
      <c r="AF47" s="303">
        <v>29550</v>
      </c>
      <c r="AG47" s="303">
        <v>144384</v>
      </c>
      <c r="AH47" s="94">
        <v>9771</v>
      </c>
      <c r="AI47" s="94">
        <v>80772</v>
      </c>
      <c r="AJ47" s="94">
        <v>154155</v>
      </c>
      <c r="AK47" s="94"/>
      <c r="AL47" s="94">
        <v>4098</v>
      </c>
      <c r="AM47" s="94">
        <v>158253</v>
      </c>
      <c r="AN47" s="94"/>
      <c r="AO47" s="94"/>
      <c r="AQ47" s="94">
        <v>11767</v>
      </c>
      <c r="AR47" s="94">
        <v>170020</v>
      </c>
      <c r="AX47" s="43">
        <f>טבלה5[[#This Row],[עמודה4]]/1000</f>
        <v>239.232</v>
      </c>
      <c r="AY47" s="43">
        <f>טבלה5[[#This Row],[עמודה4]]/1000</f>
        <v>239.232</v>
      </c>
    </row>
    <row r="48" spans="1:51" ht="18">
      <c r="A48" s="21"/>
      <c r="B48" s="97">
        <f>SUM(B39:B47)</f>
        <v>-80108</v>
      </c>
      <c r="C48" s="97">
        <f t="shared" ref="C48:E48" si="8">SUM(C39:C47)</f>
        <v>0</v>
      </c>
      <c r="D48" s="97">
        <f t="shared" si="8"/>
        <v>223230</v>
      </c>
      <c r="E48" s="97">
        <f t="shared" si="8"/>
        <v>0</v>
      </c>
      <c r="F48" s="97">
        <f>SUM(F39:F47)</f>
        <v>2185950</v>
      </c>
      <c r="G48" s="233">
        <f t="shared" ref="G48" si="9">SUM(G39:G47)</f>
        <v>1859794</v>
      </c>
      <c r="H48" s="3"/>
      <c r="J48" s="233">
        <v>147583</v>
      </c>
      <c r="L48" s="233">
        <v>452715</v>
      </c>
      <c r="M48" s="233">
        <v>600298</v>
      </c>
      <c r="O48" s="233">
        <v>175162</v>
      </c>
      <c r="P48" s="233">
        <v>1259969</v>
      </c>
      <c r="R48" s="233">
        <v>156108</v>
      </c>
      <c r="S48" s="233">
        <v>931568</v>
      </c>
      <c r="T48" s="233"/>
      <c r="U48" s="233">
        <v>1089656</v>
      </c>
      <c r="V48" s="233">
        <v>1259969</v>
      </c>
      <c r="W48" s="233">
        <v>158088</v>
      </c>
      <c r="X48" s="233">
        <v>1699531</v>
      </c>
      <c r="Y48" s="233">
        <v>170313</v>
      </c>
      <c r="Z48" s="233">
        <v>484509</v>
      </c>
      <c r="AC48" s="233">
        <v>262172</v>
      </c>
      <c r="AD48" s="233">
        <v>1522141</v>
      </c>
      <c r="AF48" s="233">
        <v>177390</v>
      </c>
      <c r="AG48" s="233">
        <v>1699531</v>
      </c>
      <c r="AH48" s="97">
        <v>263189</v>
      </c>
      <c r="AI48" s="97">
        <v>702751</v>
      </c>
      <c r="AJ48" s="97">
        <v>1962720</v>
      </c>
      <c r="AK48" s="97"/>
      <c r="AL48" s="97">
        <v>148573</v>
      </c>
      <c r="AM48" s="97">
        <v>2111293</v>
      </c>
      <c r="AN48" s="97"/>
      <c r="AO48" s="97"/>
      <c r="AQ48" s="97">
        <v>154765</v>
      </c>
      <c r="AR48" s="97">
        <v>2266058</v>
      </c>
      <c r="AX48" s="43">
        <f>טבלה5[[#This Row],[עמודה4]]/1000</f>
        <v>2185.9499999999998</v>
      </c>
      <c r="AY48" s="43">
        <f>טבלה5[[#This Row],[עמודה4]]/1000</f>
        <v>2185.9499999999998</v>
      </c>
    </row>
    <row r="49" spans="1:51" ht="18">
      <c r="A49" s="15"/>
      <c r="B49" s="234">
        <f>B48-'P&amp;L'!D21</f>
        <v>0</v>
      </c>
      <c r="C49" s="234"/>
      <c r="D49" s="234">
        <f>D48-'P&amp;L'!F21</f>
        <v>0</v>
      </c>
      <c r="E49" s="234"/>
      <c r="F49" s="234">
        <f>F48-'P&amp;L'!H21</f>
        <v>0</v>
      </c>
      <c r="G49" s="234">
        <f>G48-'P&amp;L'!I21</f>
        <v>0</v>
      </c>
      <c r="H49" s="3"/>
      <c r="J49" s="607"/>
      <c r="L49" s="616"/>
      <c r="M49" s="616"/>
      <c r="O49" s="616"/>
      <c r="P49" s="616">
        <v>0</v>
      </c>
      <c r="R49" s="616"/>
      <c r="S49" s="233">
        <v>0</v>
      </c>
      <c r="T49" s="233"/>
      <c r="U49" s="616">
        <v>0</v>
      </c>
      <c r="V49" s="616">
        <v>0</v>
      </c>
      <c r="W49" s="616">
        <v>0</v>
      </c>
      <c r="X49" s="616">
        <v>0</v>
      </c>
      <c r="Y49" s="616">
        <v>0</v>
      </c>
      <c r="Z49" s="616">
        <v>0</v>
      </c>
      <c r="AC49" s="616">
        <v>0</v>
      </c>
      <c r="AD49" s="616">
        <v>0</v>
      </c>
      <c r="AF49" s="616">
        <v>0</v>
      </c>
      <c r="AG49" s="616">
        <v>0</v>
      </c>
      <c r="AH49" s="234">
        <v>0</v>
      </c>
      <c r="AI49" s="234">
        <v>0</v>
      </c>
      <c r="AJ49" s="234">
        <v>0</v>
      </c>
      <c r="AK49" s="234"/>
      <c r="AL49" s="234">
        <v>0</v>
      </c>
      <c r="AM49" s="234">
        <v>0</v>
      </c>
      <c r="AN49" s="234"/>
      <c r="AO49" s="234"/>
      <c r="AQ49" s="234">
        <v>0</v>
      </c>
      <c r="AR49" s="234">
        <v>0</v>
      </c>
      <c r="AX49" s="43">
        <f>טבלה5[[#This Row],[עמודה4]]/1000</f>
        <v>0</v>
      </c>
      <c r="AY49" s="43">
        <f>טבלה5[[#This Row],[עמודה4]]/1000</f>
        <v>0</v>
      </c>
    </row>
    <row r="50" spans="1:51">
      <c r="A50" s="15"/>
      <c r="B50"/>
      <c r="C50"/>
      <c r="D50"/>
      <c r="E50"/>
      <c r="F50"/>
      <c r="G50"/>
      <c r="H50" s="3"/>
      <c r="J50" s="608"/>
      <c r="L50" s="58"/>
      <c r="M50" s="58"/>
      <c r="O50" s="58"/>
      <c r="P50" s="58"/>
      <c r="R50" s="58"/>
      <c r="S50" s="58"/>
      <c r="T50" s="58"/>
      <c r="U50" s="58"/>
      <c r="V50" s="58"/>
      <c r="W50" s="58"/>
      <c r="X50" s="58"/>
      <c r="Y50" s="58"/>
      <c r="Z50" s="58"/>
      <c r="AC50" s="58"/>
      <c r="AD50" s="58"/>
      <c r="AF50" s="58"/>
      <c r="AG50" s="58"/>
      <c r="AH50"/>
      <c r="AI50"/>
      <c r="AJ50"/>
      <c r="AK50"/>
      <c r="AL50"/>
      <c r="AM50"/>
      <c r="AN50"/>
      <c r="AO50"/>
      <c r="AQ50"/>
      <c r="AR50"/>
      <c r="AX50" s="43">
        <f>טבלה5[[#This Row],[עמודה4]]/1000</f>
        <v>0</v>
      </c>
      <c r="AY50" s="43">
        <f>טבלה5[[#This Row],[עמודה4]]/1000</f>
        <v>0</v>
      </c>
    </row>
    <row r="51" spans="1:51" ht="17.25">
      <c r="A51" s="11" t="s">
        <v>469</v>
      </c>
      <c r="B51" s="16"/>
      <c r="C51" s="16"/>
      <c r="D51" s="16"/>
      <c r="E51" s="16"/>
      <c r="H51" s="3"/>
      <c r="J51" s="609"/>
      <c r="L51" s="617"/>
      <c r="M51" s="617"/>
      <c r="O51" s="617"/>
      <c r="P51" s="617"/>
      <c r="R51" s="617"/>
      <c r="S51" s="617"/>
      <c r="T51" s="617"/>
      <c r="U51" s="617"/>
      <c r="V51" s="617"/>
      <c r="W51" s="617"/>
      <c r="X51" s="617"/>
      <c r="Y51" s="617"/>
      <c r="Z51" s="617"/>
      <c r="AC51" s="617"/>
      <c r="AD51" s="617"/>
      <c r="AF51" s="617"/>
      <c r="AG51" s="617"/>
      <c r="AH51" s="16"/>
      <c r="AI51" s="16"/>
      <c r="AJ51" s="16"/>
      <c r="AK51" s="16"/>
      <c r="AL51" s="16"/>
      <c r="AM51" s="16"/>
      <c r="AN51" s="16"/>
      <c r="AO51" s="16"/>
      <c r="AQ51" s="16"/>
      <c r="AR51" s="16"/>
      <c r="AX51" s="43">
        <f>טבלה5[[#This Row],[עמודה4]]/1000</f>
        <v>0</v>
      </c>
      <c r="AY51" s="43">
        <f>טבלה5[[#This Row],[עמודה4]]/1000</f>
        <v>0</v>
      </c>
    </row>
    <row r="52" spans="1:51" ht="15.75">
      <c r="B52" s="551" t="str">
        <f>B35</f>
        <v>MTD</v>
      </c>
      <c r="C52" s="551"/>
      <c r="D52" s="551" t="s">
        <v>159</v>
      </c>
      <c r="E52" s="551"/>
      <c r="F52" s="551" t="s">
        <v>125</v>
      </c>
      <c r="G52" s="551" t="s">
        <v>125</v>
      </c>
      <c r="H52" s="3"/>
      <c r="J52" s="598" t="s">
        <v>125</v>
      </c>
      <c r="L52" s="598" t="s">
        <v>710</v>
      </c>
      <c r="M52" s="598" t="s">
        <v>125</v>
      </c>
      <c r="O52" s="598" t="s">
        <v>710</v>
      </c>
      <c r="P52" s="598" t="s">
        <v>125</v>
      </c>
      <c r="R52" s="598" t="s">
        <v>710</v>
      </c>
      <c r="S52" s="598" t="s">
        <v>125</v>
      </c>
      <c r="T52" s="598"/>
      <c r="U52" s="598" t="s">
        <v>125</v>
      </c>
      <c r="V52" s="598" t="s">
        <v>125</v>
      </c>
      <c r="W52" s="598" t="s">
        <v>710</v>
      </c>
      <c r="X52" s="598" t="s">
        <v>125</v>
      </c>
      <c r="Y52" s="598" t="s">
        <v>710</v>
      </c>
      <c r="Z52" s="598" t="s">
        <v>159</v>
      </c>
      <c r="AC52" s="598" t="s">
        <v>710</v>
      </c>
      <c r="AD52" s="598" t="s">
        <v>125</v>
      </c>
      <c r="AF52" s="598" t="s">
        <v>710</v>
      </c>
      <c r="AG52" s="598" t="s">
        <v>125</v>
      </c>
      <c r="AH52" s="551" t="s">
        <v>710</v>
      </c>
      <c r="AI52" s="551" t="s">
        <v>159</v>
      </c>
      <c r="AJ52" s="551" t="s">
        <v>125</v>
      </c>
      <c r="AK52" s="598"/>
      <c r="AL52" s="598" t="s">
        <v>710</v>
      </c>
      <c r="AM52" s="598" t="s">
        <v>125</v>
      </c>
      <c r="AN52" s="598"/>
      <c r="AO52" s="598"/>
      <c r="AQ52" s="551" t="s">
        <v>710</v>
      </c>
      <c r="AR52" s="551" t="s">
        <v>125</v>
      </c>
      <c r="AX52" s="43" t="e">
        <f>טבלה5[[#This Row],[עמודה4]]/1000</f>
        <v>#VALUE!</v>
      </c>
      <c r="AY52" s="43" t="e">
        <f>טבלה5[[#This Row],[עמודה4]]/1000</f>
        <v>#VALUE!</v>
      </c>
    </row>
    <row r="53" spans="1:51" ht="15.75">
      <c r="B53" s="552">
        <f t="shared" ref="B53:F54" si="10">DATE</f>
        <v>44926</v>
      </c>
      <c r="C53" s="552"/>
      <c r="D53" s="552">
        <f t="shared" ref="D53:D54" si="11">DATE</f>
        <v>44926</v>
      </c>
      <c r="E53" s="552"/>
      <c r="F53" s="552">
        <f t="shared" si="10"/>
        <v>44926</v>
      </c>
      <c r="G53" s="552">
        <v>43830</v>
      </c>
      <c r="H53" s="3"/>
      <c r="J53" s="598">
        <v>44592</v>
      </c>
      <c r="L53" s="598">
        <v>44620</v>
      </c>
      <c r="M53" s="598">
        <v>44620</v>
      </c>
      <c r="O53" s="598">
        <v>44651</v>
      </c>
      <c r="P53" s="598">
        <v>44742</v>
      </c>
      <c r="R53" s="598">
        <v>44681</v>
      </c>
      <c r="S53" s="598">
        <v>44681</v>
      </c>
      <c r="T53" s="598"/>
      <c r="U53" s="598">
        <v>44712</v>
      </c>
      <c r="V53" s="598">
        <v>44742</v>
      </c>
      <c r="W53" s="598">
        <v>44712</v>
      </c>
      <c r="X53" s="598">
        <v>44804</v>
      </c>
      <c r="Y53" s="598">
        <v>44742</v>
      </c>
      <c r="Z53" s="598">
        <v>44742</v>
      </c>
      <c r="AC53" s="598">
        <v>44773</v>
      </c>
      <c r="AD53" s="598">
        <v>44773</v>
      </c>
      <c r="AF53" s="598">
        <v>44804</v>
      </c>
      <c r="AG53" s="598">
        <v>44804</v>
      </c>
      <c r="AH53" s="552">
        <v>44834</v>
      </c>
      <c r="AI53" s="552">
        <v>44834</v>
      </c>
      <c r="AJ53" s="552">
        <v>44834</v>
      </c>
      <c r="AK53" s="598"/>
      <c r="AL53" s="598">
        <v>44865</v>
      </c>
      <c r="AM53" s="598">
        <v>44865</v>
      </c>
      <c r="AN53" s="598"/>
      <c r="AO53" s="598"/>
      <c r="AQ53" s="552">
        <v>44895</v>
      </c>
      <c r="AR53" s="552">
        <v>44895</v>
      </c>
      <c r="AX53" s="43">
        <f>טבלה5[[#This Row],[עמודה4]]/1000</f>
        <v>44.926000000000002</v>
      </c>
      <c r="AY53" s="43">
        <f>טבלה5[[#This Row],[עמודה4]]/1000</f>
        <v>44.926000000000002</v>
      </c>
    </row>
    <row r="54" spans="1:51" ht="15.75">
      <c r="B54" s="553">
        <f t="shared" si="10"/>
        <v>44926</v>
      </c>
      <c r="C54" s="553"/>
      <c r="D54" s="553">
        <f t="shared" si="11"/>
        <v>44926</v>
      </c>
      <c r="E54" s="553"/>
      <c r="F54" s="553">
        <f t="shared" si="10"/>
        <v>44926</v>
      </c>
      <c r="G54" s="553">
        <f>CompareDATE</f>
        <v>44561</v>
      </c>
      <c r="H54" s="3"/>
      <c r="J54" s="606">
        <v>44592</v>
      </c>
      <c r="L54" s="606">
        <v>44620</v>
      </c>
      <c r="M54" s="606">
        <v>44620</v>
      </c>
      <c r="O54" s="606">
        <v>44651</v>
      </c>
      <c r="P54" s="606">
        <v>44742</v>
      </c>
      <c r="R54" s="606">
        <v>44681</v>
      </c>
      <c r="S54" s="606">
        <v>44681</v>
      </c>
      <c r="T54" s="606"/>
      <c r="U54" s="606">
        <v>44712</v>
      </c>
      <c r="V54" s="606">
        <v>44742</v>
      </c>
      <c r="W54" s="606">
        <v>44712</v>
      </c>
      <c r="X54" s="606">
        <v>44804</v>
      </c>
      <c r="Y54" s="606">
        <v>44742</v>
      </c>
      <c r="Z54" s="606">
        <v>44742</v>
      </c>
      <c r="AC54" s="606">
        <v>44773</v>
      </c>
      <c r="AD54" s="606">
        <v>44773</v>
      </c>
      <c r="AF54" s="606">
        <v>44804</v>
      </c>
      <c r="AG54" s="606">
        <v>44804</v>
      </c>
      <c r="AH54" s="553">
        <v>44834</v>
      </c>
      <c r="AI54" s="553">
        <v>44834</v>
      </c>
      <c r="AJ54" s="553">
        <v>44834</v>
      </c>
      <c r="AK54" s="606"/>
      <c r="AL54" s="606">
        <v>44865</v>
      </c>
      <c r="AM54" s="606">
        <v>44865</v>
      </c>
      <c r="AN54" s="606"/>
      <c r="AO54" s="606"/>
      <c r="AQ54" s="553">
        <v>44895</v>
      </c>
      <c r="AR54" s="553">
        <v>44895</v>
      </c>
      <c r="AX54" s="43">
        <f>טבלה5[[#This Row],[עמודה4]]/1000</f>
        <v>44.926000000000002</v>
      </c>
      <c r="AY54" s="43">
        <f>טבלה5[[#This Row],[עמודה4]]/1000</f>
        <v>44.926000000000002</v>
      </c>
    </row>
    <row r="55" spans="1:51" ht="20.25">
      <c r="B55" s="549" t="s">
        <v>11</v>
      </c>
      <c r="C55" s="549"/>
      <c r="D55" s="549" t="s">
        <v>11</v>
      </c>
      <c r="E55" s="549"/>
      <c r="F55" s="549" t="s">
        <v>11</v>
      </c>
      <c r="G55" s="549" t="s">
        <v>11</v>
      </c>
      <c r="H55" s="3"/>
      <c r="J55" s="600" t="s">
        <v>11</v>
      </c>
      <c r="L55" s="600" t="s">
        <v>11</v>
      </c>
      <c r="M55" s="600" t="s">
        <v>11</v>
      </c>
      <c r="O55" s="600" t="s">
        <v>11</v>
      </c>
      <c r="P55" s="600" t="s">
        <v>11</v>
      </c>
      <c r="R55" s="600" t="s">
        <v>11</v>
      </c>
      <c r="S55" s="600" t="s">
        <v>11</v>
      </c>
      <c r="T55" s="600"/>
      <c r="U55" s="600" t="s">
        <v>11</v>
      </c>
      <c r="V55" s="600" t="s">
        <v>11</v>
      </c>
      <c r="W55" s="600" t="s">
        <v>11</v>
      </c>
      <c r="X55" s="600" t="s">
        <v>11</v>
      </c>
      <c r="Y55" s="600" t="s">
        <v>11</v>
      </c>
      <c r="Z55" s="600" t="s">
        <v>11</v>
      </c>
      <c r="AC55" s="600" t="s">
        <v>11</v>
      </c>
      <c r="AD55" s="600" t="s">
        <v>11</v>
      </c>
      <c r="AF55" s="600" t="s">
        <v>11</v>
      </c>
      <c r="AG55" s="600" t="s">
        <v>11</v>
      </c>
      <c r="AH55" s="549" t="s">
        <v>11</v>
      </c>
      <c r="AI55" s="549" t="s">
        <v>11</v>
      </c>
      <c r="AJ55" s="549" t="s">
        <v>11</v>
      </c>
      <c r="AK55" s="600"/>
      <c r="AL55" s="600" t="s">
        <v>11</v>
      </c>
      <c r="AM55" s="600" t="s">
        <v>11</v>
      </c>
      <c r="AN55" s="600"/>
      <c r="AO55" s="600"/>
      <c r="AQ55" s="549" t="s">
        <v>11</v>
      </c>
      <c r="AR55" s="549" t="s">
        <v>11</v>
      </c>
      <c r="AX55" s="43" t="e">
        <f>טבלה5[[#This Row],[עמודה4]]/1000</f>
        <v>#VALUE!</v>
      </c>
      <c r="AY55" s="43" t="e">
        <f>טבלה5[[#This Row],[עמודה4]]/1000</f>
        <v>#VALUE!</v>
      </c>
    </row>
    <row r="56" spans="1:51">
      <c r="A56" s="7" t="str">
        <f>VLOOKUP(H56,Index!A:B,2,0)</f>
        <v>Bank commission and interest</v>
      </c>
      <c r="B56" s="36">
        <f>טבלה5[[#This Row],[עמודה4]]-AR56</f>
        <v>-155766</v>
      </c>
      <c r="C56" s="39"/>
      <c r="D56" s="36">
        <f>טבלה5[[#This Row],[עמודה4]]-AJ56</f>
        <v>-466259</v>
      </c>
      <c r="E56" s="39"/>
      <c r="F56" s="36">
        <f>-SUMIF(SAP!A:A,H56,SAP!F:F)</f>
        <v>-701518</v>
      </c>
      <c r="G56" s="39">
        <v>6284</v>
      </c>
      <c r="H56" s="3">
        <v>7900</v>
      </c>
      <c r="J56" s="608">
        <v>541</v>
      </c>
      <c r="L56" s="306">
        <v>403</v>
      </c>
      <c r="M56" s="306">
        <v>944</v>
      </c>
      <c r="O56" s="306">
        <v>607</v>
      </c>
      <c r="P56" s="306">
        <v>3459</v>
      </c>
      <c r="R56" s="306">
        <v>701</v>
      </c>
      <c r="S56" s="306">
        <v>2252</v>
      </c>
      <c r="T56" s="306"/>
      <c r="U56" s="306">
        <v>2820</v>
      </c>
      <c r="V56" s="306">
        <v>3459</v>
      </c>
      <c r="W56" s="306">
        <v>568</v>
      </c>
      <c r="X56" s="306">
        <v>-82607</v>
      </c>
      <c r="Y56" s="306">
        <v>639</v>
      </c>
      <c r="Z56" s="306">
        <v>1908</v>
      </c>
      <c r="AC56" s="304">
        <v>-54</v>
      </c>
      <c r="AD56" s="304">
        <v>3405</v>
      </c>
      <c r="AF56" s="304">
        <v>-86012</v>
      </c>
      <c r="AG56" s="304">
        <v>-82607</v>
      </c>
      <c r="AH56" s="36">
        <v>-152652</v>
      </c>
      <c r="AI56" s="36">
        <v>-238718</v>
      </c>
      <c r="AJ56" s="36">
        <v>-235259</v>
      </c>
      <c r="AK56" s="36"/>
      <c r="AL56" s="36">
        <v>-157969</v>
      </c>
      <c r="AM56" s="36">
        <v>-393228</v>
      </c>
      <c r="AN56" s="36"/>
      <c r="AO56" s="36"/>
      <c r="AQ56" s="36">
        <v>-152524</v>
      </c>
      <c r="AR56" s="36">
        <v>-545752</v>
      </c>
      <c r="AX56" s="43">
        <f>טבלה5[[#This Row],[עמודה4]]/1000</f>
        <v>-701.51800000000003</v>
      </c>
      <c r="AY56" s="43">
        <f>טבלה5[[#This Row],[עמודה4]]/1000</f>
        <v>-701.51800000000003</v>
      </c>
    </row>
    <row r="57" spans="1:51">
      <c r="A57" s="7" t="str">
        <f>VLOOKUP(H57,Index!A:B,2,0)</f>
        <v>Exchange difference rate</v>
      </c>
      <c r="B57" s="36">
        <f>טבלה5[[#This Row],[עמודה4]]-AR57</f>
        <v>204862</v>
      </c>
      <c r="C57" s="36"/>
      <c r="D57" s="36">
        <f>טבלה5[[#This Row],[עמודה4]]-AJ57</f>
        <v>-349480</v>
      </c>
      <c r="E57" s="36"/>
      <c r="F57" s="36">
        <f>-SUMIF(SAP!A:A,H57,SAP!F:F)</f>
        <v>326537</v>
      </c>
      <c r="G57" s="36">
        <v>12329</v>
      </c>
      <c r="H57" s="3">
        <v>7901</v>
      </c>
      <c r="J57" s="304">
        <v>9220</v>
      </c>
      <c r="L57" s="304">
        <v>-49133</v>
      </c>
      <c r="M57" s="304">
        <v>-39913</v>
      </c>
      <c r="O57" s="304">
        <v>-143854</v>
      </c>
      <c r="P57" s="304">
        <v>542719</v>
      </c>
      <c r="R57" s="304">
        <v>264842</v>
      </c>
      <c r="S57" s="304">
        <v>81075</v>
      </c>
      <c r="T57" s="304"/>
      <c r="U57" s="304">
        <v>95208</v>
      </c>
      <c r="V57" s="304">
        <v>542719</v>
      </c>
      <c r="W57" s="304">
        <v>14133</v>
      </c>
      <c r="X57" s="304">
        <v>26481</v>
      </c>
      <c r="Y57" s="306">
        <v>447511</v>
      </c>
      <c r="Z57" s="306">
        <v>726486</v>
      </c>
      <c r="AC57" s="304">
        <v>-364630</v>
      </c>
      <c r="AD57" s="304">
        <v>178089</v>
      </c>
      <c r="AF57" s="304">
        <v>-151608</v>
      </c>
      <c r="AG57" s="304">
        <v>26481</v>
      </c>
      <c r="AH57" s="36">
        <v>649536</v>
      </c>
      <c r="AI57" s="36">
        <v>133298</v>
      </c>
      <c r="AJ57" s="36">
        <v>676017</v>
      </c>
      <c r="AK57" s="36"/>
      <c r="AL57" s="36">
        <v>-74730</v>
      </c>
      <c r="AM57" s="36">
        <v>601287</v>
      </c>
      <c r="AN57" s="36"/>
      <c r="AO57" s="36"/>
      <c r="AQ57" s="36">
        <v>-479612</v>
      </c>
      <c r="AR57" s="36">
        <v>121675</v>
      </c>
      <c r="AX57" s="43">
        <f>טבלה5[[#This Row],[עמודה4]]/1000</f>
        <v>326.53699999999998</v>
      </c>
      <c r="AY57" s="43">
        <f>טבלה5[[#This Row],[עמודה4]]/1000</f>
        <v>326.53699999999998</v>
      </c>
    </row>
    <row r="58" spans="1:51" ht="17.25">
      <c r="A58" s="7" t="str">
        <f>VLOOKUP(H58,Index!A:B,2,0)</f>
        <v>Interest to (from) authorities</v>
      </c>
      <c r="B58" s="37">
        <f>טבלה5[[#This Row],[עמודה4]]-X58</f>
        <v>5288</v>
      </c>
      <c r="C58" s="94"/>
      <c r="D58" s="94">
        <f>טבלה5[[#This Row],[עמודה4]]-AJ58</f>
        <v>5288</v>
      </c>
      <c r="E58" s="36"/>
      <c r="F58" s="37">
        <f>-SUMIF(SAP!A:A,H58,SAP!F:F)</f>
        <v>5288</v>
      </c>
      <c r="G58" s="37">
        <v>-440</v>
      </c>
      <c r="H58" s="3">
        <v>7903</v>
      </c>
      <c r="J58" s="609">
        <v>0</v>
      </c>
      <c r="L58" s="318">
        <v>0</v>
      </c>
      <c r="M58" s="318">
        <v>0</v>
      </c>
      <c r="O58" s="318">
        <v>0</v>
      </c>
      <c r="P58" s="318">
        <v>0</v>
      </c>
      <c r="R58" s="303">
        <v>0</v>
      </c>
      <c r="S58" s="303">
        <v>0</v>
      </c>
      <c r="T58" s="303"/>
      <c r="U58" s="303">
        <v>0</v>
      </c>
      <c r="V58" s="303">
        <v>0</v>
      </c>
      <c r="W58" s="303">
        <v>0</v>
      </c>
      <c r="X58" s="303">
        <v>0</v>
      </c>
      <c r="Y58" s="318">
        <v>0</v>
      </c>
      <c r="Z58" s="318">
        <v>0</v>
      </c>
      <c r="AC58" s="318">
        <v>0</v>
      </c>
      <c r="AD58" s="318">
        <v>0</v>
      </c>
      <c r="AF58" s="318">
        <v>0</v>
      </c>
      <c r="AG58" s="318">
        <v>0</v>
      </c>
      <c r="AH58" s="37">
        <v>0</v>
      </c>
      <c r="AI58" s="37">
        <v>0</v>
      </c>
      <c r="AJ58" s="37">
        <v>0</v>
      </c>
      <c r="AK58" s="37"/>
      <c r="AL58" s="37">
        <v>0</v>
      </c>
      <c r="AM58" s="37">
        <v>0</v>
      </c>
      <c r="AN58" s="37"/>
      <c r="AO58" s="37"/>
      <c r="AQ58" s="37">
        <v>0</v>
      </c>
      <c r="AR58" s="37">
        <v>0</v>
      </c>
      <c r="AX58" s="43">
        <f>טבלה5[[#This Row],[עמודה4]]/1000</f>
        <v>5.2880000000000003</v>
      </c>
      <c r="AY58" s="43">
        <f>טבלה5[[#This Row],[עמודה4]]/1000</f>
        <v>5.2880000000000003</v>
      </c>
    </row>
    <row r="59" spans="1:51" ht="18.75" thickBot="1">
      <c r="B59" s="273">
        <f>SUM(B56:B58)</f>
        <v>54384</v>
      </c>
      <c r="C59" s="97">
        <f t="shared" ref="C59:E59" si="12">SUM(C56:C58)</f>
        <v>0</v>
      </c>
      <c r="D59" s="273">
        <f t="shared" si="12"/>
        <v>-810451</v>
      </c>
      <c r="E59" s="273">
        <f t="shared" si="12"/>
        <v>0</v>
      </c>
      <c r="F59" s="273">
        <f>SUM(F56:F58)</f>
        <v>-369693</v>
      </c>
      <c r="G59" s="273">
        <f t="shared" ref="G59" si="13">SUM(G56:G58)</f>
        <v>18173</v>
      </c>
      <c r="H59" s="3"/>
      <c r="J59" s="618">
        <v>9761</v>
      </c>
      <c r="L59" s="618">
        <v>-48730</v>
      </c>
      <c r="M59" s="618">
        <v>-38969</v>
      </c>
      <c r="O59" s="618">
        <v>-143247</v>
      </c>
      <c r="P59" s="618">
        <v>546178</v>
      </c>
      <c r="R59" s="618">
        <v>265543</v>
      </c>
      <c r="S59" s="618">
        <v>83327</v>
      </c>
      <c r="T59" s="618"/>
      <c r="U59" s="618">
        <v>98028</v>
      </c>
      <c r="V59" s="618">
        <v>546178</v>
      </c>
      <c r="W59" s="618">
        <v>14701</v>
      </c>
      <c r="X59" s="618">
        <v>-56126</v>
      </c>
      <c r="Y59" s="618">
        <v>448150</v>
      </c>
      <c r="Z59" s="618">
        <v>728394</v>
      </c>
      <c r="AC59" s="618">
        <v>-364684</v>
      </c>
      <c r="AD59" s="618">
        <v>181494</v>
      </c>
      <c r="AF59" s="618">
        <v>-237620</v>
      </c>
      <c r="AG59" s="618">
        <v>-56126</v>
      </c>
      <c r="AH59" s="273">
        <v>496884</v>
      </c>
      <c r="AI59" s="273">
        <v>-105420</v>
      </c>
      <c r="AJ59" s="273">
        <v>440758</v>
      </c>
      <c r="AK59" s="618"/>
      <c r="AL59" s="618">
        <v>-232699</v>
      </c>
      <c r="AM59" s="618">
        <v>208059</v>
      </c>
      <c r="AN59" s="618"/>
      <c r="AO59" s="618"/>
      <c r="AQ59" s="273">
        <v>-632136</v>
      </c>
      <c r="AR59" s="273">
        <v>-424077</v>
      </c>
      <c r="AX59" s="43">
        <f>טבלה5[[#This Row],[עמודה4]]/1000</f>
        <v>-369.69299999999998</v>
      </c>
      <c r="AY59" s="43">
        <f>טבלה5[[#This Row],[עמודה4]]/1000</f>
        <v>-369.69299999999998</v>
      </c>
    </row>
    <row r="60" spans="1:51" ht="15.75" thickTop="1">
      <c r="B60" s="15">
        <f>B59-'P&amp;L'!D25</f>
        <v>0</v>
      </c>
      <c r="C60" s="15"/>
      <c r="D60" s="15">
        <f>D59-'P&amp;L'!F25</f>
        <v>0</v>
      </c>
      <c r="E60" s="15"/>
      <c r="F60" s="279">
        <f>F59-'P&amp;L'!H25</f>
        <v>0</v>
      </c>
      <c r="G60" s="279">
        <f>G59-'P&amp;L'!I25</f>
        <v>0</v>
      </c>
      <c r="H60" s="3"/>
      <c r="L60" s="601"/>
      <c r="M60" s="601"/>
      <c r="O60" s="601"/>
      <c r="P60" s="601">
        <v>0</v>
      </c>
      <c r="R60" s="601"/>
      <c r="S60" s="601">
        <v>0</v>
      </c>
      <c r="T60" s="601"/>
      <c r="U60" s="601">
        <v>0</v>
      </c>
      <c r="V60" s="601">
        <v>0</v>
      </c>
      <c r="W60" s="601">
        <v>0</v>
      </c>
      <c r="X60" s="601">
        <v>0</v>
      </c>
      <c r="Y60" s="601">
        <v>0</v>
      </c>
      <c r="Z60" s="601">
        <v>0</v>
      </c>
      <c r="AC60" s="601">
        <v>0</v>
      </c>
      <c r="AD60" s="601">
        <v>0</v>
      </c>
      <c r="AF60" s="601">
        <v>0</v>
      </c>
      <c r="AG60" s="601">
        <v>0</v>
      </c>
      <c r="AH60" s="15">
        <v>0</v>
      </c>
      <c r="AI60" s="15">
        <v>0</v>
      </c>
      <c r="AJ60" s="15">
        <v>0</v>
      </c>
      <c r="AK60" s="15"/>
      <c r="AL60" s="15">
        <v>0</v>
      </c>
      <c r="AM60" s="15">
        <v>0</v>
      </c>
      <c r="AN60" s="15"/>
      <c r="AO60" s="15"/>
      <c r="AQ60" s="15">
        <v>0</v>
      </c>
      <c r="AR60" s="15">
        <v>0</v>
      </c>
      <c r="AX60" s="43">
        <f>טבלה5[[#This Row],[עמודה4]]/1000</f>
        <v>0</v>
      </c>
      <c r="AY60" s="43">
        <f>טבלה5[[#This Row],[עמודה4]]/1000</f>
        <v>0</v>
      </c>
    </row>
    <row r="61" spans="1:51">
      <c r="AX61" s="43">
        <f>טבלה5[[#This Row],[עמודה4]]/1000</f>
        <v>0</v>
      </c>
      <c r="AY61" s="43">
        <f>טבלה5[[#This Row],[עמודה4]]/1000</f>
        <v>0</v>
      </c>
    </row>
    <row r="62" spans="1:51">
      <c r="AX62" s="43">
        <f>טבלה5[[#This Row],[עמודה4]]/1000</f>
        <v>0</v>
      </c>
      <c r="AY62" s="43">
        <f>טבלה5[[#This Row],[עמודה4]]/1000</f>
        <v>0</v>
      </c>
    </row>
    <row r="63" spans="1:51">
      <c r="AX63" s="43">
        <f>טבלה5[[#This Row],[עמודה4]]/1000</f>
        <v>0</v>
      </c>
      <c r="AY63" s="43">
        <f>טבלה5[[#This Row],[עמודה4]]/1000</f>
        <v>0</v>
      </c>
    </row>
    <row r="64" spans="1:51">
      <c r="AX64" s="43">
        <f>טבלה5[[#This Row],[עמודה4]]/1000</f>
        <v>0</v>
      </c>
      <c r="AY64" s="43">
        <f>טבלה5[[#This Row],[עמודה4]]/1000</f>
        <v>0</v>
      </c>
    </row>
    <row r="65" spans="50:51">
      <c r="AX65" s="43">
        <f>טבלה5[[#This Row],[עמודה4]]/1000</f>
        <v>0</v>
      </c>
      <c r="AY65" s="43">
        <f>טבלה5[[#This Row],[עמודה4]]/1000</f>
        <v>0</v>
      </c>
    </row>
    <row r="66" spans="50:51">
      <c r="AX66" s="43">
        <f>טבלה5[[#This Row],[עמודה4]]/1000</f>
        <v>0</v>
      </c>
      <c r="AY66" s="43">
        <f>טבלה5[[#This Row],[עמודה4]]/1000</f>
        <v>0</v>
      </c>
    </row>
    <row r="67" spans="50:51">
      <c r="AX67" s="43">
        <f>טבלה5[[#This Row],[עמודה4]]/1000</f>
        <v>0</v>
      </c>
      <c r="AY67" s="43">
        <f>טבלה5[[#This Row],[עמודה4]]/1000</f>
        <v>0</v>
      </c>
    </row>
    <row r="68" spans="50:51">
      <c r="AX68" s="43">
        <f>טבלה5[[#This Row],[עמודה4]]/1000</f>
        <v>0</v>
      </c>
      <c r="AY68" s="43">
        <f>טבלה5[[#This Row],[עמודה4]]/1000</f>
        <v>0</v>
      </c>
    </row>
    <row r="69" spans="50:51">
      <c r="AX69" s="43">
        <f>טבלה5[[#This Row],[עמודה4]]/1000</f>
        <v>0</v>
      </c>
      <c r="AY69" s="43">
        <f>טבלה5[[#This Row],[עמודה4]]/1000</f>
        <v>0</v>
      </c>
    </row>
    <row r="70" spans="50:51">
      <c r="AX70" s="43" t="e">
        <f>טבלה5[[#This Row],[עמודה4]]/1000</f>
        <v>#VALUE!</v>
      </c>
      <c r="AY70" s="43" t="e">
        <f>טבלה5[[#This Row],[עמודה4]]/1000</f>
        <v>#VALUE!</v>
      </c>
    </row>
    <row r="71" spans="50:51">
      <c r="AX71" s="43" t="e">
        <f>טבלה5[[#This Row],[עמודה4]]/1000</f>
        <v>#VALUE!</v>
      </c>
      <c r="AY71" s="43" t="e">
        <f>טבלה5[[#This Row],[עמודה4]]/1000</f>
        <v>#VALUE!</v>
      </c>
    </row>
    <row r="72" spans="50:51">
      <c r="AX72" s="43" t="e">
        <f>טבלה5[[#This Row],[עמודה4]]/1000</f>
        <v>#VALUE!</v>
      </c>
      <c r="AY72" s="43" t="e">
        <f>טבלה5[[#This Row],[עמודה4]]/1000</f>
        <v>#VALUE!</v>
      </c>
    </row>
    <row r="73" spans="50:51">
      <c r="AX73" s="43" t="e">
        <f>טבלה5[[#This Row],[עמודה4]]/1000</f>
        <v>#VALUE!</v>
      </c>
      <c r="AY73" s="43" t="e">
        <f>טבלה5[[#This Row],[עמודה4]]/1000</f>
        <v>#VALUE!</v>
      </c>
    </row>
    <row r="74" spans="50:51">
      <c r="AX74" s="43" t="e">
        <f>טבלה5[[#This Row],[עמודה4]]/1000</f>
        <v>#VALUE!</v>
      </c>
      <c r="AY74" s="43" t="e">
        <f>טבלה5[[#This Row],[עמודה4]]/1000</f>
        <v>#VALUE!</v>
      </c>
    </row>
    <row r="75" spans="50:51">
      <c r="AX75" s="43" t="e">
        <f>טבלה5[[#This Row],[עמודה4]]/1000</f>
        <v>#VALUE!</v>
      </c>
      <c r="AY75" s="43" t="e">
        <f>טבלה5[[#This Row],[עמודה4]]/1000</f>
        <v>#VALUE!</v>
      </c>
    </row>
    <row r="76" spans="50:51">
      <c r="AX76" s="43" t="e">
        <f>טבלה5[[#This Row],[עמודה4]]/1000</f>
        <v>#VALUE!</v>
      </c>
      <c r="AY76" s="43" t="e">
        <f>טבלה5[[#This Row],[עמודה4]]/1000</f>
        <v>#VALUE!</v>
      </c>
    </row>
    <row r="77" spans="50:51">
      <c r="AX77" s="43" t="e">
        <f>טבלה5[[#This Row],[עמודה4]]/1000</f>
        <v>#VALUE!</v>
      </c>
      <c r="AY77" s="43" t="e">
        <f>טבלה5[[#This Row],[עמודה4]]/1000</f>
        <v>#VALUE!</v>
      </c>
    </row>
    <row r="78" spans="50:51">
      <c r="AX78" s="43" t="e">
        <f>טבלה5[[#This Row],[עמודה4]]/1000</f>
        <v>#VALUE!</v>
      </c>
      <c r="AY78" s="43" t="e">
        <f>טבלה5[[#This Row],[עמודה4]]/1000</f>
        <v>#VALUE!</v>
      </c>
    </row>
    <row r="79" spans="50:51">
      <c r="AX79" s="43" t="e">
        <f>טבלה5[[#This Row],[עמודה4]]/1000</f>
        <v>#VALUE!</v>
      </c>
      <c r="AY79" s="43" t="e">
        <f>טבלה5[[#This Row],[עמודה4]]/1000</f>
        <v>#VALUE!</v>
      </c>
    </row>
    <row r="80" spans="50:51">
      <c r="AX80" s="43" t="e">
        <f>טבלה5[[#This Row],[עמודה4]]/1000</f>
        <v>#VALUE!</v>
      </c>
      <c r="AY80" s="43" t="e">
        <f>טבלה5[[#This Row],[עמודה4]]/1000</f>
        <v>#VALUE!</v>
      </c>
    </row>
    <row r="81" spans="50:51">
      <c r="AX81" s="43" t="e">
        <f>טבלה5[[#This Row],[עמודה4]]/1000</f>
        <v>#VALUE!</v>
      </c>
      <c r="AY81" s="43" t="e">
        <f>טבלה5[[#This Row],[עמודה4]]/1000</f>
        <v>#VALUE!</v>
      </c>
    </row>
    <row r="82" spans="50:51">
      <c r="AX82" s="43" t="e">
        <f>טבלה5[[#This Row],[עמודה4]]/1000</f>
        <v>#VALUE!</v>
      </c>
      <c r="AY82" s="43" t="e">
        <f>טבלה5[[#This Row],[עמודה4]]/1000</f>
        <v>#VALUE!</v>
      </c>
    </row>
    <row r="83" spans="50:51">
      <c r="AX83" s="43" t="e">
        <f>טבלה5[[#This Row],[עמודה4]]/1000</f>
        <v>#VALUE!</v>
      </c>
      <c r="AY83" s="43" t="e">
        <f>טבלה5[[#This Row],[עמודה4]]/1000</f>
        <v>#VALUE!</v>
      </c>
    </row>
    <row r="84" spans="50:51">
      <c r="AX84" s="43" t="e">
        <f>טבלה5[[#This Row],[עמודה4]]/1000</f>
        <v>#VALUE!</v>
      </c>
      <c r="AY84" s="43" t="e">
        <f>טבלה5[[#This Row],[עמודה4]]/1000</f>
        <v>#VALUE!</v>
      </c>
    </row>
    <row r="85" spans="50:51">
      <c r="AX85" s="43" t="e">
        <f>טבלה5[[#This Row],[עמודה4]]/1000</f>
        <v>#VALUE!</v>
      </c>
      <c r="AY85" s="43" t="e">
        <f>טבלה5[[#This Row],[עמודה4]]/1000</f>
        <v>#VALUE!</v>
      </c>
    </row>
    <row r="86" spans="50:51">
      <c r="AX86" s="43" t="e">
        <f>טבלה5[[#This Row],[עמודה4]]/1000</f>
        <v>#VALUE!</v>
      </c>
      <c r="AY86" s="43" t="e">
        <f>טבלה5[[#This Row],[עמודה4]]/1000</f>
        <v>#VALUE!</v>
      </c>
    </row>
    <row r="87" spans="50:51">
      <c r="AX87" s="43" t="e">
        <f>טבלה5[[#This Row],[עמודה4]]/1000</f>
        <v>#VALUE!</v>
      </c>
      <c r="AY87" s="43" t="e">
        <f>טבלה5[[#This Row],[עמודה4]]/1000</f>
        <v>#VALUE!</v>
      </c>
    </row>
    <row r="88" spans="50:51">
      <c r="AX88" s="43" t="e">
        <f>טבלה5[[#This Row],[עמודה4]]/1000</f>
        <v>#VALUE!</v>
      </c>
      <c r="AY88" s="43" t="e">
        <f>טבלה5[[#This Row],[עמודה4]]/1000</f>
        <v>#VALUE!</v>
      </c>
    </row>
    <row r="89" spans="50:51">
      <c r="AX89" s="43" t="e">
        <f>טבלה5[[#This Row],[עמודה4]]/1000</f>
        <v>#VALUE!</v>
      </c>
      <c r="AY89" s="43" t="e">
        <f>טבלה5[[#This Row],[עמודה4]]/1000</f>
        <v>#VALUE!</v>
      </c>
    </row>
  </sheetData>
  <mergeCells count="2">
    <mergeCell ref="A1:F1"/>
    <mergeCell ref="A2:F2"/>
  </mergeCells>
  <phoneticPr fontId="31" type="noConversion"/>
  <conditionalFormatting sqref="B49:E49">
    <cfRule type="cellIs" dxfId="30" priority="159" stopIfTrue="1" operator="greaterThan">
      <formula>1</formula>
    </cfRule>
    <cfRule type="cellIs" dxfId="29" priority="160" stopIfTrue="1" operator="lessThan">
      <formula>-1</formula>
    </cfRule>
  </conditionalFormatting>
  <conditionalFormatting sqref="B15:G15 O15:P17 AC15:AD17 AQ15:AR17 B16:F17 B30:G30 O30:P33 AC30:AD33 AQ30:AR33 B31:F33 O49:P49 AC49:AD49 AQ49:AR49 A49:A50 B60:F60 O60:P60 AC60:AD60 AQ60:AR60">
    <cfRule type="cellIs" dxfId="28" priority="263" stopIfTrue="1" operator="greaterThan">
      <formula>1</formula>
    </cfRule>
    <cfRule type="cellIs" dxfId="27" priority="264" stopIfTrue="1" operator="lessThan">
      <formula>-1</formula>
    </cfRule>
  </conditionalFormatting>
  <conditionalFormatting sqref="F49">
    <cfRule type="cellIs" dxfId="26" priority="205" stopIfTrue="1" operator="greaterThan">
      <formula>1</formula>
    </cfRule>
    <cfRule type="cellIs" dxfId="25" priority="206" stopIfTrue="1" operator="lessThan">
      <formula>-1</formula>
    </cfRule>
  </conditionalFormatting>
  <conditionalFormatting sqref="G16:G17 G31:G33">
    <cfRule type="cellIs" dxfId="24" priority="177" stopIfTrue="1" operator="greaterThan">
      <formula>1</formula>
    </cfRule>
    <cfRule type="cellIs" dxfId="23" priority="178" stopIfTrue="1" operator="lessThan">
      <formula>-1</formula>
    </cfRule>
  </conditionalFormatting>
  <conditionalFormatting sqref="G49">
    <cfRule type="cellIs" dxfId="22" priority="141" stopIfTrue="1" operator="greaterThan">
      <formula>1</formula>
    </cfRule>
    <cfRule type="cellIs" dxfId="21" priority="142" stopIfTrue="1" operator="lessThan">
      <formula>-1</formula>
    </cfRule>
  </conditionalFormatting>
  <conditionalFormatting sqref="G60">
    <cfRule type="cellIs" dxfId="20" priority="143" stopIfTrue="1" operator="greaterThan">
      <formula>1</formula>
    </cfRule>
    <cfRule type="cellIs" dxfId="19" priority="144" stopIfTrue="1" operator="lessThan">
      <formula>-1</formula>
    </cfRule>
  </conditionalFormatting>
  <conditionalFormatting sqref="L15:M17 L30:M33 L60:M60">
    <cfRule type="cellIs" dxfId="18" priority="49" stopIfTrue="1" operator="greaterThan">
      <formula>1</formula>
    </cfRule>
    <cfRule type="cellIs" dxfId="17" priority="50" stopIfTrue="1" operator="lessThan">
      <formula>-1</formula>
    </cfRule>
  </conditionalFormatting>
  <conditionalFormatting sqref="L49:M49">
    <cfRule type="cellIs" dxfId="16" priority="47" stopIfTrue="1" operator="greaterThan">
      <formula>1</formula>
    </cfRule>
    <cfRule type="cellIs" dxfId="15" priority="48" stopIfTrue="1" operator="lessThan">
      <formula>-1</formula>
    </cfRule>
  </conditionalFormatting>
  <conditionalFormatting sqref="R49">
    <cfRule type="cellIs" dxfId="14" priority="37" stopIfTrue="1" operator="greaterThan">
      <formula>1</formula>
    </cfRule>
    <cfRule type="cellIs" dxfId="13" priority="38" stopIfTrue="1" operator="lessThan">
      <formula>-1</formula>
    </cfRule>
  </conditionalFormatting>
  <conditionalFormatting sqref="R15:Z17 R30:Z33 U49:Z49 R60:Z60">
    <cfRule type="cellIs" dxfId="12" priority="25" stopIfTrue="1" operator="greaterThan">
      <formula>1</formula>
    </cfRule>
    <cfRule type="cellIs" dxfId="11" priority="26" stopIfTrue="1" operator="lessThan">
      <formula>-1</formula>
    </cfRule>
  </conditionalFormatting>
  <conditionalFormatting sqref="AF15:AO17 AF30:AO33 AF60:AO60">
    <cfRule type="cellIs" dxfId="10" priority="11" stopIfTrue="1" operator="greaterThan">
      <formula>1</formula>
    </cfRule>
    <cfRule type="cellIs" dxfId="9" priority="12" stopIfTrue="1" operator="lessThan">
      <formula>-1</formula>
    </cfRule>
  </conditionalFormatting>
  <conditionalFormatting sqref="AF49:AO49">
    <cfRule type="cellIs" dxfId="8" priority="9" stopIfTrue="1" operator="greaterThan">
      <formula>1</formula>
    </cfRule>
    <cfRule type="cellIs" dxfId="7" priority="10" stopIfTrue="1" operator="lessThan">
      <formula>-1</formula>
    </cfRule>
  </conditionalFormatting>
  <pageMargins left="0.70866141732283472" right="0.70866141732283472" top="0.74803149606299213" bottom="0.74803149606299213" header="0.31496062992125984" footer="0.31496062992125984"/>
  <pageSetup paperSize="9" scale="63" fitToHeight="2" orientation="portrait" r:id="rId1"/>
  <headerFooter differentFirst="1" scaleWithDoc="0">
    <oddHeader>&amp;L
&amp;C&amp;"Open Sans Semibold,מודגש"&amp;14&amp;K00+000 Demo Company Ltd. Consolidated - Balance Sheet</oddHeader>
    <oddFooter xml:space="preserve">&amp;C&amp;"Open Sans,Regular"&amp;K00+000ential&amp;R&amp;"Open Sans,Regular"&amp;K00+000&amp;P           &amp;   </oddFooter>
    <firstHeader>&amp;C&amp;G</firstHead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C3:W34"/>
  <sheetViews>
    <sheetView topLeftCell="B1" zoomScaleNormal="100" zoomScaleSheetLayoutView="85" workbookViewId="0">
      <selection activeCell="N30" sqref="N30"/>
    </sheetView>
  </sheetViews>
  <sheetFormatPr defaultColWidth="9.42578125" defaultRowHeight="15"/>
  <cols>
    <col min="1" max="2" width="1.5703125" style="286" customWidth="1"/>
    <col min="3" max="3" width="2.42578125" style="286" customWidth="1"/>
    <col min="4" max="4" width="23.5703125" style="286" bestFit="1" customWidth="1"/>
    <col min="5" max="5" width="14" style="286" bestFit="1" customWidth="1"/>
    <col min="6" max="7" width="13.5703125" style="286" customWidth="1"/>
    <col min="8" max="8" width="12.5703125" style="286" customWidth="1"/>
    <col min="9" max="9" width="11.5703125" style="286" customWidth="1"/>
    <col min="10" max="10" width="12.5703125" style="286" customWidth="1"/>
    <col min="11" max="11" width="14.5703125" style="286" customWidth="1"/>
    <col min="12" max="12" width="18" style="286" customWidth="1"/>
    <col min="13" max="13" width="17.42578125" style="286" customWidth="1"/>
    <col min="14" max="14" width="13.42578125" style="286" customWidth="1"/>
    <col min="15" max="15" width="17.42578125" style="286" bestFit="1" customWidth="1"/>
    <col min="16" max="16" width="1.42578125" style="286" customWidth="1"/>
    <col min="17" max="16384" width="9.42578125" style="286"/>
  </cols>
  <sheetData>
    <row r="3" spans="3:23" ht="16.5" customHeight="1">
      <c r="U3" s="287"/>
      <c r="W3" s="288"/>
    </row>
    <row r="4" spans="3:23">
      <c r="I4" s="848" t="s">
        <v>414</v>
      </c>
      <c r="J4" s="848"/>
      <c r="Q4" s="289"/>
      <c r="R4" s="288"/>
      <c r="S4" s="288"/>
      <c r="T4" s="288"/>
      <c r="U4" s="288"/>
      <c r="V4" s="288"/>
      <c r="W4" s="288"/>
    </row>
    <row r="5" spans="3:23" ht="15.75" thickBot="1">
      <c r="Q5" s="289"/>
      <c r="R5" s="288"/>
      <c r="S5" s="288"/>
      <c r="T5" s="288"/>
      <c r="U5" s="288"/>
      <c r="V5" s="288"/>
      <c r="W5" s="288"/>
    </row>
    <row r="6" spans="3:23" ht="16.5" thickBot="1">
      <c r="D6" s="849" t="s">
        <v>415</v>
      </c>
      <c r="E6" s="850"/>
      <c r="F6" s="850"/>
      <c r="G6" s="850"/>
      <c r="H6" s="850"/>
      <c r="I6" s="850"/>
      <c r="J6" s="850"/>
      <c r="K6" s="850"/>
      <c r="L6" s="850"/>
      <c r="M6" s="850"/>
      <c r="N6" s="850"/>
      <c r="O6" s="850"/>
      <c r="P6" s="850"/>
    </row>
    <row r="7" spans="3:23" hidden="1"/>
    <row r="8" spans="3:23" hidden="1">
      <c r="K8" s="851" t="s">
        <v>416</v>
      </c>
      <c r="L8" s="851"/>
      <c r="M8" s="851"/>
      <c r="N8" s="851"/>
      <c r="O8" s="851"/>
    </row>
    <row r="9" spans="3:23" hidden="1">
      <c r="K9" s="852" t="s">
        <v>417</v>
      </c>
      <c r="L9" s="852"/>
      <c r="M9" s="852"/>
      <c r="N9" s="852"/>
      <c r="O9" s="852"/>
    </row>
    <row r="10" spans="3:23" hidden="1">
      <c r="K10" s="847" t="s">
        <v>117</v>
      </c>
      <c r="L10" s="847"/>
      <c r="M10" s="847"/>
      <c r="N10" s="847"/>
      <c r="O10" s="847"/>
      <c r="P10" s="847"/>
    </row>
    <row r="11" spans="3:23" ht="58.5" hidden="1" customHeight="1">
      <c r="D11" s="290" t="s">
        <v>418</v>
      </c>
      <c r="E11" s="291" t="s">
        <v>419</v>
      </c>
      <c r="F11" s="291" t="s">
        <v>420</v>
      </c>
      <c r="G11" s="291" t="s">
        <v>421</v>
      </c>
      <c r="H11" s="291" t="s">
        <v>422</v>
      </c>
      <c r="I11" s="291" t="s">
        <v>423</v>
      </c>
      <c r="J11" s="291" t="s">
        <v>424</v>
      </c>
      <c r="K11" s="291" t="s">
        <v>44</v>
      </c>
      <c r="L11" s="291" t="s">
        <v>425</v>
      </c>
      <c r="M11" s="291" t="s">
        <v>426</v>
      </c>
      <c r="N11" s="291" t="s">
        <v>427</v>
      </c>
      <c r="O11" s="291" t="s">
        <v>428</v>
      </c>
    </row>
    <row r="12" spans="3:23" hidden="1">
      <c r="D12" s="290" t="s">
        <v>429</v>
      </c>
      <c r="E12" s="292">
        <v>1000000</v>
      </c>
      <c r="F12" s="292">
        <v>6621798</v>
      </c>
      <c r="G12" s="292">
        <v>6709427</v>
      </c>
      <c r="H12" s="292">
        <v>155848</v>
      </c>
      <c r="I12" s="292">
        <v>5437857</v>
      </c>
      <c r="J12" s="292">
        <v>82347724</v>
      </c>
      <c r="K12" s="293">
        <v>255005.08164609055</v>
      </c>
      <c r="L12" s="293">
        <v>-26</v>
      </c>
      <c r="M12" s="293">
        <v>6579304.9183539096</v>
      </c>
      <c r="N12" s="293">
        <v>-6878314.8082624469</v>
      </c>
      <c r="O12" s="293">
        <v>-44030.80826244643</v>
      </c>
    </row>
    <row r="13" spans="3:23" hidden="1">
      <c r="D13" s="295" t="s">
        <v>430</v>
      </c>
      <c r="E13" s="292"/>
      <c r="F13" s="292"/>
      <c r="G13" s="292"/>
      <c r="H13" s="292"/>
      <c r="I13" s="292"/>
      <c r="J13" s="292"/>
      <c r="K13" s="293"/>
      <c r="L13" s="293"/>
      <c r="M13" s="293"/>
      <c r="N13" s="293"/>
      <c r="O13" s="294"/>
    </row>
    <row r="14" spans="3:23" hidden="1">
      <c r="C14" s="296"/>
      <c r="D14" s="295" t="s">
        <v>431</v>
      </c>
      <c r="E14" s="295"/>
      <c r="F14" s="295"/>
      <c r="G14" s="295"/>
      <c r="H14" s="295"/>
      <c r="I14" s="295"/>
      <c r="J14" s="295"/>
      <c r="K14" s="297"/>
      <c r="L14" s="297"/>
      <c r="M14" s="297"/>
      <c r="N14" s="297"/>
      <c r="O14" s="294"/>
    </row>
    <row r="15" spans="3:23" hidden="1">
      <c r="C15" s="296"/>
      <c r="D15" s="295" t="s">
        <v>432</v>
      </c>
      <c r="E15" s="295"/>
      <c r="F15" s="295">
        <f>6621798-F12</f>
        <v>0</v>
      </c>
      <c r="G15" s="295"/>
      <c r="H15" s="295"/>
      <c r="I15" s="295"/>
      <c r="J15" s="295"/>
      <c r="K15" s="297"/>
      <c r="L15" s="297"/>
      <c r="M15" s="297"/>
      <c r="N15" s="297"/>
      <c r="O15" s="294"/>
    </row>
    <row r="16" spans="3:23" hidden="1">
      <c r="C16" s="296"/>
      <c r="D16" s="295" t="s">
        <v>433</v>
      </c>
      <c r="E16" s="295"/>
      <c r="F16" s="295"/>
      <c r="G16" s="295"/>
      <c r="H16" s="295"/>
      <c r="I16" s="295"/>
      <c r="J16" s="295"/>
      <c r="K16" s="297"/>
      <c r="L16" s="297"/>
      <c r="M16" s="297"/>
      <c r="N16" s="297"/>
      <c r="O16" s="294"/>
    </row>
    <row r="17" spans="3:16" hidden="1">
      <c r="C17" s="296"/>
      <c r="D17" s="295" t="s">
        <v>434</v>
      </c>
      <c r="E17" s="295"/>
      <c r="F17" s="295"/>
      <c r="G17" s="295"/>
      <c r="H17" s="295"/>
      <c r="I17" s="295"/>
      <c r="J17" s="295"/>
      <c r="K17" s="297"/>
      <c r="L17" s="297"/>
      <c r="N17" s="297"/>
      <c r="O17" s="294"/>
    </row>
    <row r="18" spans="3:16" hidden="1"/>
    <row r="19" spans="3:16" ht="15.75" hidden="1" thickBot="1">
      <c r="D19" s="295" t="s">
        <v>435</v>
      </c>
      <c r="E19" s="298">
        <f t="shared" ref="E19:O19" si="0">SUM(E12:E18)</f>
        <v>1000000</v>
      </c>
      <c r="F19" s="298">
        <f t="shared" si="0"/>
        <v>6621798</v>
      </c>
      <c r="G19" s="299">
        <f t="shared" si="0"/>
        <v>6709427</v>
      </c>
      <c r="H19" s="299">
        <f t="shared" si="0"/>
        <v>155848</v>
      </c>
      <c r="I19" s="298">
        <f t="shared" si="0"/>
        <v>5437857</v>
      </c>
      <c r="J19" s="298">
        <f t="shared" si="0"/>
        <v>82347724</v>
      </c>
      <c r="K19" s="299">
        <f t="shared" si="0"/>
        <v>255005.08164609055</v>
      </c>
      <c r="L19" s="299">
        <f t="shared" si="0"/>
        <v>-26</v>
      </c>
      <c r="M19" s="299">
        <f t="shared" si="0"/>
        <v>6579304.9183539096</v>
      </c>
      <c r="N19" s="299">
        <f t="shared" si="0"/>
        <v>-6878314.8082624469</v>
      </c>
      <c r="O19" s="299">
        <f t="shared" si="0"/>
        <v>-44030.80826244643</v>
      </c>
    </row>
    <row r="20" spans="3:16" ht="15.75" hidden="1" thickTop="1"/>
    <row r="21" spans="3:16" hidden="1">
      <c r="O21" s="294">
        <f>O19-[83]CONSBS!G44</f>
        <v>-3.4499999987892807</v>
      </c>
    </row>
    <row r="23" spans="3:16">
      <c r="K23" s="847" t="s">
        <v>115</v>
      </c>
      <c r="L23" s="847"/>
      <c r="M23" s="847"/>
      <c r="N23" s="847"/>
      <c r="O23" s="847"/>
      <c r="P23" s="847"/>
    </row>
    <row r="24" spans="3:16" ht="51">
      <c r="D24" s="290" t="s">
        <v>418</v>
      </c>
      <c r="E24" s="291" t="s">
        <v>419</v>
      </c>
      <c r="F24" s="291" t="s">
        <v>420</v>
      </c>
      <c r="G24" s="291" t="s">
        <v>421</v>
      </c>
      <c r="H24" s="291" t="s">
        <v>422</v>
      </c>
      <c r="I24" s="291" t="s">
        <v>423</v>
      </c>
      <c r="J24" s="291" t="s">
        <v>424</v>
      </c>
      <c r="K24" s="291" t="s">
        <v>44</v>
      </c>
      <c r="L24" s="291" t="s">
        <v>425</v>
      </c>
      <c r="M24" s="291" t="s">
        <v>426</v>
      </c>
      <c r="N24" s="291" t="s">
        <v>427</v>
      </c>
      <c r="O24" s="291" t="s">
        <v>428</v>
      </c>
    </row>
    <row r="25" spans="3:16">
      <c r="D25" s="290" t="s">
        <v>429</v>
      </c>
      <c r="E25" s="292">
        <v>1000000</v>
      </c>
      <c r="F25" s="292">
        <v>6621798</v>
      </c>
      <c r="G25" s="292">
        <v>6709427</v>
      </c>
      <c r="H25" s="292">
        <v>155848</v>
      </c>
      <c r="I25" s="292">
        <v>5437857</v>
      </c>
      <c r="J25" s="292">
        <v>82347724</v>
      </c>
      <c r="K25" s="293">
        <v>990813</v>
      </c>
      <c r="L25" s="293">
        <v>-100</v>
      </c>
      <c r="M25" s="293">
        <v>24181105</v>
      </c>
      <c r="N25" s="293">
        <v>-25194620</v>
      </c>
      <c r="O25" s="293">
        <v>-22802</v>
      </c>
    </row>
    <row r="26" spans="3:16">
      <c r="D26" s="295" t="s">
        <v>430</v>
      </c>
      <c r="E26" s="292"/>
      <c r="F26" s="292"/>
      <c r="G26" s="292"/>
      <c r="H26" s="292"/>
      <c r="I26" s="292"/>
      <c r="J26" s="292"/>
      <c r="K26" s="293"/>
      <c r="L26" s="293"/>
      <c r="M26" s="293"/>
      <c r="N26" s="293"/>
      <c r="O26" s="294"/>
    </row>
    <row r="27" spans="3:16">
      <c r="D27" s="295" t="s">
        <v>431</v>
      </c>
      <c r="E27" s="295"/>
      <c r="F27" s="295"/>
      <c r="G27" s="295"/>
      <c r="H27" s="295"/>
      <c r="I27" s="295"/>
      <c r="J27" s="295"/>
      <c r="K27" s="297"/>
      <c r="L27" s="297"/>
      <c r="M27" s="297"/>
      <c r="N27" s="297"/>
      <c r="O27" s="294"/>
    </row>
    <row r="28" spans="3:16">
      <c r="D28" s="295" t="s">
        <v>432</v>
      </c>
      <c r="E28" s="295"/>
      <c r="F28" s="295">
        <f>6621798-F25</f>
        <v>0</v>
      </c>
      <c r="G28" s="295"/>
      <c r="H28" s="295"/>
      <c r="I28" s="295"/>
      <c r="J28" s="295"/>
      <c r="K28" s="297"/>
      <c r="L28" s="297"/>
      <c r="M28" s="297"/>
      <c r="N28" s="297"/>
      <c r="O28" s="294"/>
    </row>
    <row r="29" spans="3:16">
      <c r="D29" s="295" t="s">
        <v>433</v>
      </c>
      <c r="E29" s="295"/>
      <c r="F29" s="295"/>
      <c r="G29" s="295"/>
      <c r="H29" s="295"/>
      <c r="I29" s="295"/>
      <c r="J29" s="295"/>
      <c r="K29" s="297"/>
      <c r="L29" s="297"/>
      <c r="M29" s="293">
        <v>9751</v>
      </c>
      <c r="N29" s="293"/>
      <c r="O29" s="293">
        <f>SUM(K29:N29)</f>
        <v>9751</v>
      </c>
    </row>
    <row r="30" spans="3:16">
      <c r="D30" s="295" t="s">
        <v>434</v>
      </c>
      <c r="E30" s="295"/>
      <c r="F30" s="295"/>
      <c r="G30" s="295"/>
      <c r="H30" s="295"/>
      <c r="I30" s="295"/>
      <c r="J30" s="295"/>
      <c r="K30" s="297"/>
      <c r="L30" s="297"/>
      <c r="M30" s="293"/>
      <c r="N30" s="293" t="e">
        <f>'P&amp;L'!#REF!</f>
        <v>#REF!</v>
      </c>
      <c r="O30" s="293" t="e">
        <f t="shared" ref="O30:O31" si="1">SUM(K30:N30)</f>
        <v>#REF!</v>
      </c>
    </row>
    <row r="31" spans="3:16">
      <c r="O31" s="294">
        <f t="shared" si="1"/>
        <v>0</v>
      </c>
    </row>
    <row r="32" spans="3:16" ht="15.75" thickBot="1">
      <c r="D32" s="295" t="s">
        <v>435</v>
      </c>
      <c r="E32" s="299">
        <f t="shared" ref="E32:O32" si="2">SUM(E25:E31)</f>
        <v>1000000</v>
      </c>
      <c r="F32" s="299">
        <f t="shared" si="2"/>
        <v>6621798</v>
      </c>
      <c r="G32" s="299">
        <f t="shared" si="2"/>
        <v>6709427</v>
      </c>
      <c r="H32" s="299">
        <f t="shared" si="2"/>
        <v>155848</v>
      </c>
      <c r="I32" s="299">
        <f t="shared" si="2"/>
        <v>5437857</v>
      </c>
      <c r="J32" s="299">
        <f t="shared" si="2"/>
        <v>82347724</v>
      </c>
      <c r="K32" s="299">
        <f t="shared" si="2"/>
        <v>990813</v>
      </c>
      <c r="L32" s="299">
        <f t="shared" si="2"/>
        <v>-100</v>
      </c>
      <c r="M32" s="299">
        <f t="shared" si="2"/>
        <v>24190856</v>
      </c>
      <c r="N32" s="299" t="e">
        <f t="shared" si="2"/>
        <v>#REF!</v>
      </c>
      <c r="O32" s="299" t="e">
        <f t="shared" si="2"/>
        <v>#REF!</v>
      </c>
    </row>
    <row r="33" spans="11:15" ht="15.75" thickTop="1"/>
    <row r="34" spans="11:15">
      <c r="K34" s="286" t="e">
        <f>K32-BS!#REF!</f>
        <v>#REF!</v>
      </c>
      <c r="M34" s="286" t="e">
        <f>Equity!M32+Equity!L32-BS!#REF!</f>
        <v>#REF!</v>
      </c>
      <c r="O34" s="300" t="e">
        <f>O32-BS!#REF!</f>
        <v>#REF!</v>
      </c>
    </row>
  </sheetData>
  <mergeCells count="6">
    <mergeCell ref="K23:P23"/>
    <mergeCell ref="I4:J4"/>
    <mergeCell ref="D6:P6"/>
    <mergeCell ref="K8:O8"/>
    <mergeCell ref="K9:O9"/>
    <mergeCell ref="K10:P10"/>
  </mergeCells>
  <pageMargins left="0.7" right="0.7" top="0.75" bottom="0.75" header="0.3" footer="0.3"/>
  <pageSetup paperSize="9" scale="4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90"/>
  <sheetViews>
    <sheetView view="pageBreakPreview" zoomScaleNormal="75" zoomScaleSheetLayoutView="100" workbookViewId="0">
      <pane xSplit="1" ySplit="2" topLeftCell="B3" activePane="bottomRight" state="frozen"/>
      <selection activeCell="I8" sqref="I8"/>
      <selection pane="topRight" activeCell="I8" sqref="I8"/>
      <selection pane="bottomLeft" activeCell="I8" sqref="I8"/>
      <selection pane="bottomRight" activeCell="C29" sqref="C29"/>
    </sheetView>
  </sheetViews>
  <sheetFormatPr defaultColWidth="8.5703125" defaultRowHeight="12.75"/>
  <cols>
    <col min="1" max="1" width="7.5703125" style="2" customWidth="1"/>
    <col min="2" max="2" width="43.42578125" style="2" bestFit="1" customWidth="1"/>
    <col min="3" max="3" width="11.85546875" style="227" bestFit="1" customWidth="1"/>
    <col min="4" max="4" width="15.42578125" style="227" customWidth="1"/>
    <col min="5" max="5" width="14" style="228" customWidth="1"/>
    <col min="6" max="6" width="16.42578125" style="101" customWidth="1"/>
    <col min="7" max="7" width="13.5703125" style="228" hidden="1" customWidth="1"/>
    <col min="8" max="8" width="17.5703125" style="101" hidden="1" customWidth="1"/>
    <col min="9" max="9" width="11.5703125" bestFit="1" customWidth="1"/>
    <col min="10" max="10" width="9.42578125" bestFit="1" customWidth="1"/>
    <col min="11" max="11" width="9.5703125" hidden="1" customWidth="1"/>
    <col min="12" max="12" width="15" style="25" hidden="1" customWidth="1"/>
    <col min="13" max="13" width="61.42578125" style="101" hidden="1" customWidth="1"/>
    <col min="14" max="14" width="14.5703125" hidden="1" customWidth="1"/>
    <col min="15" max="15" width="9.42578125" bestFit="1" customWidth="1"/>
    <col min="16" max="16" width="8.5703125" customWidth="1"/>
    <col min="17" max="17" width="12" style="101" bestFit="1" customWidth="1"/>
    <col min="18" max="18" width="10.5703125" style="101" bestFit="1" customWidth="1"/>
  </cols>
  <sheetData>
    <row r="1" spans="1:18" ht="25.5">
      <c r="A1" s="27" t="s">
        <v>36</v>
      </c>
      <c r="B1" s="27"/>
      <c r="C1" s="325" t="s">
        <v>531</v>
      </c>
      <c r="D1" s="325" t="s">
        <v>532</v>
      </c>
      <c r="E1" s="274" t="s">
        <v>48</v>
      </c>
      <c r="F1" s="222" t="s">
        <v>47</v>
      </c>
      <c r="G1" s="274" t="s">
        <v>112</v>
      </c>
      <c r="H1" s="222" t="s">
        <v>113</v>
      </c>
      <c r="I1" s="225" t="s">
        <v>37</v>
      </c>
      <c r="J1" s="132" t="s">
        <v>38</v>
      </c>
      <c r="K1" s="132" t="s">
        <v>103</v>
      </c>
      <c r="L1" s="278" t="s">
        <v>410</v>
      </c>
      <c r="M1" s="112" t="s">
        <v>231</v>
      </c>
    </row>
    <row r="2" spans="1:18" ht="12.75" customHeight="1">
      <c r="A2" s="266">
        <v>1302</v>
      </c>
      <c r="B2" s="266" t="str">
        <f>VLOOKUP(A2,Index!A:B,2,0)</f>
        <v>Israeli currency</v>
      </c>
      <c r="C2" s="267">
        <f>SUMIF('SAP DRAFT'!B:B,A2,'SAP DRAFT'!D:D)</f>
        <v>-12486866</v>
      </c>
      <c r="D2" s="267">
        <f>SUMIF('SAP DRAFT'!B:B,A2,'SAP DRAFT'!F:F)</f>
        <v>0</v>
      </c>
      <c r="E2" s="224">
        <f>SUMIF(AE!$B$1:$B$1009,A2,AE!$E$1:$E$1009)-SUMIF(AE!$B$1:$B$1009,A2,AE!$D$1:$D$1009)</f>
        <v>0</v>
      </c>
      <c r="F2" s="301">
        <f>ROUND(E2+C2+D2,0)</f>
        <v>-12486866</v>
      </c>
      <c r="G2" s="224">
        <f>SUMIF(AE!$B$1:$B$1009,#REF!,AE!$G$1:$G$1009)-SUMIF(AE!$B$1:$B$1009,#REF!,AE!$F$1:$F$1009)</f>
        <v>0</v>
      </c>
      <c r="H2" s="301" t="e">
        <f>ROUND(G2+#REF!,0)</f>
        <v>#REF!</v>
      </c>
      <c r="I2" s="58" t="str">
        <f t="shared" ref="I2:I54" si="0">LEFT(A2,3)</f>
        <v>130</v>
      </c>
      <c r="J2" s="58" t="str">
        <f t="shared" ref="J2:J54" si="1">LEFT(A2,2)</f>
        <v>13</v>
      </c>
      <c r="K2" s="268" t="e">
        <f>+#REF!/C2</f>
        <v>#REF!</v>
      </c>
      <c r="L2" s="268" t="e">
        <f t="shared" ref="L2:L27" si="2">+H2/F2</f>
        <v>#REF!</v>
      </c>
      <c r="M2" s="140" t="s">
        <v>472</v>
      </c>
      <c r="N2" t="e">
        <f>VLOOKUP(A2,'SAP DRAFT'!A:B,1,0)</f>
        <v>#N/A</v>
      </c>
      <c r="O2" s="99"/>
      <c r="Q2"/>
      <c r="R2"/>
    </row>
    <row r="3" spans="1:18" ht="12.75" customHeight="1">
      <c r="A3" s="266">
        <v>1304</v>
      </c>
      <c r="B3" s="266" t="str">
        <f>VLOOKUP(A3,Index!A:B,2,0)</f>
        <v>USD currency</v>
      </c>
      <c r="C3" s="267">
        <f>SUMIF('SAP DRAFT'!B:B,A3,'SAP DRAFT'!D:D)</f>
        <v>-8290712</v>
      </c>
      <c r="D3" s="267">
        <f>SUMIF('SAP DRAFT'!B:B,A3,'SAP DRAFT'!F:F)</f>
        <v>0</v>
      </c>
      <c r="E3" s="224">
        <f>SUMIF(AE!$B$1:$B$1009,A3,AE!$E$1:$E$1009)-SUMIF(AE!$B$1:$B$1009,A3,AE!$D$1:$D$1009)</f>
        <v>0</v>
      </c>
      <c r="F3" s="301">
        <f t="shared" ref="F3:F53" si="3">ROUND(E3+C3+D3,0)</f>
        <v>-8290712</v>
      </c>
      <c r="G3" s="224">
        <f>SUMIF(AE!$B$1:$B$1009,#REF!,AE!$G$1:$G$1009)-SUMIF(AE!$B$1:$B$1009,#REF!,AE!$F$1:$F$1009)</f>
        <v>0</v>
      </c>
      <c r="H3" s="301" t="e">
        <f>ROUND(G3+#REF!,0)</f>
        <v>#REF!</v>
      </c>
      <c r="I3" s="58" t="str">
        <f t="shared" si="0"/>
        <v>130</v>
      </c>
      <c r="J3" s="58" t="str">
        <f t="shared" si="1"/>
        <v>13</v>
      </c>
      <c r="K3" s="268" t="e">
        <f>+#REF!/C3</f>
        <v>#REF!</v>
      </c>
      <c r="L3" s="268" t="e">
        <f t="shared" si="2"/>
        <v>#REF!</v>
      </c>
      <c r="M3" s="140" t="s">
        <v>472</v>
      </c>
      <c r="N3" t="e">
        <f>VLOOKUP(A3,'SAP DRAFT'!A:B,1,0)</f>
        <v>#N/A</v>
      </c>
      <c r="O3" s="99"/>
      <c r="Q3"/>
      <c r="R3"/>
    </row>
    <row r="4" spans="1:18" ht="12.75" customHeight="1">
      <c r="A4" s="266">
        <v>1307</v>
      </c>
      <c r="B4" s="266" t="str">
        <f>VLOOKUP(A4,Index!A:B,2,0)</f>
        <v>EURO currency</v>
      </c>
      <c r="C4" s="267">
        <f>SUMIF('SAP DRAFT'!B:B,A4,'SAP DRAFT'!D:D)</f>
        <v>0</v>
      </c>
      <c r="D4" s="267">
        <f>SUMIF('SAP DRAFT'!B:B,A4,'SAP DRAFT'!F:F)</f>
        <v>-2198.2832225063939</v>
      </c>
      <c r="E4" s="224">
        <f>SUMIF(AE!$B$1:$B$1009,A4,AE!$E$1:$E$1009)-SUMIF(AE!$B$1:$B$1009,A4,AE!$D$1:$D$1009)</f>
        <v>0</v>
      </c>
      <c r="F4" s="301">
        <f t="shared" ref="F4:F5" si="4">ROUND(E4+C4+D4,0)</f>
        <v>-2198</v>
      </c>
      <c r="G4" s="224">
        <f>SUMIF(AE!$B$1:$B$1009,#REF!,AE!$G$1:$G$1009)-SUMIF(AE!$B$1:$B$1009,#REF!,AE!$F$1:$F$1009)</f>
        <v>0</v>
      </c>
      <c r="H4" s="301" t="e">
        <f>ROUND(G4+#REF!,0)</f>
        <v>#REF!</v>
      </c>
      <c r="I4" s="58" t="str">
        <f t="shared" ref="I4" si="5">LEFT(A4,3)</f>
        <v>130</v>
      </c>
      <c r="J4" s="58" t="str">
        <f t="shared" ref="J4" si="6">LEFT(A4,2)</f>
        <v>13</v>
      </c>
      <c r="K4" s="268"/>
      <c r="L4" s="268"/>
      <c r="M4" s="140"/>
      <c r="N4" t="e">
        <f>VLOOKUP(A4,'SAP DRAFT'!A:B,1,0)</f>
        <v>#N/A</v>
      </c>
      <c r="O4" s="99"/>
      <c r="Q4"/>
      <c r="R4"/>
    </row>
    <row r="5" spans="1:18" ht="12.75" customHeight="1">
      <c r="A5" s="266">
        <v>1330</v>
      </c>
      <c r="B5" s="266" t="str">
        <f>VLOOKUP(A5,Index!A:B,2,0)</f>
        <v>Short term deposit</v>
      </c>
      <c r="C5" s="267">
        <f>SUMIF('SAP DRAFT'!B:B,A5,'SAP DRAFT'!D:D)</f>
        <v>-40710444</v>
      </c>
      <c r="D5" s="267">
        <f>SUMIF('SAP DRAFT'!B:B,A5,'SAP DRAFT'!F:F)</f>
        <v>0</v>
      </c>
      <c r="E5" s="224">
        <f>SUMIF(AE!$B$1:$B$1009,A5,AE!$E$1:$E$1009)-SUMIF(AE!$B$1:$B$1009,A5,AE!$D$1:$D$1009)</f>
        <v>0</v>
      </c>
      <c r="F5" s="301">
        <f t="shared" si="4"/>
        <v>-40710444</v>
      </c>
      <c r="G5" s="224"/>
      <c r="H5" s="301"/>
      <c r="I5" s="58" t="str">
        <f t="shared" ref="I5" si="7">LEFT(A5,3)</f>
        <v>133</v>
      </c>
      <c r="J5" s="58" t="str">
        <f t="shared" ref="J5" si="8">LEFT(A5,2)</f>
        <v>13</v>
      </c>
      <c r="K5" s="268"/>
      <c r="L5" s="268"/>
      <c r="M5" s="140"/>
      <c r="O5" s="99"/>
      <c r="Q5"/>
      <c r="R5"/>
    </row>
    <row r="6" spans="1:18" s="418" customFormat="1" ht="14.1" customHeight="1">
      <c r="A6" s="573">
        <v>1351</v>
      </c>
      <c r="B6" s="573" t="str">
        <f>VLOOKUP(A6,Index!A:B,2,0)</f>
        <v>Related company</v>
      </c>
      <c r="C6" s="567">
        <f>SUMIF('SAP DRAFT'!B:B,A6,'SAP DRAFT'!D:D)</f>
        <v>0</v>
      </c>
      <c r="D6" s="567">
        <f>SUMIF('SAP DRAFT'!B:B,A6,'SAP DRAFT'!F:F)</f>
        <v>-238143.0795652174</v>
      </c>
      <c r="E6" s="574">
        <f>SUMIF(AE!$B$1:$B$1009,A6,AE!$E$1:$E$1009)-SUMIF(AE!$B$1:$B$1009,A6,AE!$D$1:$D$1009)</f>
        <v>238143.0795652174</v>
      </c>
      <c r="F6" s="513">
        <f t="shared" ref="F6" si="9">ROUND(E6+C6+D6,0)</f>
        <v>0</v>
      </c>
      <c r="G6" s="574">
        <f>SUMIF(AE!$B$1:$B$1009,#REF!,AE!$G$1:$G$1009)-SUMIF(AE!$B$1:$B$1009,#REF!,AE!$F$1:$F$1009)</f>
        <v>0</v>
      </c>
      <c r="H6" s="513" t="e">
        <f>ROUND(G6+#REF!,0)</f>
        <v>#REF!</v>
      </c>
      <c r="I6" s="575" t="str">
        <f t="shared" ref="I6" si="10">LEFT(A6,3)</f>
        <v>135</v>
      </c>
      <c r="J6" s="575" t="str">
        <f t="shared" ref="J6" si="11">LEFT(A6,2)</f>
        <v>13</v>
      </c>
      <c r="K6" s="576"/>
      <c r="L6" s="576"/>
      <c r="M6" s="573"/>
      <c r="N6" s="418" t="e">
        <f>VLOOKUP(A6,'SAP DRAFT'!A:B,1,0)</f>
        <v>#N/A</v>
      </c>
      <c r="O6" s="577"/>
      <c r="P6" s="578"/>
      <c r="R6" s="578"/>
    </row>
    <row r="7" spans="1:18" ht="12.75" customHeight="1">
      <c r="A7" s="266">
        <v>1354</v>
      </c>
      <c r="B7" s="266" t="str">
        <f>VLOOKUP(A7,Index!A:B,2,0)</f>
        <v>Prepaid expenses</v>
      </c>
      <c r="C7" s="267">
        <f>SUMIF('SAP DRAFT'!B:B,A7,'SAP DRAFT'!D:D)</f>
        <v>-128703</v>
      </c>
      <c r="D7" s="267">
        <f>SUMIF('SAP DRAFT'!B:B,A7,'SAP DRAFT'!F:F)</f>
        <v>0</v>
      </c>
      <c r="E7" s="224">
        <f>SUMIF(AE!$B$1:$B$1009,A7,AE!$E$1:$E$1009)-SUMIF(AE!$B$1:$B$1009,A7,AE!$D$1:$D$1009)</f>
        <v>1180.7231600240411</v>
      </c>
      <c r="F7" s="301">
        <f t="shared" si="3"/>
        <v>-127522</v>
      </c>
      <c r="G7" s="224">
        <f>SUMIF(AE!$B$1:$B$1009,#REF!,AE!$G$1:$G$1009)-SUMIF(AE!$B$1:$B$1009,#REF!,AE!$F$1:$F$1009)</f>
        <v>0</v>
      </c>
      <c r="H7" s="301" t="e">
        <f>ROUND(G7+#REF!,0)</f>
        <v>#REF!</v>
      </c>
      <c r="I7" s="58" t="str">
        <f t="shared" si="0"/>
        <v>135</v>
      </c>
      <c r="J7" s="58" t="str">
        <f t="shared" si="1"/>
        <v>13</v>
      </c>
      <c r="K7" s="268" t="e">
        <f>+#REF!/C7</f>
        <v>#REF!</v>
      </c>
      <c r="L7" s="268" t="e">
        <f t="shared" si="2"/>
        <v>#REF!</v>
      </c>
      <c r="M7" s="140" t="s">
        <v>473</v>
      </c>
      <c r="N7" t="e">
        <f>VLOOKUP(A7,'SAP DRAFT'!A:B,1,0)</f>
        <v>#N/A</v>
      </c>
      <c r="O7" s="99"/>
      <c r="Q7"/>
      <c r="R7"/>
    </row>
    <row r="8" spans="1:18" ht="12.75" customHeight="1">
      <c r="A8" s="266">
        <v>1355</v>
      </c>
      <c r="B8" s="266" t="str">
        <f>VLOOKUP(A8,Index!A:B,2,0)</f>
        <v>Guaranty deposits</v>
      </c>
      <c r="C8" s="267">
        <f>SUMIF('SAP DRAFT'!B:B,A8,'SAP DRAFT'!D:D)</f>
        <v>-22131</v>
      </c>
      <c r="D8" s="267">
        <f>SUMIF('SAP DRAFT'!B:B,A8,'SAP DRAFT'!F:F)</f>
        <v>0</v>
      </c>
      <c r="E8" s="224">
        <f>SUMIF(AE!$B$1:$B$1009,A8,AE!$E$1:$E$1009)-SUMIF(AE!$B$1:$B$1009,A8,AE!$D$1:$D$1009)</f>
        <v>0</v>
      </c>
      <c r="F8" s="301">
        <f t="shared" si="3"/>
        <v>-22131</v>
      </c>
      <c r="G8" s="224">
        <f>SUMIF(AE!$B$1:$B$1009,#REF!,AE!$G$1:$G$1009)-SUMIF(AE!$B$1:$B$1009,#REF!,AE!$F$1:$F$1009)</f>
        <v>0</v>
      </c>
      <c r="H8" s="301" t="e">
        <f>ROUND(G8+#REF!,0)</f>
        <v>#REF!</v>
      </c>
      <c r="I8" s="58" t="str">
        <f t="shared" si="0"/>
        <v>135</v>
      </c>
      <c r="J8" s="58" t="str">
        <f t="shared" si="1"/>
        <v>13</v>
      </c>
      <c r="K8" s="268" t="e">
        <f>+#REF!/C8</f>
        <v>#REF!</v>
      </c>
      <c r="L8" s="268" t="e">
        <f t="shared" si="2"/>
        <v>#REF!</v>
      </c>
      <c r="M8" s="140" t="s">
        <v>474</v>
      </c>
      <c r="N8" t="e">
        <f>VLOOKUP(A8,'SAP DRAFT'!A:B,1,0)</f>
        <v>#N/A</v>
      </c>
      <c r="O8" s="99"/>
      <c r="Q8"/>
      <c r="R8"/>
    </row>
    <row r="9" spans="1:18" ht="12.75" customHeight="1">
      <c r="A9" s="266">
        <v>1356</v>
      </c>
      <c r="B9" s="266" t="str">
        <f>VLOOKUP(A9,Index!A:B,2,0)</f>
        <v xml:space="preserve"> Income tax</v>
      </c>
      <c r="C9" s="267">
        <f>SUMIF('SAP DRAFT'!B:B,A9,'SAP DRAFT'!D:D)</f>
        <v>0</v>
      </c>
      <c r="D9" s="267">
        <f>SUMIF('SAP DRAFT'!B:B,A9,'SAP DRAFT'!F:F)</f>
        <v>0</v>
      </c>
      <c r="E9" s="224">
        <f>SUMIF(AE!$B$1:$B$1009,A9,AE!$E$1:$E$1009)-SUMIF(AE!$B$1:$B$1009,A9,AE!$D$1:$D$1009)</f>
        <v>0</v>
      </c>
      <c r="F9" s="301">
        <f t="shared" si="3"/>
        <v>0</v>
      </c>
      <c r="G9" s="224">
        <f>SUMIF(AE!$B$1:$B$1009,#REF!,AE!$G$1:$G$1009)-SUMIF(AE!$B$1:$B$1009,#REF!,AE!$F$1:$F$1009)</f>
        <v>0</v>
      </c>
      <c r="H9" s="301" t="e">
        <f>ROUND(G9+#REF!,0)</f>
        <v>#REF!</v>
      </c>
      <c r="I9" s="58" t="str">
        <f t="shared" si="0"/>
        <v>135</v>
      </c>
      <c r="J9" s="58" t="str">
        <f t="shared" si="1"/>
        <v>13</v>
      </c>
      <c r="K9" s="268" t="e">
        <f>+#REF!/C9</f>
        <v>#REF!</v>
      </c>
      <c r="L9" s="268" t="e">
        <f t="shared" si="2"/>
        <v>#REF!</v>
      </c>
      <c r="M9" s="140" t="s">
        <v>475</v>
      </c>
      <c r="N9" t="e">
        <f>VLOOKUP(A9,'SAP DRAFT'!A:B,1,0)</f>
        <v>#N/A</v>
      </c>
      <c r="O9" s="99"/>
      <c r="Q9"/>
      <c r="R9"/>
    </row>
    <row r="10" spans="1:18" ht="12.75" customHeight="1">
      <c r="A10" s="266">
        <v>1357</v>
      </c>
      <c r="B10" s="266" t="str">
        <f>VLOOKUP(A10,Index!A:B,2,0)</f>
        <v>VAT</v>
      </c>
      <c r="C10" s="267">
        <f>SUMIF('SAP DRAFT'!B:B,A10,'SAP DRAFT'!D:D)</f>
        <v>-50267</v>
      </c>
      <c r="D10" s="267">
        <f>SUMIF('SAP DRAFT'!B:B,A10,'SAP DRAFT'!F:F)</f>
        <v>-5458.052432225064</v>
      </c>
      <c r="E10" s="224">
        <f>SUMIF(AE!$B$1:$B$1009,A10,AE!$E$1:$E$1009)-SUMIF(AE!$B$1:$B$1009,A10,AE!$D$1:$D$1009)</f>
        <v>0</v>
      </c>
      <c r="F10" s="301">
        <f t="shared" si="3"/>
        <v>-55725</v>
      </c>
      <c r="G10" s="224">
        <f>SUMIF(AE!$B$1:$B$1009,#REF!,AE!$G$1:$G$1009)-SUMIF(AE!$B$1:$B$1009,#REF!,AE!$F$1:$F$1009)</f>
        <v>0</v>
      </c>
      <c r="H10" s="301" t="e">
        <f>ROUND(G10+#REF!,0)</f>
        <v>#REF!</v>
      </c>
      <c r="I10" s="58" t="str">
        <f t="shared" si="0"/>
        <v>135</v>
      </c>
      <c r="J10" s="58" t="str">
        <f t="shared" si="1"/>
        <v>13</v>
      </c>
      <c r="K10" s="268" t="e">
        <f>+#REF!/C10</f>
        <v>#REF!</v>
      </c>
      <c r="L10" s="268" t="e">
        <f t="shared" si="2"/>
        <v>#REF!</v>
      </c>
      <c r="M10" s="140" t="s">
        <v>476</v>
      </c>
      <c r="N10" t="e">
        <f>VLOOKUP(A10,'SAP DRAFT'!A:B,1,0)</f>
        <v>#N/A</v>
      </c>
      <c r="O10" s="99"/>
      <c r="Q10"/>
      <c r="R10"/>
    </row>
    <row r="11" spans="1:18" ht="12.75" customHeight="1">
      <c r="A11" s="266">
        <v>1358</v>
      </c>
      <c r="B11" s="266" t="str">
        <f>VLOOKUP(A11,Index!A:B,2,0)</f>
        <v>Other</v>
      </c>
      <c r="C11" s="267">
        <f>SUMIF('SAP DRAFT'!B:B,A11,'SAP DRAFT'!D:D)</f>
        <v>-3552</v>
      </c>
      <c r="D11" s="267">
        <f>SUMIF('SAP DRAFT'!B:B,A11,'SAP DRAFT'!F:F)</f>
        <v>0</v>
      </c>
      <c r="E11" s="224">
        <f>SUMIF(AE!$B$1:$B$1009,A11,AE!$E$1:$E$1009)-SUMIF(AE!$B$1:$B$1009,A11,AE!$D$1:$D$1009)</f>
        <v>0</v>
      </c>
      <c r="F11" s="301">
        <f t="shared" ref="F11" si="12">ROUND(E11+C11+D11,0)</f>
        <v>-3552</v>
      </c>
      <c r="G11" s="224">
        <f>SUMIF(AE!$B$1:$B$1009,#REF!,AE!$G$1:$G$1009)-SUMIF(AE!$B$1:$B$1009,#REF!,AE!$F$1:$F$1009)</f>
        <v>0</v>
      </c>
      <c r="H11" s="301" t="e">
        <f>ROUND(G11+#REF!,0)</f>
        <v>#REF!</v>
      </c>
      <c r="I11" s="58" t="str">
        <f t="shared" si="0"/>
        <v>135</v>
      </c>
      <c r="J11" s="58" t="str">
        <f t="shared" si="1"/>
        <v>13</v>
      </c>
      <c r="K11" s="268"/>
      <c r="L11" s="268"/>
      <c r="M11" s="140"/>
      <c r="N11" t="e">
        <f>VLOOKUP(A11,'SAP DRAFT'!A:B,1,0)</f>
        <v>#N/A</v>
      </c>
      <c r="O11" s="99"/>
      <c r="Q11"/>
      <c r="R11"/>
    </row>
    <row r="12" spans="1:18" ht="12.75" customHeight="1">
      <c r="A12" s="266">
        <v>1900</v>
      </c>
      <c r="B12" s="266" t="str">
        <f>VLOOKUP(A12,Index!A:B,2,0)</f>
        <v>Other operating and office equipment</v>
      </c>
      <c r="C12" s="267">
        <f>SUMIF('SAP DRAFT'!B:B,A12,'SAP DRAFT'!D:D)</f>
        <v>0</v>
      </c>
      <c r="D12" s="267">
        <f>SUMIF('SAP DRAFT'!B:B,A12,'SAP DRAFT'!F:F)</f>
        <v>0</v>
      </c>
      <c r="E12" s="224">
        <f>SUMIF(AE!$B$1:$B$1009,A12,AE!$E$1:$E$1009)-SUMIF(AE!$B$1:$B$1009,A12,AE!$D$1:$D$1009)</f>
        <v>0</v>
      </c>
      <c r="F12" s="301">
        <f t="shared" si="3"/>
        <v>0</v>
      </c>
      <c r="G12" s="224"/>
      <c r="H12" s="301"/>
      <c r="I12" s="58" t="str">
        <f t="shared" si="0"/>
        <v>190</v>
      </c>
      <c r="J12" s="58" t="str">
        <f t="shared" si="1"/>
        <v>19</v>
      </c>
      <c r="K12" s="268"/>
      <c r="L12" s="268"/>
      <c r="M12" s="140"/>
      <c r="N12" t="e">
        <f>VLOOKUP(A12,'SAP DRAFT'!A:B,1,0)</f>
        <v>#N/A</v>
      </c>
      <c r="O12" s="99"/>
      <c r="Q12"/>
      <c r="R12"/>
    </row>
    <row r="13" spans="1:18" ht="12.75" customHeight="1">
      <c r="A13" s="266">
        <v>1901</v>
      </c>
      <c r="B13" s="266" t="str">
        <f>VLOOKUP(A13,Index!A:B,2,0)</f>
        <v>Computers &amp; Software</v>
      </c>
      <c r="C13" s="267">
        <f>SUMIF('SAP DRAFT'!B:B,A13,'SAP DRAFT'!D:D)</f>
        <v>-344827</v>
      </c>
      <c r="D13" s="267">
        <f>SUMIF('SAP DRAFT'!B:B,A13,'SAP DRAFT'!F:F)</f>
        <v>0</v>
      </c>
      <c r="E13" s="224">
        <f>SUMIF(AE!$B$1:$B$1009,A13,AE!$E$1:$E$1009)-SUMIF(AE!$B$1:$B$1009,A13,AE!$D$1:$D$1009)</f>
        <v>0</v>
      </c>
      <c r="F13" s="301">
        <f t="shared" si="3"/>
        <v>-344827</v>
      </c>
      <c r="G13" s="224">
        <f>SUMIF(AE!$B$1:$B$1009,#REF!,AE!$G$1:$G$1009)-SUMIF(AE!$B$1:$B$1009,#REF!,AE!$F$1:$F$1009)</f>
        <v>0</v>
      </c>
      <c r="H13" s="301" t="e">
        <f>ROUND(G13+#REF!,0)</f>
        <v>#REF!</v>
      </c>
      <c r="I13" s="58" t="str">
        <f t="shared" si="0"/>
        <v>190</v>
      </c>
      <c r="J13" s="58" t="str">
        <f t="shared" si="1"/>
        <v>19</v>
      </c>
      <c r="K13" s="268" t="e">
        <f>+#REF!/C13</f>
        <v>#REF!</v>
      </c>
      <c r="L13" s="268" t="e">
        <f t="shared" si="2"/>
        <v>#REF!</v>
      </c>
      <c r="M13" s="140"/>
      <c r="N13" t="e">
        <f>VLOOKUP(A13,'SAP DRAFT'!A:B,1,0)</f>
        <v>#N/A</v>
      </c>
      <c r="O13" s="99"/>
      <c r="Q13"/>
      <c r="R13"/>
    </row>
    <row r="14" spans="1:18" ht="12.75" customHeight="1">
      <c r="A14" s="266">
        <v>1903</v>
      </c>
      <c r="B14" s="266" t="str">
        <f>VLOOKUP(A14,Index!A:B,2,0)</f>
        <v>Furniture &amp; Fixtures General</v>
      </c>
      <c r="C14" s="267">
        <f>SUMIF('SAP DRAFT'!B:B,A14,'SAP DRAFT'!D:D)</f>
        <v>-17471</v>
      </c>
      <c r="D14" s="267">
        <f>SUMIF('SAP DRAFT'!B:B,A14,'SAP DRAFT'!F:F)</f>
        <v>0</v>
      </c>
      <c r="E14" s="224">
        <f>SUMIF(AE!$B$1:$B$1009,A14,AE!$E$1:$E$1009)-SUMIF(AE!$B$1:$B$1009,A14,AE!$D$1:$D$1009)</f>
        <v>0</v>
      </c>
      <c r="F14" s="301">
        <f t="shared" ref="F14:F15" si="13">ROUND(E14+C14+D14,0)</f>
        <v>-17471</v>
      </c>
      <c r="G14" s="224">
        <f>SUMIF(AE!$B$1:$B$1009,#REF!,AE!$G$1:$G$1009)-SUMIF(AE!$B$1:$B$1009,#REF!,AE!$F$1:$F$1009)</f>
        <v>0</v>
      </c>
      <c r="H14" s="301" t="e">
        <f>ROUND(G14+#REF!,0)</f>
        <v>#REF!</v>
      </c>
      <c r="I14" s="58" t="str">
        <f t="shared" ref="I14:I15" si="14">LEFT(A14,3)</f>
        <v>190</v>
      </c>
      <c r="J14" s="58" t="str">
        <f t="shared" ref="J14:J15" si="15">LEFT(A14,2)</f>
        <v>19</v>
      </c>
      <c r="K14" s="268"/>
      <c r="L14" s="268"/>
      <c r="M14" s="140"/>
      <c r="O14" s="99"/>
      <c r="Q14"/>
      <c r="R14"/>
    </row>
    <row r="15" spans="1:18" ht="12.75" customHeight="1">
      <c r="A15" s="266">
        <v>1904</v>
      </c>
      <c r="B15" s="266" t="str">
        <f>VLOOKUP(A15,Index!A:B,2,0)</f>
        <v>Electronic equipment</v>
      </c>
      <c r="C15" s="267">
        <f>SUMIF('SAP DRAFT'!B:B,A15,'SAP DRAFT'!D:D)</f>
        <v>-24543</v>
      </c>
      <c r="D15" s="267">
        <f>SUMIF('SAP DRAFT'!B:B,A15,'SAP DRAFT'!F:F)</f>
        <v>-1.0664961636828645</v>
      </c>
      <c r="E15" s="224">
        <f>SUMIF(AE!$B$1:$B$1009,A15,AE!$E$1:$E$1009)-SUMIF(AE!$B$1:$B$1009,A15,AE!$D$1:$D$1009)</f>
        <v>0</v>
      </c>
      <c r="F15" s="301">
        <f t="shared" si="13"/>
        <v>-24544</v>
      </c>
      <c r="G15" s="224">
        <f>SUMIF(AE!$B$1:$B$1009,#REF!,AE!$G$1:$G$1009)-SUMIF(AE!$B$1:$B$1009,#REF!,AE!$F$1:$F$1009)</f>
        <v>0</v>
      </c>
      <c r="H15" s="301" t="e">
        <f>ROUND(G15+#REF!,0)</f>
        <v>#REF!</v>
      </c>
      <c r="I15" s="58" t="str">
        <f t="shared" si="14"/>
        <v>190</v>
      </c>
      <c r="J15" s="58" t="str">
        <f t="shared" si="15"/>
        <v>19</v>
      </c>
      <c r="K15" s="268" t="e">
        <f>+#REF!/C15</f>
        <v>#REF!</v>
      </c>
      <c r="L15" s="268" t="e">
        <f t="shared" si="2"/>
        <v>#REF!</v>
      </c>
      <c r="M15" s="140" t="s">
        <v>477</v>
      </c>
      <c r="N15" t="e">
        <f>VLOOKUP(A15,'SAP DRAFT'!A:B,1,0)</f>
        <v>#N/A</v>
      </c>
      <c r="O15" s="99"/>
      <c r="Q15"/>
      <c r="R15"/>
    </row>
    <row r="16" spans="1:18" ht="12.75" customHeight="1">
      <c r="A16" s="266">
        <v>1910</v>
      </c>
      <c r="B16" s="266" t="str">
        <f>VLOOKUP(A16,Index!A:B,2,0)</f>
        <v>Accumulated depreciation</v>
      </c>
      <c r="C16" s="267">
        <f>SUMIF('SAP DRAFT'!B:B,A16,'SAP DRAFT'!D:D)</f>
        <v>211237</v>
      </c>
      <c r="D16" s="267">
        <f>SUMIF('SAP DRAFT'!B:B,A16,'SAP DRAFT'!F:F)</f>
        <v>0</v>
      </c>
      <c r="E16" s="224">
        <f>SUMIF(AE!$B$1:$B$1009,A16,AE!$E$1:$E$1009)-SUMIF(AE!$B$1:$B$1009,A16,AE!$D$1:$D$1009)</f>
        <v>0</v>
      </c>
      <c r="F16" s="301">
        <f t="shared" si="3"/>
        <v>211237</v>
      </c>
      <c r="G16" s="224">
        <f>SUMIF(AE!$B$1:$B$1009,#REF!,AE!$G$1:$G$1009)-SUMIF(AE!$B$1:$B$1009,#REF!,AE!$F$1:$F$1009)</f>
        <v>0</v>
      </c>
      <c r="H16" s="301" t="e">
        <f>ROUND(G16+#REF!,0)</f>
        <v>#REF!</v>
      </c>
      <c r="I16" s="58" t="str">
        <f t="shared" si="0"/>
        <v>191</v>
      </c>
      <c r="J16" s="58" t="str">
        <f t="shared" si="1"/>
        <v>19</v>
      </c>
      <c r="K16" s="268" t="e">
        <f>+#REF!/C16</f>
        <v>#REF!</v>
      </c>
      <c r="L16" s="268" t="e">
        <f t="shared" si="2"/>
        <v>#REF!</v>
      </c>
      <c r="M16" s="140"/>
      <c r="N16" t="e">
        <f>VLOOKUP(A16,'SAP DRAFT'!A:B,1,0)</f>
        <v>#N/A</v>
      </c>
      <c r="O16" s="99"/>
      <c r="Q16"/>
      <c r="R16"/>
    </row>
    <row r="17" spans="1:18" ht="12.75" customHeight="1">
      <c r="A17" s="266">
        <v>7052</v>
      </c>
      <c r="B17" s="266" t="str">
        <f>VLOOKUP(A17,Index!A:B,2,0)</f>
        <v>Depreciation</v>
      </c>
      <c r="C17" s="267">
        <f>SUMIF('SAP DRAFT'!B:B,A17,'SAP DRAFT'!D:D)</f>
        <v>-73303</v>
      </c>
      <c r="D17" s="267">
        <f>SUMIF('SAP DRAFT'!B:B,A17,'SAP DRAFT'!F:F)</f>
        <v>0</v>
      </c>
      <c r="E17" s="224">
        <f>SUMIF(AE!$B$1:$B$1009,A17,AE!$E$1:$E$1009)-SUMIF(AE!$B$1:$B$1009,A17,AE!$D$1:$D$1009)</f>
        <v>0</v>
      </c>
      <c r="F17" s="301">
        <f t="shared" si="3"/>
        <v>-73303</v>
      </c>
      <c r="G17" s="224">
        <f>SUMIF(AE!$B$1:$B$1009,#REF!,AE!$G$1:$G$1009)-SUMIF(AE!$B$1:$B$1009,#REF!,AE!$F$1:$F$1009)</f>
        <v>0</v>
      </c>
      <c r="H17" s="301" t="e">
        <f>ROUND(G17+#REF!,0)</f>
        <v>#REF!</v>
      </c>
      <c r="I17" s="58" t="str">
        <f t="shared" si="0"/>
        <v>705</v>
      </c>
      <c r="J17" s="58" t="str">
        <f t="shared" si="1"/>
        <v>70</v>
      </c>
      <c r="K17" s="268" t="e">
        <f>+#REF!/C17</f>
        <v>#REF!</v>
      </c>
      <c r="L17" s="268" t="e">
        <f t="shared" si="2"/>
        <v>#REF!</v>
      </c>
      <c r="M17" s="140" t="s">
        <v>477</v>
      </c>
      <c r="N17" t="e">
        <f>VLOOKUP(A17,'SAP DRAFT'!A:B,1,0)</f>
        <v>#N/A</v>
      </c>
      <c r="O17" s="99"/>
      <c r="Q17"/>
      <c r="R17"/>
    </row>
    <row r="18" spans="1:18" ht="12.75" customHeight="1">
      <c r="A18" s="266">
        <v>2652</v>
      </c>
      <c r="B18" s="266" t="str">
        <f>VLOOKUP(A18,Index!A:B,2,0)</f>
        <v>Accounts payable</v>
      </c>
      <c r="C18" s="267">
        <f>SUMIF('SAP DRAFT'!B:B,A18,'SAP DRAFT'!D:D)</f>
        <v>129249</v>
      </c>
      <c r="D18" s="267">
        <f>SUMIF('SAP DRAFT'!B:B,A18,'SAP DRAFT'!F:F)</f>
        <v>0</v>
      </c>
      <c r="E18" s="224">
        <f>SUMIF(AE!$B$1:$B$1009,A18,AE!$E$1:$E$1009)-SUMIF(AE!$B$1:$B$1009,A18,AE!$D$1:$D$1009)</f>
        <v>0</v>
      </c>
      <c r="F18" s="301">
        <f t="shared" si="3"/>
        <v>129249</v>
      </c>
      <c r="G18" s="224">
        <f>SUMIF(AE!$B$1:$B$1009,#REF!,AE!$G$1:$G$1009)-SUMIF(AE!$B$1:$B$1009,#REF!,AE!$F$1:$F$1009)</f>
        <v>0</v>
      </c>
      <c r="H18" s="301" t="e">
        <f>ROUND(G18+#REF!,0)</f>
        <v>#REF!</v>
      </c>
      <c r="I18" s="58" t="str">
        <f t="shared" si="0"/>
        <v>265</v>
      </c>
      <c r="J18" s="58" t="str">
        <f t="shared" si="1"/>
        <v>26</v>
      </c>
      <c r="K18" s="268" t="e">
        <f>+#REF!/C18</f>
        <v>#REF!</v>
      </c>
      <c r="L18" s="268" t="e">
        <f t="shared" si="2"/>
        <v>#REF!</v>
      </c>
      <c r="M18" s="140" t="s">
        <v>473</v>
      </c>
      <c r="N18" t="e">
        <f>VLOOKUP(A18,'SAP DRAFT'!A:B,1,0)</f>
        <v>#N/A</v>
      </c>
      <c r="O18" s="99"/>
      <c r="Q18"/>
      <c r="R18"/>
    </row>
    <row r="19" spans="1:18" ht="12.75" customHeight="1">
      <c r="A19" s="266">
        <v>2658</v>
      </c>
      <c r="B19" s="266" t="str">
        <f>VLOOKUP(A19,Index!A:B,2,0)</f>
        <v>Checks payable</v>
      </c>
      <c r="C19" s="267">
        <f>SUMIF('SAP DRAFT'!B:B,A19,'SAP DRAFT'!D:D)</f>
        <v>20822</v>
      </c>
      <c r="D19" s="267">
        <f>SUMIF('SAP DRAFT'!B:B,A19,'SAP DRAFT'!F:F)</f>
        <v>0</v>
      </c>
      <c r="E19" s="224">
        <f>SUMIF(AE!$B$1:$B$1009,A19,AE!$E$1:$E$1009)-SUMIF(AE!$B$1:$B$1009,A19,AE!$D$1:$D$1009)</f>
        <v>0</v>
      </c>
      <c r="F19" s="301">
        <f t="shared" si="3"/>
        <v>20822</v>
      </c>
      <c r="G19" s="224">
        <f>SUMIF(AE!$B$1:$B$1009,#REF!,AE!$G$1:$G$1009)-SUMIF(AE!$B$1:$B$1009,#REF!,AE!$F$1:$F$1009)</f>
        <v>0</v>
      </c>
      <c r="H19" s="301" t="e">
        <f>ROUND(G19+#REF!,0)</f>
        <v>#REF!</v>
      </c>
      <c r="I19" s="58" t="str">
        <f t="shared" si="0"/>
        <v>265</v>
      </c>
      <c r="J19" s="58" t="str">
        <f t="shared" si="1"/>
        <v>26</v>
      </c>
      <c r="K19" s="268" t="e">
        <f>+#REF!/C19</f>
        <v>#REF!</v>
      </c>
      <c r="L19" s="268" t="e">
        <f t="shared" si="2"/>
        <v>#REF!</v>
      </c>
      <c r="M19" s="140" t="s">
        <v>482</v>
      </c>
      <c r="N19" t="e">
        <f>VLOOKUP(A19,'SAP DRAFT'!A:B,1,0)</f>
        <v>#N/A</v>
      </c>
      <c r="O19" s="99"/>
      <c r="Q19"/>
      <c r="R19"/>
    </row>
    <row r="20" spans="1:18" ht="12.75" customHeight="1">
      <c r="A20" s="266">
        <v>2681</v>
      </c>
      <c r="B20" s="266" t="str">
        <f>VLOOKUP(A20,Index!A:B,2,0)</f>
        <v>Vacation &amp; Convalescence</v>
      </c>
      <c r="C20" s="267">
        <f>SUMIF('SAP DRAFT'!B:B,A20,'SAP DRAFT'!D:D)</f>
        <v>379770</v>
      </c>
      <c r="D20" s="267">
        <f>SUMIF('SAP DRAFT'!B:B,A20,'SAP DRAFT'!F:F)</f>
        <v>0</v>
      </c>
      <c r="E20" s="224">
        <f>SUMIF(AE!$B$1:$B$1009,A20,AE!$E$1:$E$1009)-SUMIF(AE!$B$1:$B$1009,A20,AE!$D$1:$D$1009)</f>
        <v>0</v>
      </c>
      <c r="F20" s="301">
        <f t="shared" si="3"/>
        <v>379770</v>
      </c>
      <c r="G20" s="224">
        <f>SUMIF(AE!$B$1:$B$1009,#REF!,AE!$G$1:$G$1009)-SUMIF(AE!$B$1:$B$1009,#REF!,AE!$F$1:$F$1009)</f>
        <v>0</v>
      </c>
      <c r="H20" s="301" t="e">
        <f>ROUND(G20+#REF!,0)</f>
        <v>#REF!</v>
      </c>
      <c r="I20" s="58" t="str">
        <f t="shared" si="0"/>
        <v>268</v>
      </c>
      <c r="J20" s="58" t="str">
        <f t="shared" si="1"/>
        <v>26</v>
      </c>
      <c r="K20" s="268" t="e">
        <f>+#REF!/C20</f>
        <v>#REF!</v>
      </c>
      <c r="L20" s="268" t="e">
        <f t="shared" si="2"/>
        <v>#REF!</v>
      </c>
      <c r="M20" s="140" t="s">
        <v>473</v>
      </c>
      <c r="N20" t="e">
        <f>VLOOKUP(A20,'SAP DRAFT'!A:B,1,0)</f>
        <v>#N/A</v>
      </c>
      <c r="O20" s="99"/>
      <c r="Q20"/>
      <c r="R20"/>
    </row>
    <row r="21" spans="1:18" ht="12.75" customHeight="1">
      <c r="A21" s="266">
        <v>2684</v>
      </c>
      <c r="B21" s="266" t="str">
        <f>VLOOKUP(A21,Index!A:B,2,0)</f>
        <v>Shareholders</v>
      </c>
      <c r="C21" s="267">
        <f>SUMIF('SAP DRAFT'!B:B,A21,'SAP DRAFT'!D:D)</f>
        <v>0</v>
      </c>
      <c r="D21" s="267">
        <f>SUMIF('SAP DRAFT'!B:B,A21,'SAP DRAFT'!F:F)</f>
        <v>0</v>
      </c>
      <c r="E21" s="224">
        <f>SUMIF(AE!$B$1:$B$1009,A21,AE!$E$1:$E$1009)-SUMIF(AE!$B$1:$B$1009,A21,AE!$D$1:$D$1009)</f>
        <v>0</v>
      </c>
      <c r="F21" s="301">
        <f t="shared" ref="F21" si="16">ROUND(E21+C21+D21,0)</f>
        <v>0</v>
      </c>
      <c r="G21" s="224">
        <f>SUMIF(AE!$B$1:$B$1009,#REF!,AE!$G$1:$G$1009)-SUMIF(AE!$B$1:$B$1009,#REF!,AE!$F$1:$F$1009)</f>
        <v>0</v>
      </c>
      <c r="H21" s="301" t="e">
        <f>ROUND(G21+#REF!,0)</f>
        <v>#REF!</v>
      </c>
      <c r="I21" s="58" t="str">
        <f t="shared" si="0"/>
        <v>268</v>
      </c>
      <c r="J21" s="58" t="str">
        <f t="shared" si="1"/>
        <v>26</v>
      </c>
      <c r="K21" s="268"/>
      <c r="L21" s="268"/>
      <c r="M21" s="140"/>
      <c r="N21" t="e">
        <f>VLOOKUP(A21,'SAP DRAFT'!A:B,1,0)</f>
        <v>#N/A</v>
      </c>
      <c r="O21" s="99"/>
      <c r="Q21"/>
      <c r="R21"/>
    </row>
    <row r="22" spans="1:18" ht="12.75" customHeight="1">
      <c r="A22" s="266">
        <v>2685</v>
      </c>
      <c r="B22" s="266" t="str">
        <f>VLOOKUP(A22,Index!A:B,2,0)</f>
        <v>Employees</v>
      </c>
      <c r="C22" s="267">
        <f>SUMIF('SAP DRAFT'!B:B,A22,'SAP DRAFT'!D:D)</f>
        <v>746112</v>
      </c>
      <c r="D22" s="267">
        <f>SUMIF('SAP DRAFT'!B:B,A22,'SAP DRAFT'!F:F)</f>
        <v>7139.4346035805629</v>
      </c>
      <c r="E22" s="224">
        <f>SUMIF(AE!$B$1:$B$1009,A22,AE!$E$1:$E$1009)-SUMIF(AE!$B$1:$B$1009,A22,AE!$D$1:$D$1009)</f>
        <v>0</v>
      </c>
      <c r="F22" s="301">
        <f t="shared" si="3"/>
        <v>753251</v>
      </c>
      <c r="G22" s="224">
        <f>SUMIF(AE!$B$1:$B$1009,#REF!,AE!$G$1:$G$1009)-SUMIF(AE!$B$1:$B$1009,#REF!,AE!$F$1:$F$1009)</f>
        <v>0</v>
      </c>
      <c r="H22" s="301" t="e">
        <f>ROUND(G22+#REF!,0)</f>
        <v>#REF!</v>
      </c>
      <c r="I22" s="58" t="str">
        <f t="shared" si="0"/>
        <v>268</v>
      </c>
      <c r="J22" s="58" t="str">
        <f t="shared" si="1"/>
        <v>26</v>
      </c>
      <c r="K22" s="268" t="e">
        <f>+#REF!/C22</f>
        <v>#REF!</v>
      </c>
      <c r="L22" s="268" t="e">
        <f t="shared" si="2"/>
        <v>#REF!</v>
      </c>
      <c r="M22" s="140" t="s">
        <v>478</v>
      </c>
      <c r="N22" t="e">
        <f>VLOOKUP(A22,'SAP DRAFT'!A:B,1,0)</f>
        <v>#N/A</v>
      </c>
      <c r="O22" s="99"/>
      <c r="Q22"/>
      <c r="R22"/>
    </row>
    <row r="23" spans="1:18" ht="14.25" customHeight="1">
      <c r="A23" s="346">
        <v>2686</v>
      </c>
      <c r="B23" s="346" t="str">
        <f>VLOOKUP(A23,Index!A:B,2,0)</f>
        <v>Related company</v>
      </c>
      <c r="C23" s="567">
        <f>SUMIF('SAP DRAFT'!B:B,A23,'SAP DRAFT'!D:D)</f>
        <v>234727</v>
      </c>
      <c r="D23" s="567">
        <f>SUMIF('SAP DRAFT'!B:B,A23,'SAP DRAFT'!F:F)</f>
        <v>0</v>
      </c>
      <c r="E23" s="347">
        <f>SUMIF(AE!$B$1:$B$1009,A23,AE!$E$1:$E$1009)-SUMIF(AE!$B$1:$B$1009,A23,AE!$D$1:$D$1009)</f>
        <v>-234727</v>
      </c>
      <c r="F23" s="348">
        <f t="shared" ref="F23" si="17">ROUND(E23+C23+D23,0)</f>
        <v>0</v>
      </c>
      <c r="G23" s="347">
        <f>SUMIF(AE!$B$1:$B$1009,#REF!,AE!$G$1:$G$1009)-SUMIF(AE!$B$1:$B$1009,#REF!,AE!$F$1:$F$1009)</f>
        <v>0</v>
      </c>
      <c r="H23" s="348" t="e">
        <f>ROUND(G23+#REF!,0)</f>
        <v>#REF!</v>
      </c>
      <c r="I23" s="349" t="str">
        <f t="shared" ref="I23" si="18">LEFT(A23,3)</f>
        <v>268</v>
      </c>
      <c r="J23" s="349" t="str">
        <f t="shared" ref="J23" si="19">LEFT(A23,2)</f>
        <v>26</v>
      </c>
      <c r="K23" s="268"/>
      <c r="L23" s="268"/>
      <c r="M23" s="140"/>
      <c r="N23" t="e">
        <f>VLOOKUP(A23,'SAP DRAFT'!A:B,1,0)</f>
        <v>#N/A</v>
      </c>
      <c r="O23" s="99"/>
      <c r="P23" s="43"/>
      <c r="Q23" s="43"/>
      <c r="R23"/>
    </row>
    <row r="24" spans="1:18" ht="12.75" customHeight="1">
      <c r="A24" s="266">
        <v>2687</v>
      </c>
      <c r="B24" s="266" t="str">
        <f>VLOOKUP(A24,Index!A:B,2,0)</f>
        <v>Expenses Payable</v>
      </c>
      <c r="C24" s="267">
        <f>SUMIF('SAP DRAFT'!B:B,A24,'SAP DRAFT'!D:D)</f>
        <v>174402</v>
      </c>
      <c r="D24" s="267">
        <f>SUMIF('SAP DRAFT'!B:B,A24,'SAP DRAFT'!F:F)</f>
        <v>0</v>
      </c>
      <c r="E24" s="224">
        <f>SUMIF(AE!$B$1:$B$1009,A24,AE!$E$1:$E$1009)-SUMIF(AE!$B$1:$B$1009,A24,AE!$D$1:$D$1009)</f>
        <v>0</v>
      </c>
      <c r="F24" s="301">
        <f t="shared" si="3"/>
        <v>174402</v>
      </c>
      <c r="G24" s="224">
        <f>SUMIF(AE!$B$1:$B$1009,#REF!,AE!$G$1:$G$1009)-SUMIF(AE!$B$1:$B$1009,#REF!,AE!$F$1:$F$1009)</f>
        <v>0</v>
      </c>
      <c r="H24" s="301" t="e">
        <f>ROUND(G24+#REF!,0)</f>
        <v>#REF!</v>
      </c>
      <c r="I24" s="58" t="str">
        <f t="shared" si="0"/>
        <v>268</v>
      </c>
      <c r="J24" s="58" t="str">
        <f t="shared" si="1"/>
        <v>26</v>
      </c>
      <c r="K24" s="268" t="e">
        <f>+#REF!/C24</f>
        <v>#REF!</v>
      </c>
      <c r="L24" s="268" t="e">
        <f t="shared" si="2"/>
        <v>#REF!</v>
      </c>
      <c r="M24" s="140" t="s">
        <v>473</v>
      </c>
      <c r="N24" t="e">
        <f>VLOOKUP(A24,'SAP DRAFT'!A:B,1,0)</f>
        <v>#N/A</v>
      </c>
      <c r="O24" s="99"/>
      <c r="Q24"/>
      <c r="R24"/>
    </row>
    <row r="25" spans="1:18" ht="12.75" customHeight="1">
      <c r="A25" s="266">
        <v>2688</v>
      </c>
      <c r="B25" s="266" t="str">
        <f>VLOOKUP(A25,Index!A:B,2,0)</f>
        <v xml:space="preserve"> Income tax</v>
      </c>
      <c r="C25" s="267">
        <f>SUMIF('SAP DRAFT'!B:B,A25,'SAP DRAFT'!D:D)</f>
        <v>0</v>
      </c>
      <c r="D25" s="267">
        <f>SUMIF('SAP DRAFT'!B:B,A25,'SAP DRAFT'!F:F)</f>
        <v>11993.410588235294</v>
      </c>
      <c r="E25" s="224">
        <f>SUMIF(AE!$B$1:$B$1009,A25,AE!$E$1:$E$1009)-SUMIF(AE!$B$1:$B$1009,A25,AE!$D$1:$D$1009)</f>
        <v>0</v>
      </c>
      <c r="F25" s="301">
        <f t="shared" ref="F25" si="20">ROUND(E25+C25+D25,0)</f>
        <v>11993</v>
      </c>
      <c r="G25" s="224">
        <f>SUMIF(AE!$B$1:$B$1009,#REF!,AE!$G$1:$G$1009)-SUMIF(AE!$B$1:$B$1009,#REF!,AE!$F$1:$F$1009)</f>
        <v>0</v>
      </c>
      <c r="H25" s="301" t="e">
        <f>ROUND(G25+#REF!,0)</f>
        <v>#REF!</v>
      </c>
      <c r="I25" s="58" t="str">
        <f t="shared" ref="I25" si="21">LEFT(A25,3)</f>
        <v>268</v>
      </c>
      <c r="J25" s="58" t="str">
        <f t="shared" ref="J25" si="22">LEFT(A25,2)</f>
        <v>26</v>
      </c>
      <c r="K25" s="268"/>
      <c r="L25" s="268"/>
      <c r="M25" s="140"/>
      <c r="N25" t="e">
        <f>VLOOKUP(A25,'SAP DRAFT'!A:B,1,0)</f>
        <v>#N/A</v>
      </c>
      <c r="O25" s="99"/>
      <c r="Q25"/>
      <c r="R25"/>
    </row>
    <row r="26" spans="1:18" ht="12.75" customHeight="1">
      <c r="A26" s="266">
        <v>2630</v>
      </c>
      <c r="B26" s="266" t="str">
        <f>VLOOKUP(A26,Index!A:B,2,0)</f>
        <v>Current maturities of obligation under capital lease</v>
      </c>
      <c r="C26" s="267">
        <f>SUMIF('SAP DRAFT'!B:B,A26,'SAP DRAFT'!D:D)</f>
        <v>0</v>
      </c>
      <c r="D26" s="267">
        <f>SUMIF('SAP DRAFT'!B:B,A26,'SAP DRAFT'!F:F)</f>
        <v>0</v>
      </c>
      <c r="E26" s="224">
        <f>SUMIF(AE!$B$1:$B$1009,A26,AE!$E$1:$E$1009)-SUMIF(AE!$B$1:$B$1009,A26,AE!$D$1:$D$1009)</f>
        <v>149136</v>
      </c>
      <c r="F26" s="301">
        <f t="shared" ref="F26" si="23">ROUND(E26+C26+D26,0)</f>
        <v>149136</v>
      </c>
      <c r="G26" s="224">
        <f>SUMIF(AE!$B$1:$B$1009,#REF!,AE!$G$1:$G$1009)-SUMIF(AE!$B$1:$B$1009,#REF!,AE!$F$1:$F$1009)</f>
        <v>0</v>
      </c>
      <c r="H26" s="301" t="e">
        <f>ROUND(G26+#REF!,0)</f>
        <v>#REF!</v>
      </c>
      <c r="I26" s="58" t="str">
        <f t="shared" ref="I26" si="24">LEFT(A26,3)</f>
        <v>263</v>
      </c>
      <c r="J26" s="58" t="str">
        <f t="shared" ref="J26" si="25">LEFT(A26,2)</f>
        <v>26</v>
      </c>
      <c r="K26" s="268"/>
      <c r="L26" s="268"/>
      <c r="M26" s="140"/>
      <c r="N26" t="e">
        <f>VLOOKUP(A26,'SAP DRAFT'!A:B,1,0)</f>
        <v>#N/A</v>
      </c>
      <c r="O26" s="99"/>
      <c r="Q26"/>
      <c r="R26"/>
    </row>
    <row r="27" spans="1:18" ht="12.75" customHeight="1">
      <c r="A27" s="266">
        <v>3721</v>
      </c>
      <c r="B27" s="266" t="str">
        <f>VLOOKUP(A27,Index!A:B,2,0)</f>
        <v>Share capital</v>
      </c>
      <c r="C27" s="267">
        <f>SUMIF('SAP DRAFT'!B:B,A27,'SAP DRAFT'!D:D)</f>
        <v>2215</v>
      </c>
      <c r="D27" s="267">
        <f>SUMIF('SAP DRAFT'!B:B,A27,'SAP DRAFT'!F:F)</f>
        <v>0</v>
      </c>
      <c r="E27" s="224">
        <f>SUMIF(AE!$B$1:$B$1009,A27,AE!$E$1:$E$1009)-SUMIF(AE!$B$1:$B$1009,A27,AE!$D$1:$D$1009)</f>
        <v>0</v>
      </c>
      <c r="F27" s="301">
        <f t="shared" si="3"/>
        <v>2215</v>
      </c>
      <c r="G27" s="224">
        <f>SUMIF(AE!$B$1:$B$1009,#REF!,AE!$G$1:$G$1009)-SUMIF(AE!$B$1:$B$1009,#REF!,AE!$F$1:$F$1009)</f>
        <v>0</v>
      </c>
      <c r="H27" s="301" t="e">
        <f>ROUND(G27+#REF!,0)</f>
        <v>#REF!</v>
      </c>
      <c r="I27" s="58" t="str">
        <f t="shared" si="0"/>
        <v>372</v>
      </c>
      <c r="J27" s="58" t="str">
        <f t="shared" si="1"/>
        <v>37</v>
      </c>
      <c r="K27" s="268" t="e">
        <f>+#REF!/C27</f>
        <v>#REF!</v>
      </c>
      <c r="L27" s="268" t="e">
        <f t="shared" si="2"/>
        <v>#REF!</v>
      </c>
      <c r="M27" s="140" t="s">
        <v>479</v>
      </c>
      <c r="N27" t="e">
        <f>VLOOKUP(A27,'SAP DRAFT'!A:B,1,0)</f>
        <v>#N/A</v>
      </c>
      <c r="O27" s="99"/>
      <c r="Q27"/>
      <c r="R27"/>
    </row>
    <row r="28" spans="1:18" ht="12.75" customHeight="1">
      <c r="A28" s="266">
        <v>3740</v>
      </c>
      <c r="B28" s="266" t="str">
        <f>VLOOKUP(A28,Index!A:B,2,0)</f>
        <v>Warrants premium</v>
      </c>
      <c r="C28" s="267">
        <f>SUMIF('SAP DRAFT'!B:B,A28,'SAP DRAFT'!D:D)</f>
        <v>-577</v>
      </c>
      <c r="D28" s="267">
        <f>SUMIF('SAP DRAFT'!B:B,A28,'SAP DRAFT'!F:F)</f>
        <v>0</v>
      </c>
      <c r="E28" s="224">
        <f>SUMIF(AE!$B$1:$B$1009,A28,AE!$E$1:$E$1009)-SUMIF(AE!$B$1:$B$1009,A28,AE!$D$1:$D$1009)</f>
        <v>0</v>
      </c>
      <c r="F28" s="301">
        <f t="shared" si="3"/>
        <v>-577</v>
      </c>
      <c r="G28" s="224">
        <f>SUMIF(AE!$B$1:$B$1009,#REF!,AE!$G$1:$G$1009)-SUMIF(AE!$B$1:$B$1009,#REF!,AE!$F$1:$F$1009)</f>
        <v>0</v>
      </c>
      <c r="H28" s="301" t="e">
        <f>ROUND(G28+#REF!,0)</f>
        <v>#REF!</v>
      </c>
      <c r="I28" s="58" t="str">
        <f t="shared" si="0"/>
        <v>374</v>
      </c>
      <c r="J28" s="58" t="str">
        <f t="shared" si="1"/>
        <v>37</v>
      </c>
      <c r="K28" s="268" t="e">
        <f>+#REF!/C28</f>
        <v>#REF!</v>
      </c>
      <c r="L28" s="268" t="e">
        <f t="shared" ref="L28:L41" si="26">+H28/F28</f>
        <v>#REF!</v>
      </c>
      <c r="M28" s="140" t="s">
        <v>479</v>
      </c>
      <c r="N28" t="e">
        <f>VLOOKUP(A28,'SAP DRAFT'!A:B,1,0)</f>
        <v>#N/A</v>
      </c>
      <c r="O28" s="99"/>
      <c r="Q28"/>
      <c r="R28"/>
    </row>
    <row r="29" spans="1:18" ht="12.75" customHeight="1">
      <c r="A29" s="266">
        <v>3743</v>
      </c>
      <c r="B29" s="266" t="str">
        <f>VLOOKUP(A29,Index!A:B,2,0)</f>
        <v>Additional paid-in capital</v>
      </c>
      <c r="C29" s="267">
        <f>SUMIF('SAP DRAFT'!B:B,A29,'SAP DRAFT'!D:D)</f>
        <v>97199523</v>
      </c>
      <c r="D29" s="267">
        <f>SUMIF('SAP DRAFT'!B:B,A29,'SAP DRAFT'!F:F)</f>
        <v>0</v>
      </c>
      <c r="E29" s="224">
        <f>SUMIF(AE!$B$1:$B$1009,A29,AE!$E$1:$E$1009)-SUMIF(AE!$B$1:$B$1009,A29,AE!$D$1:$D$1009)</f>
        <v>0</v>
      </c>
      <c r="F29" s="301">
        <f t="shared" si="3"/>
        <v>97199523</v>
      </c>
      <c r="G29" s="224">
        <f>SUMIF(AE!$B$1:$B$1009,#REF!,AE!$G$1:$G$1009)-SUMIF(AE!$B$1:$B$1009,#REF!,AE!$F$1:$F$1009)</f>
        <v>0</v>
      </c>
      <c r="H29" s="301" t="e">
        <f>ROUND(G29+#REF!,0)</f>
        <v>#REF!</v>
      </c>
      <c r="I29" s="58" t="str">
        <f t="shared" si="0"/>
        <v>374</v>
      </c>
      <c r="J29" s="58" t="str">
        <f t="shared" si="1"/>
        <v>37</v>
      </c>
      <c r="K29" s="268" t="e">
        <f>+#REF!/C29</f>
        <v>#REF!</v>
      </c>
      <c r="L29" s="268" t="e">
        <f t="shared" si="26"/>
        <v>#REF!</v>
      </c>
      <c r="M29" s="140" t="s">
        <v>479</v>
      </c>
      <c r="N29" t="e">
        <f>VLOOKUP(A29,'SAP DRAFT'!A:B,1,0)</f>
        <v>#N/A</v>
      </c>
      <c r="O29" s="99"/>
      <c r="Q29"/>
      <c r="R29"/>
    </row>
    <row r="30" spans="1:18" s="363" customFormat="1" ht="14.25" customHeight="1">
      <c r="A30" s="353">
        <v>4200</v>
      </c>
      <c r="B30" s="354" t="str">
        <f>VLOOKUP(A30,Index!A:B,2,0)</f>
        <v>Revenues</v>
      </c>
      <c r="C30" s="355">
        <f>SUMIF('SAP DRAFT'!B:B,A30,'SAP DRAFT'!D:D)</f>
        <v>1219917</v>
      </c>
      <c r="D30" s="355">
        <f>SUMIF('SAP DRAFT'!B:B,A30,'SAP DRAFT'!F:F)</f>
        <v>0</v>
      </c>
      <c r="E30" s="356">
        <f>SUMIF(AE!$B$1:$B$1009,A30,AE!$E$1:$E$1009)-SUMIF(AE!$B$1:$B$1009,A30,AE!$D$1:$D$1009)</f>
        <v>0</v>
      </c>
      <c r="F30" s="315">
        <f>ROUND(E30+C30+D30,0)</f>
        <v>1219917</v>
      </c>
      <c r="G30" s="356">
        <f>SUMIF(AE!$B$1:$B$1009,#REF!,AE!$G$1:$G$1009)-SUMIF(AE!$B$1:$B$1009,#REF!,AE!$F$1:$F$1009)</f>
        <v>0</v>
      </c>
      <c r="H30" s="315" t="e">
        <f>ROUND(G30+#REF!,0)</f>
        <v>#REF!</v>
      </c>
      <c r="I30" s="357" t="str">
        <f t="shared" si="0"/>
        <v>420</v>
      </c>
      <c r="J30" s="357" t="str">
        <f t="shared" si="1"/>
        <v>42</v>
      </c>
      <c r="K30" s="361" t="e">
        <f>+#REF!/C30</f>
        <v>#REF!</v>
      </c>
      <c r="L30" s="361" t="e">
        <f t="shared" si="26"/>
        <v>#REF!</v>
      </c>
      <c r="M30" s="362" t="s">
        <v>481</v>
      </c>
      <c r="N30" t="e">
        <f>VLOOKUP(A30,'SAP DRAFT'!A:B,1,0)</f>
        <v>#N/A</v>
      </c>
      <c r="O30" s="353"/>
    </row>
    <row r="31" spans="1:18" ht="14.1" customHeight="1">
      <c r="A31" s="220">
        <v>7000</v>
      </c>
      <c r="B31" s="266" t="str">
        <f>VLOOKUP(A31,Index!A:B,2,0)</f>
        <v>Salaries and social benefits</v>
      </c>
      <c r="C31" s="267">
        <f>SUMIF('SAP DRAFT'!B:B,A31,'SAP DRAFT'!D:D)</f>
        <v>-7823748</v>
      </c>
      <c r="D31" s="267">
        <f>SUMIF('SAP DRAFT'!B:B,A31,'SAP DRAFT'!F:F)</f>
        <v>0</v>
      </c>
      <c r="E31" s="224">
        <f>SUMIF(AE!$B$1:$B$1009,A31,AE!$E$1:$E$1009)-SUMIF(AE!$B$1:$B$1009,A31,AE!$D$1:$D$1009)</f>
        <v>0</v>
      </c>
      <c r="F31" s="301">
        <f t="shared" si="3"/>
        <v>-7823748</v>
      </c>
      <c r="G31" s="224">
        <f>SUMIF(AE!$B$1:$B$1009,#REF!,AE!$G$1:$G$1009)-SUMIF(AE!$B$1:$B$1009,#REF!,AE!$F$1:$F$1009)</f>
        <v>0</v>
      </c>
      <c r="H31" s="301" t="e">
        <f>ROUND(G31+#REF!,0)</f>
        <v>#REF!</v>
      </c>
      <c r="I31" s="58" t="str">
        <f t="shared" si="0"/>
        <v>700</v>
      </c>
      <c r="J31" s="58" t="str">
        <f t="shared" si="1"/>
        <v>70</v>
      </c>
      <c r="K31" s="268" t="e">
        <f>+#REF!/C31</f>
        <v>#REF!</v>
      </c>
      <c r="L31" s="268" t="e">
        <f t="shared" si="26"/>
        <v>#REF!</v>
      </c>
      <c r="M31" s="58"/>
      <c r="N31" t="e">
        <f>VLOOKUP(A31,'SAP DRAFT'!A:B,1,0)</f>
        <v>#N/A</v>
      </c>
      <c r="O31" s="99"/>
      <c r="Q31"/>
      <c r="R31"/>
    </row>
    <row r="32" spans="1:18" ht="14.1" customHeight="1">
      <c r="A32" s="220">
        <v>7001</v>
      </c>
      <c r="B32" s="266" t="str">
        <f>VLOOKUP(A32,Index!A:B,2,0)</f>
        <v>Outsourcing &amp; Consultation</v>
      </c>
      <c r="C32" s="267">
        <f>SUMIF('SAP DRAFT'!B:B,A32,'SAP DRAFT'!D:D)</f>
        <v>-1267597</v>
      </c>
      <c r="D32" s="267">
        <f>SUMIF('SAP DRAFT'!B:B,A32,'SAP DRAFT'!F:F)</f>
        <v>0</v>
      </c>
      <c r="E32" s="224">
        <f>SUMIF(AE!$B$1:$B$1009,A32,AE!$E$1:$E$1009)-SUMIF(AE!$B$1:$B$1009,A32,AE!$D$1:$D$1009)</f>
        <v>0</v>
      </c>
      <c r="F32" s="301">
        <f t="shared" si="3"/>
        <v>-1267597</v>
      </c>
      <c r="G32" s="224">
        <f>SUMIF(AE!$B$1:$B$1009,#REF!,AE!$G$1:$G$1009)-SUMIF(AE!$B$1:$B$1009,#REF!,AE!$F$1:$F$1009)</f>
        <v>0</v>
      </c>
      <c r="H32" s="301" t="e">
        <f>ROUND(G32+#REF!,0)</f>
        <v>#REF!</v>
      </c>
      <c r="I32" s="58" t="str">
        <f t="shared" si="0"/>
        <v>700</v>
      </c>
      <c r="J32" s="58" t="str">
        <f t="shared" si="1"/>
        <v>70</v>
      </c>
      <c r="K32" s="268" t="e">
        <f>+#REF!/C32</f>
        <v>#REF!</v>
      </c>
      <c r="L32" s="268" t="e">
        <f t="shared" si="26"/>
        <v>#REF!</v>
      </c>
      <c r="M32" s="58"/>
      <c r="N32">
        <f>VLOOKUP(A32,'SAP DRAFT'!A:B,1,0)</f>
        <v>7001</v>
      </c>
      <c r="O32" s="99"/>
      <c r="Q32"/>
      <c r="R32"/>
    </row>
    <row r="33" spans="1:18" ht="14.1" customHeight="1">
      <c r="A33" s="220">
        <v>7002</v>
      </c>
      <c r="B33" s="266" t="str">
        <f>VLOOKUP(A33,Index!A:B,2,0)</f>
        <v>Communication &amp; Computer Maintenance</v>
      </c>
      <c r="C33" s="267">
        <f>SUMIF('SAP DRAFT'!B:B,A33,'SAP DRAFT'!D:D)</f>
        <v>-512228</v>
      </c>
      <c r="D33" s="267">
        <f>SUMIF('SAP DRAFT'!B:B,A33,'SAP DRAFT'!F:F)</f>
        <v>0</v>
      </c>
      <c r="E33" s="224">
        <f>SUMIF(AE!$B$1:$B$1009,A33,AE!$E$1:$E$1009)-SUMIF(AE!$B$1:$B$1009,A33,AE!$D$1:$D$1009)</f>
        <v>0</v>
      </c>
      <c r="F33" s="301">
        <f t="shared" si="3"/>
        <v>-512228</v>
      </c>
      <c r="G33" s="224">
        <f>SUMIF(AE!$B$1:$B$1009,#REF!,AE!$G$1:$G$1009)-SUMIF(AE!$B$1:$B$1009,#REF!,AE!$F$1:$F$1009)</f>
        <v>0</v>
      </c>
      <c r="H33" s="301" t="e">
        <f>ROUND(G33+#REF!,0)</f>
        <v>#REF!</v>
      </c>
      <c r="I33" s="58" t="str">
        <f t="shared" si="0"/>
        <v>700</v>
      </c>
      <c r="J33" s="58" t="str">
        <f t="shared" si="1"/>
        <v>70</v>
      </c>
      <c r="K33" s="268" t="e">
        <f>+#REF!/C33</f>
        <v>#REF!</v>
      </c>
      <c r="L33" s="268" t="e">
        <f t="shared" si="26"/>
        <v>#REF!</v>
      </c>
      <c r="M33" s="58"/>
      <c r="N33" t="e">
        <f>VLOOKUP(A33,'SAP DRAFT'!A:B,1,0)</f>
        <v>#N/A</v>
      </c>
      <c r="O33" s="99"/>
      <c r="Q33"/>
      <c r="R33"/>
    </row>
    <row r="34" spans="1:18" ht="14.1" customHeight="1">
      <c r="A34" s="220">
        <v>7007</v>
      </c>
      <c r="B34" s="266" t="str">
        <f>VLOOKUP(A34,Index!A:B,2,0)</f>
        <v>Travel Abroad</v>
      </c>
      <c r="C34" s="267">
        <f>SUMIF('SAP DRAFT'!B:B,A34,'SAP DRAFT'!D:D)</f>
        <v>0</v>
      </c>
      <c r="D34" s="267">
        <f>SUMIF('SAP DRAFT'!B:B,A34,'SAP DRAFT'!F:F)</f>
        <v>0</v>
      </c>
      <c r="E34" s="224">
        <f>SUMIF(AE!$B$1:$B$1009,A34,AE!$E$1:$E$1009)-SUMIF(AE!$B$1:$B$1009,A34,AE!$D$1:$D$1009)</f>
        <v>0</v>
      </c>
      <c r="F34" s="301">
        <f t="shared" si="3"/>
        <v>0</v>
      </c>
      <c r="G34" s="224">
        <f>SUMIF(AE!$B$1:$B$1009,#REF!,AE!$G$1:$G$1009)-SUMIF(AE!$B$1:$B$1009,#REF!,AE!$F$1:$F$1009)</f>
        <v>0</v>
      </c>
      <c r="H34" s="301" t="e">
        <f>ROUND(G34+#REF!,0)</f>
        <v>#REF!</v>
      </c>
      <c r="I34" s="58" t="str">
        <f t="shared" si="0"/>
        <v>700</v>
      </c>
      <c r="J34" s="58" t="str">
        <f t="shared" si="1"/>
        <v>70</v>
      </c>
      <c r="K34" s="268" t="e">
        <f>+#REF!/C34</f>
        <v>#REF!</v>
      </c>
      <c r="L34" s="268" t="e">
        <f t="shared" si="26"/>
        <v>#REF!</v>
      </c>
      <c r="M34" s="58"/>
      <c r="N34" t="e">
        <f>VLOOKUP(A34,'SAP DRAFT'!A:B,1,0)</f>
        <v>#N/A</v>
      </c>
      <c r="O34" s="99"/>
      <c r="Q34"/>
      <c r="R34"/>
    </row>
    <row r="35" spans="1:18" ht="14.25" customHeight="1">
      <c r="A35" s="220">
        <v>7020</v>
      </c>
      <c r="B35" s="266" t="str">
        <f>VLOOKUP(A35,Index!A:B,2,0)</f>
        <v>Salaries and social benefits</v>
      </c>
      <c r="C35" s="267">
        <f>SUMIF('SAP DRAFT'!B:B,A35,'SAP DRAFT'!D:D)</f>
        <v>-627386</v>
      </c>
      <c r="D35" s="267">
        <f>SUMIF('SAP DRAFT'!B:B,A35,'SAP DRAFT'!F:F)</f>
        <v>-322091.06662404101</v>
      </c>
      <c r="E35" s="224">
        <f>SUMIF(AE!$B$1:$B$1009,A35,AE!$E$1:$E$1009)-SUMIF(AE!$B$1:$B$1009,A35,AE!$D$1:$D$1009)</f>
        <v>309629.81483375956</v>
      </c>
      <c r="F35" s="301">
        <f t="shared" si="3"/>
        <v>-639847</v>
      </c>
      <c r="G35" s="224">
        <f>SUMIF(AE!$B$1:$B$1009,#REF!,AE!$G$1:$G$1009)-SUMIF(AE!$B$1:$B$1009,#REF!,AE!$F$1:$F$1009)</f>
        <v>0</v>
      </c>
      <c r="H35" s="301" t="e">
        <f>ROUND(G35+#REF!,0)</f>
        <v>#REF!</v>
      </c>
      <c r="I35" s="58" t="str">
        <f t="shared" si="0"/>
        <v>702</v>
      </c>
      <c r="J35" s="58" t="str">
        <f t="shared" si="1"/>
        <v>70</v>
      </c>
      <c r="K35" s="268" t="e">
        <f>+#REF!/C35</f>
        <v>#REF!</v>
      </c>
      <c r="L35" s="268" t="e">
        <f t="shared" si="26"/>
        <v>#REF!</v>
      </c>
      <c r="M35" s="58"/>
      <c r="N35" t="e">
        <f>VLOOKUP(A35,'SAP DRAFT'!A:B,1,0)</f>
        <v>#N/A</v>
      </c>
      <c r="O35" s="99"/>
      <c r="Q35"/>
      <c r="R35"/>
    </row>
    <row r="36" spans="1:18" ht="14.25" customHeight="1">
      <c r="A36" s="220">
        <v>7021</v>
      </c>
      <c r="B36" s="266" t="str">
        <f>VLOOKUP(A36,Index!A:B,2,0)</f>
        <v>Marketing exepences</v>
      </c>
      <c r="C36" s="267">
        <f>SUMIF('SAP DRAFT'!B:B,A36,'SAP DRAFT'!D:D)</f>
        <v>-458598</v>
      </c>
      <c r="D36" s="267">
        <f>SUMIF('SAP DRAFT'!B:B,A36,'SAP DRAFT'!F:F)</f>
        <v>-12554.995473145782</v>
      </c>
      <c r="E36" s="224">
        <f>SUMIF(AE!$B$1:$B$1009,A36,AE!$E$1:$E$1009)-SUMIF(AE!$B$1:$B$1009,A36,AE!$D$1:$D$1009)</f>
        <v>0</v>
      </c>
      <c r="F36" s="301">
        <f t="shared" si="3"/>
        <v>-471153</v>
      </c>
      <c r="G36" s="224">
        <f>SUMIF(AE!$B$1:$B$1009,#REF!,AE!$G$1:$G$1009)-SUMIF(AE!$B$1:$B$1009,#REF!,AE!$F$1:$F$1009)</f>
        <v>0</v>
      </c>
      <c r="H36" s="301" t="e">
        <f>ROUND(G36+#REF!,0)</f>
        <v>#REF!</v>
      </c>
      <c r="I36" s="58" t="str">
        <f t="shared" si="0"/>
        <v>702</v>
      </c>
      <c r="J36" s="58" t="str">
        <f t="shared" si="1"/>
        <v>70</v>
      </c>
      <c r="K36" s="268" t="e">
        <f>+#REF!/C36</f>
        <v>#REF!</v>
      </c>
      <c r="L36" s="268" t="e">
        <f t="shared" si="26"/>
        <v>#REF!</v>
      </c>
      <c r="M36" s="58"/>
      <c r="N36" t="e">
        <f>VLOOKUP(A36,'SAP DRAFT'!A:B,1,0)</f>
        <v>#N/A</v>
      </c>
      <c r="O36" s="99"/>
      <c r="Q36"/>
      <c r="R36"/>
    </row>
    <row r="37" spans="1:18" ht="14.25" customHeight="1">
      <c r="A37" s="220">
        <v>7022</v>
      </c>
      <c r="B37" s="266" t="str">
        <f>VLOOKUP(A37,Index!A:B,2,0)</f>
        <v>Conference and shows</v>
      </c>
      <c r="C37" s="267">
        <f>SUMIF('SAP DRAFT'!B:B,A37,'SAP DRAFT'!D:D)</f>
        <v>-75712</v>
      </c>
      <c r="D37" s="267">
        <f>SUMIF('SAP DRAFT'!B:B,A37,'SAP DRAFT'!F:F)</f>
        <v>0</v>
      </c>
      <c r="E37" s="224">
        <f>SUMIF(AE!$B$1:$B$1009,A37,AE!$E$1:$E$1009)-SUMIF(AE!$B$1:$B$1009,A37,AE!$D$1:$D$1009)</f>
        <v>0</v>
      </c>
      <c r="F37" s="301">
        <f t="shared" si="3"/>
        <v>-75712</v>
      </c>
      <c r="G37" s="224">
        <f>SUMIF(AE!$B$1:$B$1009,#REF!,AE!$G$1:$G$1009)-SUMIF(AE!$B$1:$B$1009,#REF!,AE!$F$1:$F$1009)</f>
        <v>0</v>
      </c>
      <c r="H37" s="301" t="e">
        <f>ROUND(G37+#REF!,0)</f>
        <v>#REF!</v>
      </c>
      <c r="I37" s="58" t="str">
        <f t="shared" si="0"/>
        <v>702</v>
      </c>
      <c r="J37" s="58" t="str">
        <f t="shared" si="1"/>
        <v>70</v>
      </c>
      <c r="K37" s="268" t="e">
        <f>+#REF!/C37</f>
        <v>#REF!</v>
      </c>
      <c r="L37" s="268" t="e">
        <f t="shared" si="26"/>
        <v>#REF!</v>
      </c>
      <c r="M37" s="58"/>
      <c r="N37" t="e">
        <f>VLOOKUP(A37,'SAP DRAFT'!A:B,1,0)</f>
        <v>#N/A</v>
      </c>
      <c r="O37" s="99"/>
      <c r="Q37"/>
      <c r="R37"/>
    </row>
    <row r="38" spans="1:18" ht="14.25" customHeight="1">
      <c r="A38" s="353">
        <v>7023</v>
      </c>
      <c r="B38" s="354" t="str">
        <f>VLOOKUP(A38,Index!A:B,2,0)</f>
        <v>Subcontructors GMBH</v>
      </c>
      <c r="C38" s="355">
        <f>SUMIF('SAP DRAFT'!B:B,A38,'SAP DRAFT'!D:D)</f>
        <v>-466078</v>
      </c>
      <c r="D38" s="355">
        <f>SUMIF('SAP DRAFT'!B:B,A38,'SAP DRAFT'!F:F)</f>
        <v>477453.21521739132</v>
      </c>
      <c r="E38" s="356">
        <f>SUMIF(AE!$B$1:$B$1009,A38,AE!$E$1:$E$1009)-SUMIF(AE!$B$1:$B$1009,A38,AE!$D$1:$D$1009)</f>
        <v>-11375.21521739132</v>
      </c>
      <c r="F38" s="315">
        <f t="shared" ref="F38" si="27">ROUND(E38+C38+D38,0)</f>
        <v>0</v>
      </c>
      <c r="G38" s="356">
        <f>SUMIF(AE!$B$1:$B$1009,#REF!,AE!$G$1:$G$1009)-SUMIF(AE!$B$1:$B$1009,#REF!,AE!$F$1:$F$1009)</f>
        <v>0</v>
      </c>
      <c r="H38" s="315" t="e">
        <f>ROUND(G38+#REF!,0)</f>
        <v>#REF!</v>
      </c>
      <c r="I38" s="357" t="str">
        <f t="shared" ref="I38" si="28">LEFT(A38,3)</f>
        <v>702</v>
      </c>
      <c r="J38" s="357" t="str">
        <f t="shared" ref="J38" si="29">LEFT(A38,2)</f>
        <v>70</v>
      </c>
      <c r="K38" s="268"/>
      <c r="L38" s="268"/>
      <c r="M38" s="58"/>
      <c r="N38" t="e">
        <f>VLOOKUP(A38,'SAP DRAFT'!A:B,1,0)</f>
        <v>#N/A</v>
      </c>
      <c r="O38" s="99"/>
      <c r="Q38"/>
      <c r="R38"/>
    </row>
    <row r="39" spans="1:18" ht="14.25" customHeight="1">
      <c r="A39" s="220">
        <v>7025</v>
      </c>
      <c r="B39" s="266" t="str">
        <f>VLOOKUP(A39,Index!A:B,2,0)</f>
        <v>Travel Abroad</v>
      </c>
      <c r="C39" s="267">
        <f>SUMIF('SAP DRAFT'!B:B,A39,'SAP DRAFT'!D:D)</f>
        <v>0</v>
      </c>
      <c r="D39" s="267">
        <f>SUMIF('SAP DRAFT'!B:B,A39,'SAP DRAFT'!F:F)</f>
        <v>-6687.8694629156016</v>
      </c>
      <c r="E39" s="224">
        <f>SUMIF(AE!$B$1:$B$1009,A39,AE!$E$1:$E$1009)-SUMIF(AE!$B$1:$B$1009,A39,AE!$D$1:$D$1009)</f>
        <v>0</v>
      </c>
      <c r="F39" s="301">
        <f t="shared" si="3"/>
        <v>-6688</v>
      </c>
      <c r="G39" s="224">
        <f>SUMIF(AE!$B$1:$B$1009,#REF!,AE!$G$1:$G$1009)-SUMIF(AE!$B$1:$B$1009,#REF!,AE!$F$1:$F$1009)</f>
        <v>0</v>
      </c>
      <c r="H39" s="301" t="e">
        <f>ROUND(G39+#REF!,0)</f>
        <v>#REF!</v>
      </c>
      <c r="I39" s="58" t="str">
        <f t="shared" si="0"/>
        <v>702</v>
      </c>
      <c r="J39" s="58" t="str">
        <f t="shared" si="1"/>
        <v>70</v>
      </c>
      <c r="K39" s="268" t="e">
        <f>+#REF!/C39</f>
        <v>#REF!</v>
      </c>
      <c r="L39" s="268" t="e">
        <f t="shared" si="26"/>
        <v>#REF!</v>
      </c>
      <c r="M39" s="58"/>
      <c r="N39" t="e">
        <f>VLOOKUP(A39,'SAP DRAFT'!A:B,1,0)</f>
        <v>#N/A</v>
      </c>
      <c r="O39" s="99"/>
      <c r="Q39"/>
      <c r="R39"/>
    </row>
    <row r="40" spans="1:18" ht="14.25" customHeight="1">
      <c r="A40" s="220">
        <v>7026</v>
      </c>
      <c r="B40" s="266" t="str">
        <f>VLOOKUP(A40,Index!A:B,2,0)</f>
        <v>Creative &amp; branding</v>
      </c>
      <c r="C40" s="267">
        <f>SUMIF('SAP DRAFT'!B:B,A40,'SAP DRAFT'!D:D)</f>
        <v>-202325</v>
      </c>
      <c r="D40" s="267">
        <f>SUMIF('SAP DRAFT'!B:B,A40,'SAP DRAFT'!F:F)</f>
        <v>-474.05754475703327</v>
      </c>
      <c r="E40" s="224">
        <f>SUMIF(AE!$B$1:$B$1009,A40,AE!$E$1:$E$1009)-SUMIF(AE!$B$1:$B$1009,A40,AE!$D$1:$D$1009)</f>
        <v>0</v>
      </c>
      <c r="F40" s="301">
        <f t="shared" si="3"/>
        <v>-202799</v>
      </c>
      <c r="G40" s="224">
        <f>SUMIF(AE!$B$1:$B$1009,#REF!,AE!$G$1:$G$1009)-SUMIF(AE!$B$1:$B$1009,#REF!,AE!$F$1:$F$1009)</f>
        <v>0</v>
      </c>
      <c r="H40" s="301" t="e">
        <f>ROUND(G40+#REF!,0)</f>
        <v>#REF!</v>
      </c>
      <c r="I40" s="58" t="str">
        <f t="shared" si="0"/>
        <v>702</v>
      </c>
      <c r="J40" s="58" t="str">
        <f t="shared" si="1"/>
        <v>70</v>
      </c>
      <c r="K40" s="268" t="e">
        <f>+#REF!/C40</f>
        <v>#REF!</v>
      </c>
      <c r="L40" s="268" t="e">
        <f t="shared" si="26"/>
        <v>#REF!</v>
      </c>
      <c r="M40" s="58"/>
      <c r="N40" t="e">
        <f>VLOOKUP(A40,'SAP DRAFT'!A:B,1,0)</f>
        <v>#N/A</v>
      </c>
      <c r="O40" s="99"/>
      <c r="Q40"/>
      <c r="R40"/>
    </row>
    <row r="41" spans="1:18" ht="14.25" customHeight="1">
      <c r="A41" s="220">
        <v>7050</v>
      </c>
      <c r="B41" s="266" t="str">
        <f>VLOOKUP(A41,Index!A:B,2,0)</f>
        <v>Salaries and social benefits</v>
      </c>
      <c r="C41" s="267">
        <f>SUMIF('SAP DRAFT'!B:B,A41,'SAP DRAFT'!D:D)</f>
        <v>-933435</v>
      </c>
      <c r="D41" s="267">
        <f>SUMIF('SAP DRAFT'!B:B,A41,'SAP DRAFT'!F:F)</f>
        <v>0</v>
      </c>
      <c r="E41" s="224">
        <f>SUMIF(AE!$B$1:$B$1009,A41,AE!$E$1:$E$1009)-SUMIF(AE!$B$1:$B$1009,A41,AE!$D$1:$D$1009)</f>
        <v>0</v>
      </c>
      <c r="F41" s="301">
        <f t="shared" si="3"/>
        <v>-933435</v>
      </c>
      <c r="G41" s="224">
        <f>SUMIF(AE!$B$1:$B$1009,#REF!,AE!$G$1:$G$1009)-SUMIF(AE!$B$1:$B$1009,#REF!,AE!$F$1:$F$1009)</f>
        <v>0</v>
      </c>
      <c r="H41" s="301" t="e">
        <f>ROUND(G41+#REF!,0)</f>
        <v>#REF!</v>
      </c>
      <c r="I41" s="58" t="str">
        <f t="shared" si="0"/>
        <v>705</v>
      </c>
      <c r="J41" s="58" t="str">
        <f t="shared" si="1"/>
        <v>70</v>
      </c>
      <c r="K41" s="268" t="e">
        <f>+#REF!/C41</f>
        <v>#REF!</v>
      </c>
      <c r="L41" s="268" t="e">
        <f t="shared" si="26"/>
        <v>#REF!</v>
      </c>
      <c r="M41" s="58"/>
      <c r="N41" t="e">
        <f>VLOOKUP(A41,'SAP DRAFT'!A:B,1,0)</f>
        <v>#N/A</v>
      </c>
      <c r="O41" s="99"/>
      <c r="Q41"/>
      <c r="R41"/>
    </row>
    <row r="42" spans="1:18" ht="14.25" customHeight="1">
      <c r="A42" s="220">
        <v>7051</v>
      </c>
      <c r="B42" s="266" t="str">
        <f>VLOOKUP(A42,Index!A:B,2,0)</f>
        <v>Professional services</v>
      </c>
      <c r="C42" s="267">
        <f>SUMIF('SAP DRAFT'!B:B,A42,'SAP DRAFT'!D:D)</f>
        <v>-181013</v>
      </c>
      <c r="D42" s="267">
        <f>SUMIF('SAP DRAFT'!B:B,A42,'SAP DRAFT'!F:F)</f>
        <v>0</v>
      </c>
      <c r="E42" s="224">
        <f>SUMIF(AE!$B$1:$B$1009,A42,AE!$E$1:$E$1009)-SUMIF(AE!$B$1:$B$1009,A42,AE!$D$1:$D$1009)</f>
        <v>0</v>
      </c>
      <c r="F42" s="301">
        <f t="shared" si="3"/>
        <v>-181013</v>
      </c>
      <c r="G42" s="224">
        <f>SUMIF(AE!$B$1:$B$1009,#REF!,AE!$G$1:$G$1009)-SUMIF(AE!$B$1:$B$1009,#REF!,AE!$F$1:$F$1009)</f>
        <v>0</v>
      </c>
      <c r="H42" s="301" t="e">
        <f>ROUND(G42+#REF!,0)</f>
        <v>#REF!</v>
      </c>
      <c r="I42" s="58" t="str">
        <f t="shared" si="0"/>
        <v>705</v>
      </c>
      <c r="J42" s="58" t="str">
        <f t="shared" si="1"/>
        <v>70</v>
      </c>
      <c r="K42" s="268" t="e">
        <f>+#REF!/C42</f>
        <v>#REF!</v>
      </c>
      <c r="L42" s="268" t="e">
        <f t="shared" ref="L42:L54" si="30">+H42/F42</f>
        <v>#REF!</v>
      </c>
      <c r="M42" s="58"/>
      <c r="N42" t="e">
        <f>VLOOKUP(A42,'SAP DRAFT'!A:B,1,0)</f>
        <v>#N/A</v>
      </c>
      <c r="O42" s="99"/>
      <c r="Q42"/>
      <c r="R42"/>
    </row>
    <row r="43" spans="1:18" ht="14.25" customHeight="1">
      <c r="A43" s="220">
        <v>7054</v>
      </c>
      <c r="B43" s="266" t="str">
        <f>VLOOKUP(A43,Index!A:B,2,0)</f>
        <v>Insurance</v>
      </c>
      <c r="C43" s="267">
        <f>SUMIF('SAP DRAFT'!B:B,A43,'SAP DRAFT'!D:D)</f>
        <v>-17058</v>
      </c>
      <c r="D43" s="267">
        <f>SUMIF('SAP DRAFT'!B:B,A43,'SAP DRAFT'!F:F)</f>
        <v>-106606.95652173914</v>
      </c>
      <c r="E43" s="224">
        <f>SUMIF(AE!$B$1:$B$1009,A43,AE!$E$1:$E$1009)-SUMIF(AE!$B$1:$B$1009,A43,AE!$D$1:$D$1009)</f>
        <v>-1180.7231600240411</v>
      </c>
      <c r="F43" s="301">
        <f t="shared" si="3"/>
        <v>-124846</v>
      </c>
      <c r="G43" s="224">
        <f>SUMIF(AE!$B$1:$B$1009,#REF!,AE!$G$1:$G$1009)-SUMIF(AE!$B$1:$B$1009,#REF!,AE!$F$1:$F$1009)</f>
        <v>0</v>
      </c>
      <c r="H43" s="301" t="e">
        <f>ROUND(G43+#REF!,0)</f>
        <v>#REF!</v>
      </c>
      <c r="I43" s="58" t="str">
        <f t="shared" si="0"/>
        <v>705</v>
      </c>
      <c r="J43" s="58" t="str">
        <f t="shared" si="1"/>
        <v>70</v>
      </c>
      <c r="K43" s="268" t="e">
        <f>+#REF!/C43</f>
        <v>#REF!</v>
      </c>
      <c r="L43" s="268" t="e">
        <f t="shared" si="30"/>
        <v>#REF!</v>
      </c>
      <c r="M43" s="58"/>
      <c r="N43" t="e">
        <f>VLOOKUP(A43,'SAP DRAFT'!A:B,1,0)</f>
        <v>#N/A</v>
      </c>
      <c r="O43" s="99"/>
      <c r="Q43"/>
      <c r="R43"/>
    </row>
    <row r="44" spans="1:18" ht="14.25" customHeight="1">
      <c r="A44" s="220">
        <v>7053</v>
      </c>
      <c r="B44" s="266" t="str">
        <f>VLOOKUP(A44,Index!A:B,2,0)</f>
        <v>Consulting</v>
      </c>
      <c r="C44" s="267">
        <f>SUMIF('SAP DRAFT'!B:B,A44,'SAP DRAFT'!D:D)</f>
        <v>-105442</v>
      </c>
      <c r="D44" s="267">
        <f>SUMIF('SAP DRAFT'!B:B,A44,'SAP DRAFT'!F:F)</f>
        <v>0</v>
      </c>
      <c r="E44" s="224">
        <f>SUMIF(AE!$B$1:$B$1009,A44,AE!$E$1:$E$1009)-SUMIF(AE!$B$1:$B$1009,A44,AE!$D$1:$D$1009)</f>
        <v>0</v>
      </c>
      <c r="F44" s="301">
        <f t="shared" ref="F44" si="31">ROUND(E44+C44+D44,0)</f>
        <v>-105442</v>
      </c>
      <c r="G44" s="224"/>
      <c r="H44" s="301"/>
      <c r="I44" s="58" t="str">
        <f t="shared" si="0"/>
        <v>705</v>
      </c>
      <c r="J44" s="58" t="str">
        <f t="shared" si="1"/>
        <v>70</v>
      </c>
      <c r="K44" s="268"/>
      <c r="L44" s="268"/>
      <c r="M44" s="58"/>
      <c r="O44" s="99"/>
      <c r="Q44"/>
      <c r="R44"/>
    </row>
    <row r="45" spans="1:18" ht="14.25" customHeight="1">
      <c r="A45" s="266">
        <v>7055</v>
      </c>
      <c r="B45" s="266" t="str">
        <f>VLOOKUP(A45,Index!A:B,2,0)</f>
        <v>Office Maintenance</v>
      </c>
      <c r="C45" s="267">
        <f>SUMIF('SAP DRAFT'!B:B,A45,'SAP DRAFT'!D:D)</f>
        <v>-331046</v>
      </c>
      <c r="D45" s="267">
        <f>SUMIF('SAP DRAFT'!B:B,A45,'SAP DRAFT'!F:F)</f>
        <v>0</v>
      </c>
      <c r="E45" s="224">
        <f>SUMIF(AE!$B$1:$B$1009,A45,AE!$E$1:$E$1009)-SUMIF(AE!$B$1:$B$1009,A45,AE!$D$1:$D$1009)</f>
        <v>0</v>
      </c>
      <c r="F45" s="301">
        <f t="shared" si="3"/>
        <v>-331046</v>
      </c>
      <c r="G45" s="224">
        <f>SUMIF(AE!$B$1:$B$1009,#REF!,AE!$G$1:$G$1009)-SUMIF(AE!$B$1:$B$1009,#REF!,AE!$F$1:$F$1009)</f>
        <v>0</v>
      </c>
      <c r="H45" s="301" t="e">
        <f>ROUND(G45+#REF!,0)</f>
        <v>#REF!</v>
      </c>
      <c r="I45" s="58" t="str">
        <f t="shared" si="0"/>
        <v>705</v>
      </c>
      <c r="J45" s="58" t="str">
        <f t="shared" si="1"/>
        <v>70</v>
      </c>
      <c r="K45" s="268" t="e">
        <f>+#REF!/C45</f>
        <v>#REF!</v>
      </c>
      <c r="L45" s="268" t="e">
        <f t="shared" si="30"/>
        <v>#REF!</v>
      </c>
      <c r="M45" s="317" t="s">
        <v>480</v>
      </c>
      <c r="N45" t="e">
        <f>VLOOKUP(A45,'SAP DRAFT'!A:B,1,0)</f>
        <v>#N/A</v>
      </c>
      <c r="O45" s="99"/>
      <c r="Q45"/>
      <c r="R45"/>
    </row>
    <row r="46" spans="1:18" ht="14.25" customHeight="1">
      <c r="A46" s="266">
        <v>7056</v>
      </c>
      <c r="B46" s="266" t="str">
        <f>VLOOKUP(A46,Index!A:B,2,0)</f>
        <v>Vehicle expense</v>
      </c>
      <c r="C46" s="267">
        <f>SUMIF('SAP DRAFT'!B:B,A46,'SAP DRAFT'!D:D)</f>
        <v>-793</v>
      </c>
      <c r="D46" s="267">
        <f>SUMIF('SAP DRAFT'!B:B,A46,'SAP DRAFT'!F:F)</f>
        <v>0</v>
      </c>
      <c r="E46" s="224">
        <f>SUMIF(AE!$B$1:$B$1009,A46,AE!$E$1:$E$1009)-SUMIF(AE!$B$1:$B$1009,A46,AE!$D$1:$D$1009)</f>
        <v>0</v>
      </c>
      <c r="F46" s="301">
        <f t="shared" ref="F46" si="32">ROUND(E46+C46+D46,0)</f>
        <v>-793</v>
      </c>
      <c r="G46" s="224">
        <f>SUMIF(AE!$B$1:$B$1009,#REF!,AE!$G$1:$G$1009)-SUMIF(AE!$B$1:$B$1009,#REF!,AE!$F$1:$F$1009)</f>
        <v>0</v>
      </c>
      <c r="H46" s="301" t="e">
        <f>ROUND(G46+#REF!,0)</f>
        <v>#REF!</v>
      </c>
      <c r="I46" s="58" t="str">
        <f t="shared" ref="I46" si="33">LEFT(A46,3)</f>
        <v>705</v>
      </c>
      <c r="J46" s="58" t="str">
        <f t="shared" ref="J46" si="34">LEFT(A46,2)</f>
        <v>70</v>
      </c>
      <c r="K46" s="268"/>
      <c r="L46" s="268"/>
      <c r="M46" s="317"/>
      <c r="O46" s="99"/>
      <c r="Q46"/>
      <c r="R46"/>
    </row>
    <row r="47" spans="1:18">
      <c r="A47" s="220">
        <v>7057</v>
      </c>
      <c r="B47" s="266" t="str">
        <f>VLOOKUP(A47,Index!A:B,2,0)</f>
        <v>Travel Abroad</v>
      </c>
      <c r="C47" s="267">
        <f>SUMIF('SAP DRAFT'!B:B,A47,'SAP DRAFT'!D:D)</f>
        <v>-196840</v>
      </c>
      <c r="D47" s="267">
        <f>SUMIF('SAP DRAFT'!B:B,A47,'SAP DRAFT'!F:F)</f>
        <v>0</v>
      </c>
      <c r="E47" s="224">
        <f>SUMIF(AE!$B$1:$B$1009,A47,AE!$E$1:$E$1009)-SUMIF(AE!$B$1:$B$1009,A47,AE!$D$1:$D$1009)</f>
        <v>0</v>
      </c>
      <c r="F47" s="301">
        <f t="shared" si="3"/>
        <v>-196840</v>
      </c>
      <c r="G47" s="224">
        <f>SUMIF(AE!$B$1:$B$1009,#REF!,AE!$G$1:$G$1009)-SUMIF(AE!$B$1:$B$1009,#REF!,AE!$F$1:$F$1009)</f>
        <v>0</v>
      </c>
      <c r="H47" s="301" t="e">
        <f>ROUND(G47+#REF!,0)</f>
        <v>#REF!</v>
      </c>
      <c r="I47" s="58" t="str">
        <f t="shared" si="0"/>
        <v>705</v>
      </c>
      <c r="J47" s="58" t="str">
        <f t="shared" si="1"/>
        <v>70</v>
      </c>
      <c r="K47" s="268" t="e">
        <f>+#REF!/C47</f>
        <v>#REF!</v>
      </c>
      <c r="L47" s="268" t="e">
        <f t="shared" si="30"/>
        <v>#REF!</v>
      </c>
      <c r="M47" s="58"/>
      <c r="N47" t="e">
        <f>VLOOKUP(A47,'SAP DRAFT'!A:B,1,0)</f>
        <v>#N/A</v>
      </c>
    </row>
    <row r="48" spans="1:18">
      <c r="A48" s="220">
        <v>7059</v>
      </c>
      <c r="B48" s="266" t="str">
        <f>VLOOKUP(A48,Index!A:B,2,0)</f>
        <v>Other</v>
      </c>
      <c r="C48" s="267">
        <f>SUMIF('SAP DRAFT'!B:B,A48,'SAP DRAFT'!D:D)</f>
        <v>-239232</v>
      </c>
      <c r="D48" s="267">
        <f>SUMIF('SAP DRAFT'!B:B,A48,'SAP DRAFT'!F:F)</f>
        <v>0</v>
      </c>
      <c r="E48" s="224">
        <f>SUMIF(AE!$B$1:$B$1009,A48,AE!$E$1:$E$1009)-SUMIF(AE!$B$1:$B$1009,A48,AE!$D$1:$D$1009)</f>
        <v>0</v>
      </c>
      <c r="F48" s="301">
        <f t="shared" si="3"/>
        <v>-239232</v>
      </c>
      <c r="G48" s="224">
        <f>SUMIF(AE!$B$1:$B$1009,#REF!,AE!$G$1:$G$1009)-SUMIF(AE!$B$1:$B$1009,#REF!,AE!$F$1:$F$1009)</f>
        <v>0</v>
      </c>
      <c r="H48" s="301" t="e">
        <f>ROUND(G48+#REF!,0)</f>
        <v>#REF!</v>
      </c>
      <c r="I48" s="58" t="str">
        <f t="shared" si="0"/>
        <v>705</v>
      </c>
      <c r="J48" s="58" t="str">
        <f t="shared" si="1"/>
        <v>70</v>
      </c>
      <c r="K48" s="268" t="e">
        <f>+#REF!/C48</f>
        <v>#REF!</v>
      </c>
      <c r="L48" s="268" t="e">
        <f t="shared" si="30"/>
        <v>#REF!</v>
      </c>
      <c r="M48" s="58"/>
      <c r="N48" t="e">
        <f>VLOOKUP(A48,'SAP DRAFT'!A:B,1,0)</f>
        <v>#N/A</v>
      </c>
    </row>
    <row r="49" spans="1:18">
      <c r="A49" s="220">
        <v>7900</v>
      </c>
      <c r="B49" s="266" t="str">
        <f>VLOOKUP(A49,Index!A:B,2,0)</f>
        <v>Bank commission and interest</v>
      </c>
      <c r="C49" s="267">
        <f>SUMIF('SAP DRAFT'!B:B,A49,'SAP DRAFT'!D:D)</f>
        <v>703418</v>
      </c>
      <c r="D49" s="267">
        <f>SUMIF('SAP DRAFT'!B:B,A49,'SAP DRAFT'!F:F)</f>
        <v>0</v>
      </c>
      <c r="E49" s="224">
        <f>SUMIF(AE!$B$1:$B$1009,A49,AE!$E$1:$E$1009)-SUMIF(AE!$B$1:$B$1009,A49,AE!$D$1:$D$1009)</f>
        <v>-1900</v>
      </c>
      <c r="F49" s="301">
        <f t="shared" si="3"/>
        <v>701518</v>
      </c>
      <c r="G49" s="224">
        <f>SUMIF(AE!$B$1:$B$1009,#REF!,AE!$G$1:$G$1009)-SUMIF(AE!$B$1:$B$1009,#REF!,AE!$F$1:$F$1009)</f>
        <v>0</v>
      </c>
      <c r="H49" s="301" t="e">
        <f>ROUND(G49+#REF!,0)</f>
        <v>#REF!</v>
      </c>
      <c r="I49" s="58" t="str">
        <f t="shared" si="0"/>
        <v>790</v>
      </c>
      <c r="J49" s="58" t="str">
        <f t="shared" si="1"/>
        <v>79</v>
      </c>
      <c r="K49" s="268" t="e">
        <f>+#REF!/C49</f>
        <v>#REF!</v>
      </c>
      <c r="L49" s="268" t="e">
        <f t="shared" si="30"/>
        <v>#REF!</v>
      </c>
      <c r="M49" s="58"/>
      <c r="N49" t="e">
        <f>VLOOKUP(A49,'SAP DRAFT'!A:B,1,0)</f>
        <v>#N/A</v>
      </c>
    </row>
    <row r="50" spans="1:18">
      <c r="A50" s="220">
        <v>7901</v>
      </c>
      <c r="B50" s="266" t="str">
        <f>VLOOKUP(A50,Index!A:B,2,0)</f>
        <v>Exchange difference rate</v>
      </c>
      <c r="C50" s="267">
        <f>SUMIF('SAP DRAFT'!B:B,A50,'SAP DRAFT'!D:D)</f>
        <v>-332555</v>
      </c>
      <c r="D50" s="267">
        <f>SUMIF('SAP DRAFT'!B:B,A50,'SAP DRAFT'!F:F)</f>
        <v>-3237.8159335038363</v>
      </c>
      <c r="E50" s="224">
        <f>SUMIF(AE!$B$1:$B$1009,A50,AE!$E$1:$E$1009)-SUMIF(AE!$B$1:$B$1009,A50,AE!$D$1:$D$1009)</f>
        <v>9256.1356521739217</v>
      </c>
      <c r="F50" s="301">
        <f t="shared" si="3"/>
        <v>-326537</v>
      </c>
      <c r="G50" s="224">
        <f>SUMIF(AE!$B$1:$B$1009,#REF!,AE!$G$1:$G$1009)-SUMIF(AE!$B$1:$B$1009,#REF!,AE!$F$1:$F$1009)</f>
        <v>0</v>
      </c>
      <c r="H50" s="301" t="e">
        <f>ROUND(G50+#REF!,0)</f>
        <v>#REF!</v>
      </c>
      <c r="I50" s="58" t="str">
        <f t="shared" si="0"/>
        <v>790</v>
      </c>
      <c r="J50" s="58" t="str">
        <f t="shared" si="1"/>
        <v>79</v>
      </c>
      <c r="K50" s="268" t="e">
        <f>+#REF!/C50</f>
        <v>#REF!</v>
      </c>
      <c r="L50" s="268" t="e">
        <f t="shared" si="30"/>
        <v>#REF!</v>
      </c>
      <c r="M50" s="58"/>
      <c r="N50" t="e">
        <f>VLOOKUP(A50,'SAP DRAFT'!A:B,1,0)</f>
        <v>#N/A</v>
      </c>
    </row>
    <row r="51" spans="1:18">
      <c r="A51" s="220">
        <v>7903</v>
      </c>
      <c r="B51" s="266" t="str">
        <f>VLOOKUP(A51,Index!A:B,2,0)</f>
        <v>Interest to (from) authorities</v>
      </c>
      <c r="C51" s="267">
        <f>SUMIF('SAP DRAFT'!B:B,A51,'SAP DRAFT'!D:D)</f>
        <v>-5288</v>
      </c>
      <c r="D51" s="267">
        <f>SUMIF('SAP DRAFT'!B:B,A51,'SAP DRAFT'!F:F)</f>
        <v>0</v>
      </c>
      <c r="E51" s="224">
        <f>SUMIF(AE!$B$1:$B$1009,A51,AE!$E$1:$E$1009)-SUMIF(AE!$B$1:$B$1009,A51,AE!$D$1:$D$1009)</f>
        <v>0</v>
      </c>
      <c r="F51" s="301">
        <f t="shared" si="3"/>
        <v>-5288</v>
      </c>
      <c r="G51" s="224">
        <f>SUMIF(AE!$B$1:$B$1009,#REF!,AE!$G$1:$G$1009)-SUMIF(AE!$B$1:$B$1009,#REF!,AE!$F$1:$F$1009)</f>
        <v>0</v>
      </c>
      <c r="H51" s="301" t="e">
        <f>ROUND(G51+#REF!,0)</f>
        <v>#REF!</v>
      </c>
      <c r="I51" s="58" t="str">
        <f t="shared" si="0"/>
        <v>790</v>
      </c>
      <c r="J51" s="58" t="str">
        <f t="shared" si="1"/>
        <v>79</v>
      </c>
      <c r="K51" s="268" t="e">
        <f>+#REF!/C51</f>
        <v>#REF!</v>
      </c>
      <c r="L51" s="268" t="e">
        <f t="shared" si="30"/>
        <v>#REF!</v>
      </c>
      <c r="M51" s="58"/>
      <c r="N51" t="e">
        <f>VLOOKUP(A51,'SAP DRAFT'!A:B,1,0)</f>
        <v>#N/A</v>
      </c>
    </row>
    <row r="52" spans="1:18">
      <c r="A52" s="220">
        <v>9410</v>
      </c>
      <c r="B52" s="266" t="str">
        <f>VLOOKUP(A52,Index!A:B,2,0)</f>
        <v>Opening Retained Earnings (Deficit)</v>
      </c>
      <c r="C52" s="267">
        <f>SUMIF('SAP DRAFT'!B:B,A52,'SAP DRAFT'!D:D)</f>
        <v>-22817667</v>
      </c>
      <c r="D52" s="267">
        <f>SUMIF('SAP DRAFT'!B:B,A52,'SAP DRAFT'!F:F)</f>
        <v>28059</v>
      </c>
      <c r="E52" s="224">
        <f>SUMIF(AE!$B$1:$B$1009,A52,AE!$E$1:$E$1009)-SUMIF(AE!$B$1:$B$1009,A52,AE!$D$1:$D$1009)</f>
        <v>-152601</v>
      </c>
      <c r="F52" s="301">
        <f t="shared" si="3"/>
        <v>-22942209</v>
      </c>
      <c r="G52" s="224">
        <f>SUMIF(AE!$B$1:$B$1009,#REF!,AE!$G$1:$G$1009)-SUMIF(AE!$B$1:$B$1009,#REF!,AE!$F$1:$F$1009)</f>
        <v>0</v>
      </c>
      <c r="H52" s="301" t="e">
        <f>ROUND(G52+#REF!,0)</f>
        <v>#REF!</v>
      </c>
      <c r="I52" s="58" t="str">
        <f t="shared" si="0"/>
        <v>941</v>
      </c>
      <c r="J52" s="58" t="str">
        <f t="shared" si="1"/>
        <v>94</v>
      </c>
      <c r="K52" s="268" t="e">
        <f>+#REF!/C52</f>
        <v>#REF!</v>
      </c>
      <c r="L52" s="268" t="e">
        <f t="shared" si="30"/>
        <v>#REF!</v>
      </c>
      <c r="M52" s="58"/>
      <c r="N52" t="e">
        <f>VLOOKUP(A52,'SAP DRAFT'!A:B,1,0)</f>
        <v>#N/A</v>
      </c>
    </row>
    <row r="53" spans="1:18">
      <c r="A53" s="220">
        <v>1342</v>
      </c>
      <c r="B53" s="266" t="str">
        <f>VLOOKUP(A53,Index!A:B,2,0)</f>
        <v>Accounts receivable</v>
      </c>
      <c r="C53" s="267">
        <f>SUMIF('SAP DRAFT'!B:B,A53,'SAP DRAFT'!D:D)</f>
        <v>-1269967</v>
      </c>
      <c r="D53" s="267">
        <f>SUMIF('SAP DRAFT'!B:B,A53,'SAP DRAFT'!F:F)</f>
        <v>0</v>
      </c>
      <c r="E53" s="224">
        <f>SUMIF(AE!$B$1:$B$1009,A53,AE!$E$1:$E$1009)-SUMIF(AE!$B$1:$B$1009,A53,AE!$D$1:$D$1009)</f>
        <v>0</v>
      </c>
      <c r="F53" s="301">
        <f t="shared" si="3"/>
        <v>-1269967</v>
      </c>
      <c r="G53" s="224">
        <f>SUMIF(AE!$B$1:$B$1009,#REF!,AE!$G$1:$G$1009)-SUMIF(AE!$B$1:$B$1009,#REF!,AE!$F$1:$F$1009)</f>
        <v>0</v>
      </c>
      <c r="H53" s="301" t="e">
        <f>ROUND(G53+#REF!,0)</f>
        <v>#REF!</v>
      </c>
      <c r="I53" s="58" t="str">
        <f t="shared" si="0"/>
        <v>134</v>
      </c>
      <c r="J53" s="58" t="str">
        <f t="shared" si="1"/>
        <v>13</v>
      </c>
      <c r="K53" s="268" t="e">
        <f>+#REF!/C53</f>
        <v>#REF!</v>
      </c>
      <c r="L53" s="268" t="e">
        <f t="shared" si="30"/>
        <v>#REF!</v>
      </c>
      <c r="M53" s="58"/>
      <c r="N53" t="e">
        <f>VLOOKUP(A53,'SAP DRAFT'!A:B,1,0)</f>
        <v>#N/A</v>
      </c>
    </row>
    <row r="54" spans="1:18" s="587" customFormat="1">
      <c r="A54" s="580">
        <v>1842</v>
      </c>
      <c r="B54" s="581" t="str">
        <f>VLOOKUP(A54,Index!A:B,2,0)</f>
        <v>Investment in subsidiary</v>
      </c>
      <c r="C54" s="582">
        <f>SUMIF('SAP DRAFT'!B:B,A54,'SAP DRAFT'!D:D)</f>
        <v>-28054</v>
      </c>
      <c r="D54" s="582">
        <f>SUMIF('SAP DRAFT'!B:B,A54,'SAP DRAFT'!F:F)</f>
        <v>183001.81483375959</v>
      </c>
      <c r="E54" s="583">
        <f>SUMIF(AE!$B$1:$B$1009,A54,AE!$E$1:$E$1009)-SUMIF(AE!$B$1:$B$1009,A54,AE!$D$1:$D$1009)</f>
        <v>-154947.81483375959</v>
      </c>
      <c r="F54" s="584">
        <f>ROUND(E54+C54+D54,0)</f>
        <v>0</v>
      </c>
      <c r="G54" s="583">
        <f>SUMIF(AE!$B$1:$B$1009,#REF!,AE!$G$1:$G$1009)-SUMIF(AE!$B$1:$B$1009,#REF!,AE!$F$1:$F$1009)</f>
        <v>0</v>
      </c>
      <c r="H54" s="584" t="e">
        <f>ROUND(G54+#REF!,0)</f>
        <v>#REF!</v>
      </c>
      <c r="I54" s="585" t="str">
        <f t="shared" si="0"/>
        <v>184</v>
      </c>
      <c r="J54" s="585" t="str">
        <f t="shared" si="1"/>
        <v>18</v>
      </c>
      <c r="K54" s="586" t="e">
        <f>+#REF!/C54</f>
        <v>#REF!</v>
      </c>
      <c r="L54" s="586" t="e">
        <f t="shared" si="30"/>
        <v>#REF!</v>
      </c>
      <c r="N54" s="587" t="e">
        <f>VLOOKUP(A54,'SAP DRAFT'!A:B,1,0)</f>
        <v>#N/A</v>
      </c>
      <c r="P54" s="654"/>
      <c r="Q54" s="588"/>
      <c r="R54" s="588"/>
    </row>
    <row r="55" spans="1:18">
      <c r="A55" s="220">
        <v>7028</v>
      </c>
      <c r="B55" s="266" t="str">
        <f>VLOOKUP(A55,Index!A:B,2,0)</f>
        <v>Other expenses</v>
      </c>
      <c r="C55" s="267">
        <f>SUMIF('SAP DRAFT'!B:B,A55,'SAP DRAFT'!D:D)</f>
        <v>0</v>
      </c>
      <c r="D55" s="267">
        <f>SUMIF('SAP DRAFT'!B:B,A55,'SAP DRAFT'!F:F)</f>
        <v>-10193.631815856777</v>
      </c>
      <c r="E55" s="224">
        <f>SUMIF(AE!$B$1:$B$1009,A55,AE!$E$1:$E$1009)-SUMIF(AE!$B$1:$B$1009,A55,AE!$D$1:$D$1009)</f>
        <v>0</v>
      </c>
      <c r="F55" s="301">
        <f>ROUND(E55+C55+D55,0)</f>
        <v>-10194</v>
      </c>
      <c r="G55" s="224">
        <f>SUMIF(AE!$B$1:$B$1009,#REF!,AE!$G$1:$G$1009)-SUMIF(AE!$B$1:$B$1009,#REF!,AE!$F$1:$F$1009)</f>
        <v>0</v>
      </c>
      <c r="H55" s="301" t="e">
        <f>ROUND(G55+#REF!,0)</f>
        <v>#REF!</v>
      </c>
      <c r="I55" s="58" t="str">
        <f t="shared" ref="I55:I56" si="35">LEFT(A55,3)</f>
        <v>702</v>
      </c>
      <c r="J55" s="58" t="str">
        <f t="shared" ref="J55:J56" si="36">LEFT(A55,2)</f>
        <v>70</v>
      </c>
      <c r="K55" s="268"/>
      <c r="L55" s="268"/>
      <c r="M55"/>
      <c r="N55" t="e">
        <f>VLOOKUP(A55,'SAP DRAFT'!A:B,1,0)</f>
        <v>#N/A</v>
      </c>
    </row>
    <row r="56" spans="1:18">
      <c r="A56" s="220">
        <v>8015</v>
      </c>
      <c r="B56" s="266" t="str">
        <f>VLOOKUP(A56,Index!A:B,2,0)</f>
        <v>Revenue from the sale of fixed assets</v>
      </c>
      <c r="C56" s="267">
        <f>SUMIF('SAP DRAFT'!B:B,A56,'SAP DRAFT'!D:D)</f>
        <v>0</v>
      </c>
      <c r="D56" s="267">
        <f>SUMIF('SAP DRAFT'!B:B,A56,'SAP DRAFT'!F:F)</f>
        <v>0</v>
      </c>
      <c r="E56" s="224">
        <f>SUMIF(AE!$B$1:$B$1009,A56,AE!$E$1:$E$1009)-SUMIF(AE!$B$1:$B$1009,A56,AE!$D$1:$D$1009)</f>
        <v>0</v>
      </c>
      <c r="F56" s="301">
        <f t="shared" ref="F56" si="37">ROUND(E56+C56+D56,0)</f>
        <v>0</v>
      </c>
      <c r="G56" s="456"/>
      <c r="H56" s="301"/>
      <c r="I56" s="58" t="str">
        <f t="shared" si="35"/>
        <v>801</v>
      </c>
      <c r="J56" s="58" t="str">
        <f t="shared" si="36"/>
        <v>80</v>
      </c>
      <c r="K56" s="268"/>
      <c r="L56" s="268"/>
      <c r="M56"/>
    </row>
    <row r="57" spans="1:18">
      <c r="A57" s="353">
        <v>4720</v>
      </c>
      <c r="B57" s="354" t="s">
        <v>1410</v>
      </c>
      <c r="C57" s="267">
        <f>SUMIF('SAP DRAFT'!B:B,A57,'SAP DRAFT'!D:D)</f>
        <v>-975934</v>
      </c>
      <c r="D57" s="267">
        <f>SUMIF('SAP DRAFT'!B:B,A57,'SAP DRAFT'!F:F)</f>
        <v>0</v>
      </c>
      <c r="E57" s="224">
        <f>SUMIF(AE!$B$1:$B$1009,A57,AE!$E$1:$E$1009)-SUMIF(AE!$B$1:$B$1009,A57,AE!$D$1:$D$1009)</f>
        <v>0</v>
      </c>
      <c r="F57" s="301">
        <f>ROUND(E57+C57+D57,0)</f>
        <v>-975934</v>
      </c>
      <c r="G57" s="456"/>
      <c r="H57" s="301"/>
      <c r="I57" s="58" t="str">
        <f>LEFT(A57,3)</f>
        <v>472</v>
      </c>
      <c r="J57" s="58" t="str">
        <f>LEFT(A57,2)</f>
        <v>47</v>
      </c>
      <c r="K57" s="268"/>
      <c r="L57" s="268"/>
      <c r="M57"/>
    </row>
    <row r="58" spans="1:18">
      <c r="A58" s="792">
        <v>3010</v>
      </c>
      <c r="B58" s="266" t="str">
        <f>VLOOKUP(A58,Index!A:B,2,0)</f>
        <v>Long Term Lease</v>
      </c>
      <c r="C58" s="267"/>
      <c r="D58" s="267">
        <f>SUMIF('SAP DRAFT'!B:B,A58,'SAP DRAFT'!F:F)</f>
        <v>0</v>
      </c>
      <c r="E58" s="224">
        <f>SUMIF(AE!$B$1:$B$1009,A58,AE!$E$1:$E$1009)-SUMIF(AE!$B$1:$B$1009,A58,AE!$D$1:$D$1009)</f>
        <v>75354.054948655714</v>
      </c>
      <c r="F58" s="301">
        <f t="shared" ref="F58" si="38">ROUND(E58+C58+D58,0)</f>
        <v>75354</v>
      </c>
      <c r="G58" s="456"/>
      <c r="H58" s="301"/>
      <c r="I58" s="58" t="str">
        <f t="shared" ref="I58" si="39">LEFT(A58,3)</f>
        <v>301</v>
      </c>
      <c r="J58" s="58" t="str">
        <f t="shared" ref="J58" si="40">LEFT(A58,2)</f>
        <v>30</v>
      </c>
      <c r="K58" s="268"/>
      <c r="L58" s="268"/>
      <c r="M58"/>
    </row>
    <row r="59" spans="1:18">
      <c r="A59" s="792">
        <v>1410</v>
      </c>
      <c r="B59" s="266" t="str">
        <f>VLOOKUP(A59,Index!A:B,2,0)</f>
        <v>Leased property under capital lease, net</v>
      </c>
      <c r="C59" s="267"/>
      <c r="D59" s="267">
        <f>SUMIF('SAP DRAFT'!B:B,A59,'SAP DRAFT'!F:F)</f>
        <v>0</v>
      </c>
      <c r="E59" s="224">
        <f>SUMIF(AE!$B$1:$B$1009,A59,AE!$E$1:$E$1009)-SUMIF(AE!$B$1:$B$1009,A59,AE!$D$1:$D$1009)</f>
        <v>-225967.05494865571</v>
      </c>
      <c r="F59" s="301">
        <f t="shared" ref="F59" si="41">ROUND(E59+C59+D59,0)</f>
        <v>-225967</v>
      </c>
      <c r="G59" s="456"/>
      <c r="H59" s="301"/>
      <c r="I59" s="58" t="str">
        <f t="shared" ref="I59" si="42">LEFT(A59,3)</f>
        <v>141</v>
      </c>
      <c r="J59" s="58" t="str">
        <f t="shared" ref="J59" si="43">LEFT(A59,2)</f>
        <v>14</v>
      </c>
      <c r="K59" s="268"/>
      <c r="L59" s="268"/>
      <c r="M59"/>
    </row>
    <row r="60" spans="1:18">
      <c r="A60" s="220"/>
      <c r="B60" s="266"/>
      <c r="C60" s="267"/>
      <c r="D60" s="267"/>
      <c r="E60" s="224">
        <f>SUMIF(AE!$B$1:$B$1009,A60,AE!$E$1:$E$1009)-SUMIF(AE!$B$1:$B$1009,A60,AE!$D$1:$D$1009)</f>
        <v>0</v>
      </c>
      <c r="F60" s="301">
        <f t="shared" ref="F60:F61" si="44">ROUND(E60+C60+D60,0)</f>
        <v>0</v>
      </c>
      <c r="G60" s="456"/>
      <c r="H60" s="301"/>
      <c r="I60" s="58" t="str">
        <f t="shared" ref="I60:I61" si="45">LEFT(A60,3)</f>
        <v/>
      </c>
      <c r="J60" s="58" t="str">
        <f t="shared" ref="J60:J61" si="46">LEFT(A60,2)</f>
        <v/>
      </c>
      <c r="K60" s="268"/>
      <c r="L60" s="268"/>
      <c r="M60"/>
    </row>
    <row r="61" spans="1:18">
      <c r="A61" s="220"/>
      <c r="B61" s="266"/>
      <c r="C61" s="267"/>
      <c r="D61" s="267"/>
      <c r="E61" s="224">
        <f>SUMIF(AE!$B$1:$B$1009,A61,AE!$E$1:$E$1009)-SUMIF(AE!$B$1:$B$1009,A61,AE!$D$1:$D$1009)</f>
        <v>0</v>
      </c>
      <c r="F61" s="301">
        <f t="shared" si="44"/>
        <v>0</v>
      </c>
      <c r="G61" s="456"/>
      <c r="H61" s="301"/>
      <c r="I61" s="58" t="str">
        <f t="shared" si="45"/>
        <v/>
      </c>
      <c r="J61" s="58" t="str">
        <f t="shared" si="46"/>
        <v/>
      </c>
      <c r="K61" s="268"/>
      <c r="L61" s="268"/>
      <c r="M61"/>
    </row>
    <row r="62" spans="1:18">
      <c r="A62" s="220"/>
      <c r="B62" s="266"/>
      <c r="C62" s="267"/>
      <c r="D62" s="267"/>
      <c r="E62" s="456"/>
      <c r="F62" s="301"/>
      <c r="G62" s="456"/>
      <c r="H62" s="301"/>
      <c r="I62" s="58"/>
      <c r="J62" s="58"/>
      <c r="K62" s="268"/>
      <c r="L62" s="268"/>
      <c r="M62"/>
    </row>
    <row r="63" spans="1:18">
      <c r="A63" s="220"/>
      <c r="B63" s="266"/>
      <c r="C63" s="267"/>
      <c r="D63" s="267"/>
      <c r="E63" s="456"/>
      <c r="F63" s="301"/>
      <c r="G63" s="456"/>
      <c r="H63" s="301"/>
      <c r="I63" s="58"/>
      <c r="J63" s="58"/>
      <c r="K63" s="268"/>
      <c r="L63" s="268"/>
      <c r="M63"/>
    </row>
    <row r="64" spans="1:18">
      <c r="A64" s="220"/>
      <c r="B64" s="266"/>
      <c r="C64" s="267"/>
      <c r="D64" s="267"/>
      <c r="E64" s="456"/>
      <c r="F64" s="301"/>
      <c r="G64" s="456"/>
      <c r="H64" s="301"/>
      <c r="I64" s="58"/>
      <c r="J64" s="58"/>
      <c r="K64" s="268"/>
      <c r="L64" s="268"/>
      <c r="M64"/>
    </row>
    <row r="65" spans="3:13" ht="13.5" thickBot="1">
      <c r="C65" s="226">
        <f>SUM(C2:C57)</f>
        <v>0</v>
      </c>
      <c r="D65" s="226">
        <f>SUM(D2:D62)</f>
        <v>1.5089513544808142E-4</v>
      </c>
      <c r="E65" s="226">
        <f t="shared" ref="E65" si="47">SUM(E2:E62)</f>
        <v>0.99999999997089617</v>
      </c>
      <c r="F65" s="226">
        <f>SUM(F2:F62)</f>
        <v>0</v>
      </c>
      <c r="G65" s="226">
        <f t="shared" ref="G65:H65" si="48">SUM(G2:G55)</f>
        <v>0</v>
      </c>
      <c r="H65" s="226" t="e">
        <f t="shared" si="48"/>
        <v>#REF!</v>
      </c>
      <c r="M65"/>
    </row>
    <row r="66" spans="3:13" ht="13.5" thickTop="1">
      <c r="C66" s="554" t="s">
        <v>800</v>
      </c>
      <c r="M66"/>
    </row>
    <row r="67" spans="3:13">
      <c r="M67"/>
    </row>
    <row r="68" spans="3:13">
      <c r="M68"/>
    </row>
    <row r="69" spans="3:13">
      <c r="J69" s="285"/>
      <c r="M69"/>
    </row>
    <row r="70" spans="3:13">
      <c r="C70" s="579"/>
    </row>
    <row r="77" spans="3:13">
      <c r="I77" s="43"/>
      <c r="J77" s="43"/>
    </row>
    <row r="78" spans="3:13">
      <c r="I78" s="43"/>
      <c r="J78" s="43"/>
    </row>
    <row r="79" spans="3:13">
      <c r="I79" s="43"/>
      <c r="J79" s="43"/>
    </row>
    <row r="80" spans="3:13">
      <c r="I80" s="43"/>
      <c r="J80" s="43"/>
    </row>
    <row r="81" spans="9:10">
      <c r="I81" s="43"/>
      <c r="J81" s="43"/>
    </row>
    <row r="82" spans="9:10">
      <c r="I82" s="43"/>
      <c r="J82" s="43"/>
    </row>
    <row r="83" spans="9:10">
      <c r="I83" s="43"/>
      <c r="J83" s="43"/>
    </row>
    <row r="84" spans="9:10">
      <c r="I84" s="43"/>
      <c r="J84" s="43"/>
    </row>
    <row r="85" spans="9:10">
      <c r="I85" s="43"/>
      <c r="J85" s="43"/>
    </row>
    <row r="86" spans="9:10">
      <c r="I86" s="43"/>
      <c r="J86" s="43"/>
    </row>
    <row r="87" spans="9:10">
      <c r="I87" s="43"/>
      <c r="J87" s="43"/>
    </row>
    <row r="88" spans="9:10">
      <c r="I88" s="43"/>
      <c r="J88" s="43"/>
    </row>
    <row r="89" spans="9:10">
      <c r="I89" s="43"/>
      <c r="J89" s="43"/>
    </row>
    <row r="90" spans="9:10">
      <c r="I90" s="43"/>
      <c r="J90" s="43"/>
    </row>
  </sheetData>
  <autoFilter ref="A1:J90" xr:uid="{00000000-0001-0000-0800-000000000000}"/>
  <pageMargins left="0.75" right="0.75" top="1" bottom="1" header="0.5" footer="0.5"/>
  <pageSetup paperSize="9" scale="67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8">
    <pageSetUpPr fitToPage="1"/>
  </sheetPr>
  <dimension ref="A1:S383"/>
  <sheetViews>
    <sheetView view="pageBreakPreview" zoomScale="75" zoomScaleNormal="75" zoomScaleSheetLayoutView="75" workbookViewId="0">
      <pane ySplit="1" topLeftCell="A190" activePane="bottomLeft" state="frozen"/>
      <selection pane="bottomLeft" activeCell="B234" sqref="B234"/>
    </sheetView>
  </sheetViews>
  <sheetFormatPr defaultColWidth="8.5703125" defaultRowHeight="12.75"/>
  <cols>
    <col min="1" max="1" width="7.5703125" style="352" customWidth="1"/>
    <col min="2" max="2" width="8.42578125" style="566" customWidth="1"/>
    <col min="3" max="3" width="69.5703125" style="2" customWidth="1"/>
    <col min="4" max="4" width="14.5703125" style="613" customWidth="1"/>
    <col min="5" max="6" width="15.42578125" style="227" customWidth="1"/>
    <col min="7" max="7" width="14" style="228" hidden="1" customWidth="1"/>
    <col min="8" max="8" width="16.42578125" style="101" hidden="1" customWidth="1"/>
    <col min="9" max="9" width="13.5703125" style="228" hidden="1" customWidth="1"/>
    <col min="10" max="10" width="17.5703125" style="101" hidden="1" customWidth="1"/>
    <col min="11" max="11" width="11.5703125" bestFit="1" customWidth="1"/>
    <col min="12" max="12" width="9.42578125" bestFit="1" customWidth="1"/>
    <col min="13" max="13" width="9.5703125" hidden="1" customWidth="1"/>
    <col min="14" max="14" width="15" style="25" hidden="1" customWidth="1"/>
    <col min="15" max="15" width="61.42578125" style="101" hidden="1" customWidth="1"/>
    <col min="16" max="16" width="14.5703125" customWidth="1"/>
    <col min="17" max="17" width="9.42578125" bestFit="1" customWidth="1"/>
    <col min="18" max="18" width="11.5703125" customWidth="1"/>
    <col min="19" max="19" width="10.5703125" style="101" bestFit="1" customWidth="1"/>
  </cols>
  <sheetData>
    <row r="1" spans="1:16" ht="25.5">
      <c r="A1" s="350" t="s">
        <v>36</v>
      </c>
      <c r="B1" s="565" t="s">
        <v>46</v>
      </c>
      <c r="C1" s="564"/>
      <c r="D1" s="564" t="s">
        <v>531</v>
      </c>
      <c r="E1" s="222" t="s">
        <v>113</v>
      </c>
      <c r="F1" s="325" t="s">
        <v>532</v>
      </c>
      <c r="G1" s="274" t="s">
        <v>48</v>
      </c>
      <c r="H1" s="222" t="s">
        <v>47</v>
      </c>
      <c r="I1" s="274" t="s">
        <v>112</v>
      </c>
      <c r="J1" s="222" t="s">
        <v>113</v>
      </c>
      <c r="K1" s="225" t="s">
        <v>37</v>
      </c>
      <c r="L1" s="132" t="s">
        <v>38</v>
      </c>
      <c r="M1" s="132" t="s">
        <v>103</v>
      </c>
      <c r="N1" s="278" t="s">
        <v>410</v>
      </c>
      <c r="O1" s="112" t="s">
        <v>231</v>
      </c>
    </row>
    <row r="2" spans="1:16">
      <c r="A2" s="276">
        <v>1100</v>
      </c>
      <c r="B2" s="266">
        <v>1302</v>
      </c>
      <c r="C2" s="276" t="s">
        <v>1132</v>
      </c>
      <c r="D2" s="223">
        <v>-12486866</v>
      </c>
      <c r="E2" s="223">
        <v>-43941283</v>
      </c>
      <c r="F2" s="267"/>
      <c r="G2" s="224"/>
      <c r="H2" s="301">
        <f>ROUND(G2+D2+F2,0)</f>
        <v>-12486866</v>
      </c>
      <c r="I2" s="224">
        <f>SUMIF(AE!$B$1:$B$1009,B2,AE!$G$1:$G$1009)-SUMIF(AE!$B$1:$B$1009,B2,AE!$F$1:$F$1009)</f>
        <v>0</v>
      </c>
      <c r="J2" s="301">
        <f t="shared" ref="J2" si="0">ROUND(I2+E2,0)</f>
        <v>-43941283</v>
      </c>
      <c r="K2" s="58" t="str">
        <f>LEFT(B2,3)</f>
        <v>130</v>
      </c>
      <c r="L2" s="58" t="str">
        <f>LEFT(B2,2)</f>
        <v>13</v>
      </c>
      <c r="M2" s="268">
        <f t="shared" ref="M2" si="1">+E2/D2</f>
        <v>3.5190001238100899</v>
      </c>
      <c r="N2" s="268">
        <f t="shared" ref="N2" si="2">+J2/H2</f>
        <v>3.5190001238100899</v>
      </c>
      <c r="O2" s="140" t="s">
        <v>472</v>
      </c>
      <c r="P2">
        <f>VLOOKUP(B2,SAP!A:A,1,0)</f>
        <v>1302</v>
      </c>
    </row>
    <row r="3" spans="1:16">
      <c r="A3" s="276">
        <v>1101</v>
      </c>
      <c r="B3" s="266">
        <v>1304</v>
      </c>
      <c r="C3" s="276" t="s">
        <v>1133</v>
      </c>
      <c r="D3" s="223">
        <v>-8290314</v>
      </c>
      <c r="E3" s="223">
        <v>-29173614</v>
      </c>
      <c r="F3" s="267"/>
      <c r="G3" s="224"/>
      <c r="H3" s="301">
        <f t="shared" ref="H3:H66" si="3">ROUND(G3+D3+F3,0)</f>
        <v>-8290314</v>
      </c>
      <c r="I3" s="224">
        <f>SUMIF(AE!$B$1:$B$1009,B3,AE!$G$1:$G$1009)-SUMIF(AE!$B$1:$B$1009,B3,AE!$F$1:$F$1009)</f>
        <v>0</v>
      </c>
      <c r="J3" s="301">
        <f t="shared" ref="J3:J66" si="4">ROUND(I3+E3,0)</f>
        <v>-29173614</v>
      </c>
      <c r="K3" s="58" t="str">
        <f t="shared" ref="K3:K43" si="5">LEFT(B3,3)</f>
        <v>130</v>
      </c>
      <c r="L3" s="58" t="str">
        <f t="shared" ref="L3:L66" si="6">LEFT(B3,2)</f>
        <v>13</v>
      </c>
      <c r="M3" s="268">
        <f t="shared" ref="M3:M66" si="7">+E3/D3</f>
        <v>3.5189998834784788</v>
      </c>
      <c r="N3" s="268">
        <f t="shared" ref="N3:N66" si="8">+J3/H3</f>
        <v>3.5189998834784788</v>
      </c>
      <c r="O3" s="140" t="s">
        <v>814</v>
      </c>
      <c r="P3">
        <f>VLOOKUP(B3,SAP!A:A,1,0)</f>
        <v>1304</v>
      </c>
    </row>
    <row r="4" spans="1:16">
      <c r="A4" s="276">
        <v>1102</v>
      </c>
      <c r="B4" s="266">
        <v>1304</v>
      </c>
      <c r="C4" s="276" t="s">
        <v>1134</v>
      </c>
      <c r="D4" s="223">
        <v>-398</v>
      </c>
      <c r="E4" s="223">
        <v>-1401</v>
      </c>
      <c r="F4" s="267"/>
      <c r="G4" s="224"/>
      <c r="H4" s="301">
        <f t="shared" si="3"/>
        <v>-398</v>
      </c>
      <c r="I4" s="224">
        <f>SUMIF(AE!$B$1:$B$1009,B4,AE!$G$1:$G$1009)-SUMIF(AE!$B$1:$B$1009,B4,AE!$F$1:$F$1009)</f>
        <v>0</v>
      </c>
      <c r="J4" s="301">
        <f t="shared" si="4"/>
        <v>-1401</v>
      </c>
      <c r="K4" s="58" t="str">
        <f t="shared" si="5"/>
        <v>130</v>
      </c>
      <c r="L4" s="58" t="str">
        <f t="shared" si="6"/>
        <v>13</v>
      </c>
      <c r="M4" s="268">
        <f t="shared" si="7"/>
        <v>3.5201005025125629</v>
      </c>
      <c r="N4" s="268">
        <f t="shared" si="8"/>
        <v>3.5201005025125629</v>
      </c>
      <c r="O4" s="140" t="s">
        <v>815</v>
      </c>
      <c r="P4">
        <f>VLOOKUP(B4,SAP!A:A,1,0)</f>
        <v>1304</v>
      </c>
    </row>
    <row r="5" spans="1:16">
      <c r="A5" s="276">
        <v>1120</v>
      </c>
      <c r="B5" s="266">
        <v>1330</v>
      </c>
      <c r="C5" s="276" t="s">
        <v>1135</v>
      </c>
      <c r="D5" s="223">
        <v>-40710444</v>
      </c>
      <c r="E5" s="223">
        <v>-143260053</v>
      </c>
      <c r="F5" s="267"/>
      <c r="G5" s="224"/>
      <c r="H5" s="301">
        <f t="shared" si="3"/>
        <v>-40710444</v>
      </c>
      <c r="I5" s="224">
        <f>SUMIF(AE!$B$1:$B$1009,B5,AE!$G$1:$G$1009)-SUMIF(AE!$B$1:$B$1009,B5,AE!$F$1:$F$1009)</f>
        <v>0</v>
      </c>
      <c r="J5" s="301">
        <f t="shared" si="4"/>
        <v>-143260053</v>
      </c>
      <c r="K5" s="58" t="str">
        <f t="shared" si="5"/>
        <v>133</v>
      </c>
      <c r="L5" s="58" t="str">
        <f t="shared" si="6"/>
        <v>13</v>
      </c>
      <c r="M5" s="268">
        <f t="shared" si="7"/>
        <v>3.519000013853939</v>
      </c>
      <c r="N5" s="268">
        <f t="shared" si="8"/>
        <v>3.519000013853939</v>
      </c>
      <c r="O5" s="140" t="s">
        <v>816</v>
      </c>
      <c r="P5">
        <f>VLOOKUP(B5,SAP!A:A,1,0)</f>
        <v>1330</v>
      </c>
    </row>
    <row r="6" spans="1:16">
      <c r="A6" s="276">
        <v>20000</v>
      </c>
      <c r="B6" s="266">
        <v>1342</v>
      </c>
      <c r="C6" s="276" t="s">
        <v>1136</v>
      </c>
      <c r="D6" s="223">
        <v>-1269967</v>
      </c>
      <c r="E6" s="223">
        <v>-4459328</v>
      </c>
      <c r="F6" s="267"/>
      <c r="G6" s="224"/>
      <c r="H6" s="301">
        <f t="shared" si="3"/>
        <v>-1269967</v>
      </c>
      <c r="I6" s="224">
        <f>SUMIF(AE!$B$1:$B$1009,B6,AE!$G$1:$G$1009)-SUMIF(AE!$B$1:$B$1009,B6,AE!$F$1:$F$1009)</f>
        <v>0</v>
      </c>
      <c r="J6" s="301">
        <f t="shared" si="4"/>
        <v>-4459328</v>
      </c>
      <c r="K6" s="58" t="str">
        <f t="shared" si="5"/>
        <v>134</v>
      </c>
      <c r="L6" s="58" t="str">
        <f t="shared" si="6"/>
        <v>13</v>
      </c>
      <c r="M6" s="268">
        <f t="shared" si="7"/>
        <v>3.5113731301679492</v>
      </c>
      <c r="N6" s="268">
        <f t="shared" si="8"/>
        <v>3.5113731301679492</v>
      </c>
      <c r="O6" s="140" t="s">
        <v>817</v>
      </c>
      <c r="P6">
        <f>VLOOKUP(B6,SAP!A:A,1,0)</f>
        <v>1342</v>
      </c>
    </row>
    <row r="7" spans="1:16">
      <c r="A7" s="276">
        <v>6000</v>
      </c>
      <c r="B7" s="266">
        <v>1342</v>
      </c>
      <c r="C7" s="276" t="s">
        <v>1137</v>
      </c>
      <c r="D7" s="223">
        <v>0</v>
      </c>
      <c r="E7" s="223">
        <v>0</v>
      </c>
      <c r="F7" s="267"/>
      <c r="G7" s="224"/>
      <c r="H7" s="301">
        <f t="shared" si="3"/>
        <v>0</v>
      </c>
      <c r="I7" s="224">
        <f>SUMIF(AE!$B$1:$B$1009,B7,AE!$G$1:$G$1009)-SUMIF(AE!$B$1:$B$1009,B7,AE!$F$1:$F$1009)</f>
        <v>0</v>
      </c>
      <c r="J7" s="301">
        <f t="shared" si="4"/>
        <v>0</v>
      </c>
      <c r="K7" s="58" t="str">
        <f t="shared" si="5"/>
        <v>134</v>
      </c>
      <c r="L7" s="58" t="str">
        <f t="shared" si="6"/>
        <v>13</v>
      </c>
      <c r="M7" s="268" t="e">
        <f t="shared" si="7"/>
        <v>#DIV/0!</v>
      </c>
      <c r="N7" s="268" t="e">
        <f t="shared" si="8"/>
        <v>#DIV/0!</v>
      </c>
      <c r="O7" s="140" t="s">
        <v>818</v>
      </c>
      <c r="P7">
        <f>VLOOKUP(B7,SAP!A:A,1,0)</f>
        <v>1342</v>
      </c>
    </row>
    <row r="8" spans="1:16">
      <c r="A8" s="276">
        <v>6003</v>
      </c>
      <c r="B8" s="266">
        <v>1354</v>
      </c>
      <c r="C8" s="276" t="s">
        <v>1138</v>
      </c>
      <c r="D8" s="223">
        <v>-128703</v>
      </c>
      <c r="E8" s="223">
        <v>-452905</v>
      </c>
      <c r="F8" s="267"/>
      <c r="G8" s="224"/>
      <c r="H8" s="301">
        <f t="shared" si="3"/>
        <v>-128703</v>
      </c>
      <c r="I8" s="224">
        <f>SUMIF(AE!$B$1:$B$1009,B8,AE!$G$1:$G$1009)-SUMIF(AE!$B$1:$B$1009,B8,AE!$F$1:$F$1009)</f>
        <v>0</v>
      </c>
      <c r="J8" s="301">
        <f t="shared" si="4"/>
        <v>-452905</v>
      </c>
      <c r="K8" s="58" t="str">
        <f t="shared" si="5"/>
        <v>135</v>
      </c>
      <c r="L8" s="58" t="str">
        <f t="shared" si="6"/>
        <v>13</v>
      </c>
      <c r="M8" s="268">
        <f t="shared" si="7"/>
        <v>3.5189933412585566</v>
      </c>
      <c r="N8" s="268">
        <f t="shared" si="8"/>
        <v>3.5189933412585566</v>
      </c>
      <c r="O8" s="140" t="s">
        <v>819</v>
      </c>
      <c r="P8">
        <f>VLOOKUP(B8,SAP!A:A,1,0)</f>
        <v>1354</v>
      </c>
    </row>
    <row r="9" spans="1:16">
      <c r="A9" s="276">
        <v>6004</v>
      </c>
      <c r="B9" s="266">
        <v>1355</v>
      </c>
      <c r="C9" s="276" t="s">
        <v>1139</v>
      </c>
      <c r="D9" s="223">
        <v>-22131</v>
      </c>
      <c r="E9" s="223">
        <v>-77879</v>
      </c>
      <c r="F9" s="267"/>
      <c r="G9" s="224"/>
      <c r="H9" s="301">
        <f t="shared" si="3"/>
        <v>-22131</v>
      </c>
      <c r="I9" s="224">
        <f>SUMIF(AE!$B$1:$B$1009,B9,AE!$G$1:$G$1009)-SUMIF(AE!$B$1:$B$1009,B9,AE!$F$1:$F$1009)</f>
        <v>0</v>
      </c>
      <c r="J9" s="301">
        <f t="shared" si="4"/>
        <v>-77879</v>
      </c>
      <c r="K9" s="58" t="str">
        <f t="shared" si="5"/>
        <v>135</v>
      </c>
      <c r="L9" s="58" t="str">
        <f t="shared" si="6"/>
        <v>13</v>
      </c>
      <c r="M9" s="268">
        <f t="shared" si="7"/>
        <v>3.5190004970403508</v>
      </c>
      <c r="N9" s="268">
        <f t="shared" si="8"/>
        <v>3.5190004970403508</v>
      </c>
      <c r="O9" s="140" t="s">
        <v>820</v>
      </c>
      <c r="P9">
        <f>VLOOKUP(B9,SAP!A:A,1,0)</f>
        <v>1355</v>
      </c>
    </row>
    <row r="10" spans="1:16">
      <c r="A10" s="276">
        <v>4004</v>
      </c>
      <c r="B10" s="266">
        <v>1356</v>
      </c>
      <c r="C10" s="276" t="s">
        <v>1140</v>
      </c>
      <c r="D10" s="223">
        <v>-14172</v>
      </c>
      <c r="E10" s="223">
        <v>-49872</v>
      </c>
      <c r="F10" s="267"/>
      <c r="G10" s="224"/>
      <c r="H10" s="301">
        <f t="shared" si="3"/>
        <v>-14172</v>
      </c>
      <c r="I10" s="224">
        <f>SUMIF(AE!$B$1:$B$1009,B10,AE!$G$1:$G$1009)-SUMIF(AE!$B$1:$B$1009,B10,AE!$F$1:$F$1009)</f>
        <v>0</v>
      </c>
      <c r="J10" s="301">
        <f t="shared" si="4"/>
        <v>-49872</v>
      </c>
      <c r="K10" s="58" t="str">
        <f t="shared" si="5"/>
        <v>135</v>
      </c>
      <c r="L10" s="58" t="str">
        <f t="shared" si="6"/>
        <v>13</v>
      </c>
      <c r="M10" s="268">
        <f t="shared" si="7"/>
        <v>3.5190516511430991</v>
      </c>
      <c r="N10" s="268">
        <f t="shared" si="8"/>
        <v>3.5190516511430991</v>
      </c>
      <c r="O10" s="140" t="s">
        <v>821</v>
      </c>
      <c r="P10">
        <f>VLOOKUP(B10,SAP!A:A,1,0)</f>
        <v>1356</v>
      </c>
    </row>
    <row r="11" spans="1:16">
      <c r="A11" s="276">
        <v>4006</v>
      </c>
      <c r="B11" s="266">
        <v>1356</v>
      </c>
      <c r="C11" s="276" t="s">
        <v>1141</v>
      </c>
      <c r="D11" s="223">
        <v>-41036</v>
      </c>
      <c r="E11" s="223">
        <v>-144406</v>
      </c>
      <c r="F11" s="267"/>
      <c r="G11" s="224"/>
      <c r="H11" s="301">
        <f t="shared" si="3"/>
        <v>-41036</v>
      </c>
      <c r="I11" s="224">
        <f>SUMIF(AE!$B$1:$B$1009,B11,AE!$G$1:$G$1009)-SUMIF(AE!$B$1:$B$1009,B11,AE!$F$1:$F$1009)</f>
        <v>0</v>
      </c>
      <c r="J11" s="301">
        <f t="shared" si="4"/>
        <v>-144406</v>
      </c>
      <c r="K11" s="58" t="str">
        <f t="shared" si="5"/>
        <v>135</v>
      </c>
      <c r="L11" s="58" t="str">
        <f t="shared" si="6"/>
        <v>13</v>
      </c>
      <c r="M11" s="268">
        <f t="shared" si="7"/>
        <v>3.5190077005556097</v>
      </c>
      <c r="N11" s="268">
        <f t="shared" si="8"/>
        <v>3.5190077005556097</v>
      </c>
      <c r="O11" s="140" t="s">
        <v>822</v>
      </c>
      <c r="P11">
        <f>VLOOKUP(B11,SAP!A:A,1,0)</f>
        <v>1356</v>
      </c>
    </row>
    <row r="12" spans="1:16">
      <c r="A12" s="276">
        <v>4008</v>
      </c>
      <c r="B12" s="266">
        <v>1356</v>
      </c>
      <c r="C12" s="276" t="s">
        <v>1142</v>
      </c>
      <c r="D12" s="223">
        <v>-22329</v>
      </c>
      <c r="E12" s="223">
        <v>-78574</v>
      </c>
      <c r="F12" s="267"/>
      <c r="G12" s="224"/>
      <c r="H12" s="301">
        <f t="shared" si="3"/>
        <v>-22329</v>
      </c>
      <c r="I12" s="224">
        <f>SUMIF(AE!$B$1:$B$1009,B12,AE!$G$1:$G$1009)-SUMIF(AE!$B$1:$B$1009,B12,AE!$F$1:$F$1009)</f>
        <v>0</v>
      </c>
      <c r="J12" s="301">
        <f t="shared" si="4"/>
        <v>-78574</v>
      </c>
      <c r="K12" s="58" t="str">
        <f t="shared" si="5"/>
        <v>135</v>
      </c>
      <c r="L12" s="58" t="str">
        <f t="shared" si="6"/>
        <v>13</v>
      </c>
      <c r="M12" s="268">
        <f t="shared" si="7"/>
        <v>3.5189215817994537</v>
      </c>
      <c r="N12" s="268">
        <f t="shared" si="8"/>
        <v>3.5189215817994537</v>
      </c>
      <c r="O12" s="140" t="s">
        <v>823</v>
      </c>
      <c r="P12">
        <f>VLOOKUP(B12,SAP!A:A,1,0)</f>
        <v>1356</v>
      </c>
    </row>
    <row r="13" spans="1:16">
      <c r="A13" s="276">
        <v>4012</v>
      </c>
      <c r="B13" s="266">
        <v>1356</v>
      </c>
      <c r="C13" s="276" t="s">
        <v>654</v>
      </c>
      <c r="D13" s="223">
        <v>142139</v>
      </c>
      <c r="E13" s="223">
        <v>500185</v>
      </c>
      <c r="F13" s="267"/>
      <c r="G13" s="224"/>
      <c r="H13" s="301">
        <f t="shared" si="3"/>
        <v>142139</v>
      </c>
      <c r="I13" s="224">
        <f>SUMIF(AE!$B$1:$B$1009,B13,AE!$G$1:$G$1009)-SUMIF(AE!$B$1:$B$1009,B13,AE!$F$1:$F$1009)</f>
        <v>0</v>
      </c>
      <c r="J13" s="301">
        <f t="shared" si="4"/>
        <v>500185</v>
      </c>
      <c r="K13" s="58" t="str">
        <f t="shared" si="5"/>
        <v>135</v>
      </c>
      <c r="L13" s="58" t="str">
        <f t="shared" si="6"/>
        <v>13</v>
      </c>
      <c r="M13" s="268">
        <f t="shared" si="7"/>
        <v>3.5189849372797051</v>
      </c>
      <c r="N13" s="268">
        <f t="shared" si="8"/>
        <v>3.5189849372797051</v>
      </c>
      <c r="O13" s="140" t="s">
        <v>824</v>
      </c>
      <c r="P13">
        <f>VLOOKUP(B13,SAP!A:A,1,0)</f>
        <v>1356</v>
      </c>
    </row>
    <row r="14" spans="1:16">
      <c r="A14" s="276">
        <v>4015</v>
      </c>
      <c r="B14" s="266">
        <v>1356</v>
      </c>
      <c r="C14" s="276" t="s">
        <v>1143</v>
      </c>
      <c r="D14" s="223">
        <v>-51814</v>
      </c>
      <c r="E14" s="223">
        <v>-182333</v>
      </c>
      <c r="F14" s="267"/>
      <c r="G14" s="224"/>
      <c r="H14" s="301">
        <f t="shared" si="3"/>
        <v>-51814</v>
      </c>
      <c r="I14" s="224">
        <f>SUMIF(AE!$B$1:$B$1009,B14,AE!$G$1:$G$1009)-SUMIF(AE!$B$1:$B$1009,B14,AE!$F$1:$F$1009)</f>
        <v>0</v>
      </c>
      <c r="J14" s="301">
        <f t="shared" si="4"/>
        <v>-182333</v>
      </c>
      <c r="K14" s="58" t="str">
        <f t="shared" si="5"/>
        <v>135</v>
      </c>
      <c r="L14" s="58" t="str">
        <f t="shared" si="6"/>
        <v>13</v>
      </c>
      <c r="M14" s="268">
        <f t="shared" si="7"/>
        <v>3.5189910062917358</v>
      </c>
      <c r="N14" s="268">
        <f t="shared" si="8"/>
        <v>3.5189910062917358</v>
      </c>
      <c r="O14" s="140" t="s">
        <v>825</v>
      </c>
      <c r="P14">
        <f>VLOOKUP(B14,SAP!A:A,1,0)</f>
        <v>1356</v>
      </c>
    </row>
    <row r="15" spans="1:16">
      <c r="A15" s="276">
        <v>4016</v>
      </c>
      <c r="B15" s="266">
        <v>1356</v>
      </c>
      <c r="C15" s="276" t="s">
        <v>1144</v>
      </c>
      <c r="D15" s="223">
        <v>-12788</v>
      </c>
      <c r="E15" s="223">
        <v>-45000</v>
      </c>
      <c r="F15" s="267"/>
      <c r="G15" s="224"/>
      <c r="H15" s="301">
        <f t="shared" si="3"/>
        <v>-12788</v>
      </c>
      <c r="I15" s="224">
        <f>SUMIF(AE!$B$1:$B$1009,B15,AE!$G$1:$G$1009)-SUMIF(AE!$B$1:$B$1009,B15,AE!$F$1:$F$1009)</f>
        <v>0</v>
      </c>
      <c r="J15" s="301">
        <f t="shared" si="4"/>
        <v>-45000</v>
      </c>
      <c r="K15" s="58" t="str">
        <f t="shared" si="5"/>
        <v>135</v>
      </c>
      <c r="L15" s="58" t="str">
        <f t="shared" si="6"/>
        <v>13</v>
      </c>
      <c r="M15" s="268">
        <f t="shared" si="7"/>
        <v>3.5189239912417891</v>
      </c>
      <c r="N15" s="268">
        <f t="shared" si="8"/>
        <v>3.5189239912417891</v>
      </c>
      <c r="O15" s="140" t="s">
        <v>826</v>
      </c>
      <c r="P15">
        <f>VLOOKUP(B15,SAP!A:A,1,0)</f>
        <v>1356</v>
      </c>
    </row>
    <row r="16" spans="1:16">
      <c r="A16" s="276">
        <v>4001</v>
      </c>
      <c r="B16" s="266">
        <v>1357</v>
      </c>
      <c r="C16" s="276" t="s">
        <v>1380</v>
      </c>
      <c r="D16" s="223">
        <v>35518</v>
      </c>
      <c r="E16" s="223">
        <v>124986</v>
      </c>
      <c r="F16" s="267"/>
      <c r="G16" s="224"/>
      <c r="H16" s="301">
        <f t="shared" si="3"/>
        <v>35518</v>
      </c>
      <c r="I16" s="224">
        <f>SUMIF(AE!$B$1:$B$1009,B16,AE!$G$1:$G$1009)-SUMIF(AE!$B$1:$B$1009,B16,AE!$F$1:$F$1009)</f>
        <v>0</v>
      </c>
      <c r="J16" s="301">
        <f t="shared" si="4"/>
        <v>124986</v>
      </c>
      <c r="K16" s="58" t="str">
        <f t="shared" si="5"/>
        <v>135</v>
      </c>
      <c r="L16" s="58" t="str">
        <f t="shared" si="6"/>
        <v>13</v>
      </c>
      <c r="M16" s="268">
        <f t="shared" si="7"/>
        <v>3.5189481389717892</v>
      </c>
      <c r="N16" s="268">
        <f t="shared" si="8"/>
        <v>3.5189481389717892</v>
      </c>
      <c r="O16" s="140" t="s">
        <v>827</v>
      </c>
      <c r="P16">
        <f>VLOOKUP(B16,SAP!A:A,1,0)</f>
        <v>1357</v>
      </c>
    </row>
    <row r="17" spans="1:16">
      <c r="A17" s="276">
        <v>4002</v>
      </c>
      <c r="B17" s="266">
        <v>1357</v>
      </c>
      <c r="C17" s="276" t="s">
        <v>1145</v>
      </c>
      <c r="D17" s="223">
        <v>-56379</v>
      </c>
      <c r="E17" s="223">
        <v>-198398</v>
      </c>
      <c r="F17" s="267"/>
      <c r="G17" s="224"/>
      <c r="H17" s="301">
        <f t="shared" si="3"/>
        <v>-56379</v>
      </c>
      <c r="I17" s="224">
        <f>SUMIF(AE!$B$1:$B$1009,B17,AE!$G$1:$G$1009)-SUMIF(AE!$B$1:$B$1009,B17,AE!$F$1:$F$1009)</f>
        <v>0</v>
      </c>
      <c r="J17" s="301">
        <f t="shared" si="4"/>
        <v>-198398</v>
      </c>
      <c r="K17" s="58" t="str">
        <f t="shared" si="5"/>
        <v>135</v>
      </c>
      <c r="L17" s="58" t="str">
        <f t="shared" si="6"/>
        <v>13</v>
      </c>
      <c r="M17" s="268">
        <f t="shared" si="7"/>
        <v>3.5190053033931075</v>
      </c>
      <c r="N17" s="268">
        <f t="shared" si="8"/>
        <v>3.5190053033931075</v>
      </c>
      <c r="O17" s="140" t="s">
        <v>828</v>
      </c>
      <c r="P17">
        <f>VLOOKUP(B17,SAP!A:A,1,0)</f>
        <v>1357</v>
      </c>
    </row>
    <row r="18" spans="1:16">
      <c r="A18" s="276">
        <v>4003</v>
      </c>
      <c r="B18" s="266">
        <v>1357</v>
      </c>
      <c r="C18" s="276" t="s">
        <v>1146</v>
      </c>
      <c r="D18" s="223">
        <v>-3244</v>
      </c>
      <c r="E18" s="223">
        <v>-11416</v>
      </c>
      <c r="F18" s="267"/>
      <c r="G18" s="224"/>
      <c r="H18" s="301">
        <f t="shared" si="3"/>
        <v>-3244</v>
      </c>
      <c r="I18" s="224">
        <f>SUMIF(AE!$B$1:$B$1009,B18,AE!$G$1:$G$1009)-SUMIF(AE!$B$1:$B$1009,B18,AE!$F$1:$F$1009)</f>
        <v>0</v>
      </c>
      <c r="J18" s="301">
        <f t="shared" si="4"/>
        <v>-11416</v>
      </c>
      <c r="K18" s="58" t="str">
        <f t="shared" si="5"/>
        <v>135</v>
      </c>
      <c r="L18" s="58" t="str">
        <f t="shared" si="6"/>
        <v>13</v>
      </c>
      <c r="M18" s="268">
        <f t="shared" si="7"/>
        <v>3.5191122071516645</v>
      </c>
      <c r="N18" s="268">
        <f t="shared" si="8"/>
        <v>3.5191122071516645</v>
      </c>
      <c r="O18" s="140" t="s">
        <v>829</v>
      </c>
      <c r="P18">
        <f>VLOOKUP(B18,SAP!A:A,1,0)</f>
        <v>1357</v>
      </c>
    </row>
    <row r="19" spans="1:16">
      <c r="A19" s="276">
        <v>4005</v>
      </c>
      <c r="B19" s="266">
        <v>1357</v>
      </c>
      <c r="C19" s="276" t="s">
        <v>1147</v>
      </c>
      <c r="D19" s="223">
        <v>-26162</v>
      </c>
      <c r="E19" s="223">
        <v>-92063</v>
      </c>
      <c r="F19" s="267"/>
      <c r="G19" s="224"/>
      <c r="H19" s="301">
        <f t="shared" si="3"/>
        <v>-26162</v>
      </c>
      <c r="I19" s="224">
        <f>SUMIF(AE!$B$1:$B$1009,B19,AE!$G$1:$G$1009)-SUMIF(AE!$B$1:$B$1009,B19,AE!$F$1:$F$1009)</f>
        <v>0</v>
      </c>
      <c r="J19" s="301">
        <f t="shared" si="4"/>
        <v>-92063</v>
      </c>
      <c r="K19" s="58" t="str">
        <f t="shared" si="5"/>
        <v>135</v>
      </c>
      <c r="L19" s="58" t="str">
        <f t="shared" si="6"/>
        <v>13</v>
      </c>
      <c r="M19" s="268">
        <f t="shared" si="7"/>
        <v>3.5189587951991439</v>
      </c>
      <c r="N19" s="268">
        <f t="shared" si="8"/>
        <v>3.5189587951991439</v>
      </c>
      <c r="O19" s="140" t="s">
        <v>830</v>
      </c>
      <c r="P19">
        <f>VLOOKUP(B19,SAP!A:A,1,0)</f>
        <v>1357</v>
      </c>
    </row>
    <row r="20" spans="1:16">
      <c r="A20" s="276">
        <v>5168</v>
      </c>
      <c r="B20" s="266">
        <v>1358</v>
      </c>
      <c r="C20" s="276" t="s">
        <v>1148</v>
      </c>
      <c r="D20" s="223">
        <v>-3552</v>
      </c>
      <c r="E20" s="223">
        <v>-12500</v>
      </c>
      <c r="F20" s="267"/>
      <c r="G20" s="224"/>
      <c r="H20" s="301">
        <f t="shared" si="3"/>
        <v>-3552</v>
      </c>
      <c r="I20" s="224">
        <f>SUMIF(AE!$B$1:$B$1009,B20,AE!$G$1:$G$1009)-SUMIF(AE!$B$1:$B$1009,B20,AE!$F$1:$F$1009)</f>
        <v>0</v>
      </c>
      <c r="J20" s="301">
        <f t="shared" si="4"/>
        <v>-12500</v>
      </c>
      <c r="K20" s="58" t="str">
        <f t="shared" si="5"/>
        <v>135</v>
      </c>
      <c r="L20" s="58" t="str">
        <f t="shared" si="6"/>
        <v>13</v>
      </c>
      <c r="M20" s="268">
        <f t="shared" si="7"/>
        <v>3.519144144144144</v>
      </c>
      <c r="N20" s="268">
        <f t="shared" si="8"/>
        <v>3.519144144144144</v>
      </c>
      <c r="O20" s="140" t="s">
        <v>831</v>
      </c>
      <c r="P20">
        <f>VLOOKUP(B20,SAP!A:A,1,0)</f>
        <v>1358</v>
      </c>
    </row>
    <row r="21" spans="1:16">
      <c r="A21" s="276">
        <v>4014</v>
      </c>
      <c r="B21" s="266">
        <v>1842</v>
      </c>
      <c r="C21" s="276" t="s">
        <v>1014</v>
      </c>
      <c r="D21" s="223">
        <v>0</v>
      </c>
      <c r="E21" s="223">
        <v>0</v>
      </c>
      <c r="F21" s="267"/>
      <c r="G21" s="224"/>
      <c r="H21" s="301">
        <f t="shared" si="3"/>
        <v>0</v>
      </c>
      <c r="I21" s="224">
        <f>SUMIF(AE!$B$1:$B$1009,B21,AE!$G$1:$G$1009)-SUMIF(AE!$B$1:$B$1009,B21,AE!$F$1:$F$1009)</f>
        <v>0</v>
      </c>
      <c r="J21" s="301">
        <f t="shared" si="4"/>
        <v>0</v>
      </c>
      <c r="K21" s="58" t="str">
        <f t="shared" si="5"/>
        <v>184</v>
      </c>
      <c r="L21" s="58" t="str">
        <f t="shared" si="6"/>
        <v>18</v>
      </c>
      <c r="M21" s="268" t="e">
        <f t="shared" si="7"/>
        <v>#DIV/0!</v>
      </c>
      <c r="N21" s="268" t="e">
        <f t="shared" si="8"/>
        <v>#DIV/0!</v>
      </c>
      <c r="O21" s="140" t="s">
        <v>832</v>
      </c>
      <c r="P21">
        <f>VLOOKUP(B21,SAP!A:A,1,0)</f>
        <v>1842</v>
      </c>
    </row>
    <row r="22" spans="1:16">
      <c r="A22" s="276">
        <v>6007</v>
      </c>
      <c r="B22" s="266">
        <v>1842</v>
      </c>
      <c r="C22" s="276" t="s">
        <v>1149</v>
      </c>
      <c r="D22" s="223">
        <v>-28054</v>
      </c>
      <c r="E22" s="223">
        <v>-103417</v>
      </c>
      <c r="F22" s="267"/>
      <c r="G22" s="224"/>
      <c r="H22" s="301">
        <f t="shared" si="3"/>
        <v>-28054</v>
      </c>
      <c r="I22" s="224">
        <f>SUMIF(AE!$B$1:$B$1009,B22,AE!$G$1:$G$1009)-SUMIF(AE!$B$1:$B$1009,B22,AE!$F$1:$F$1009)</f>
        <v>0</v>
      </c>
      <c r="J22" s="301">
        <f t="shared" si="4"/>
        <v>-103417</v>
      </c>
      <c r="K22" s="58" t="str">
        <f t="shared" si="5"/>
        <v>184</v>
      </c>
      <c r="L22" s="58" t="str">
        <f t="shared" si="6"/>
        <v>18</v>
      </c>
      <c r="M22" s="268">
        <f t="shared" si="7"/>
        <v>3.686354887003636</v>
      </c>
      <c r="N22" s="268">
        <f t="shared" si="8"/>
        <v>3.686354887003636</v>
      </c>
      <c r="O22" s="140" t="s">
        <v>833</v>
      </c>
      <c r="P22">
        <f>VLOOKUP(B22,SAP!A:A,1,0)</f>
        <v>1842</v>
      </c>
    </row>
    <row r="23" spans="1:16">
      <c r="A23" s="276">
        <v>6705</v>
      </c>
      <c r="B23" s="266">
        <v>1901</v>
      </c>
      <c r="C23" s="276" t="s">
        <v>1150</v>
      </c>
      <c r="D23" s="223">
        <v>-344827</v>
      </c>
      <c r="E23" s="223">
        <v>-1162548</v>
      </c>
      <c r="F23" s="267"/>
      <c r="G23" s="224"/>
      <c r="H23" s="301">
        <f t="shared" si="3"/>
        <v>-344827</v>
      </c>
      <c r="I23" s="224">
        <f>SUMIF(AE!$B$1:$B$1009,B23,AE!$G$1:$G$1009)-SUMIF(AE!$B$1:$B$1009,B23,AE!$F$1:$F$1009)</f>
        <v>0</v>
      </c>
      <c r="J23" s="301">
        <f t="shared" si="4"/>
        <v>-1162548</v>
      </c>
      <c r="K23" s="58" t="str">
        <f t="shared" si="5"/>
        <v>190</v>
      </c>
      <c r="L23" s="58" t="str">
        <f t="shared" si="6"/>
        <v>19</v>
      </c>
      <c r="M23" s="268">
        <f t="shared" si="7"/>
        <v>3.3713949313713831</v>
      </c>
      <c r="N23" s="268">
        <f t="shared" si="8"/>
        <v>3.3713949313713831</v>
      </c>
      <c r="O23" s="140" t="s">
        <v>834</v>
      </c>
      <c r="P23">
        <f>VLOOKUP(B23,SAP!A:A,1,0)</f>
        <v>1901</v>
      </c>
    </row>
    <row r="24" spans="1:16">
      <c r="A24" s="276">
        <v>6703</v>
      </c>
      <c r="B24" s="266">
        <v>1903</v>
      </c>
      <c r="C24" s="276" t="s">
        <v>1151</v>
      </c>
      <c r="D24" s="223">
        <v>-17471</v>
      </c>
      <c r="E24" s="223">
        <v>-57393</v>
      </c>
      <c r="F24" s="267"/>
      <c r="G24" s="224"/>
      <c r="H24" s="301">
        <f t="shared" si="3"/>
        <v>-17471</v>
      </c>
      <c r="I24" s="224">
        <f>SUMIF(AE!$B$1:$B$1009,B24,AE!$G$1:$G$1009)-SUMIF(AE!$B$1:$B$1009,B24,AE!$F$1:$F$1009)</f>
        <v>0</v>
      </c>
      <c r="J24" s="301">
        <f t="shared" si="4"/>
        <v>-57393</v>
      </c>
      <c r="K24" s="58" t="str">
        <f t="shared" si="5"/>
        <v>190</v>
      </c>
      <c r="L24" s="58" t="str">
        <f t="shared" si="6"/>
        <v>19</v>
      </c>
      <c r="M24" s="268">
        <f t="shared" si="7"/>
        <v>3.2850437868467748</v>
      </c>
      <c r="N24" s="268">
        <f t="shared" si="8"/>
        <v>3.2850437868467748</v>
      </c>
      <c r="O24" s="140" t="s">
        <v>835</v>
      </c>
      <c r="P24">
        <f>VLOOKUP(B24,SAP!A:A,1,0)</f>
        <v>1903</v>
      </c>
    </row>
    <row r="25" spans="1:16">
      <c r="A25" s="276">
        <v>6702</v>
      </c>
      <c r="B25" s="266">
        <v>1904</v>
      </c>
      <c r="C25" s="276" t="s">
        <v>130</v>
      </c>
      <c r="D25" s="223">
        <v>-24543</v>
      </c>
      <c r="E25" s="223">
        <v>-82633</v>
      </c>
      <c r="F25" s="267"/>
      <c r="G25" s="224"/>
      <c r="H25" s="301">
        <f t="shared" si="3"/>
        <v>-24543</v>
      </c>
      <c r="I25" s="224">
        <f>SUMIF(AE!$B$1:$B$1009,B25,AE!$G$1:$G$1009)-SUMIF(AE!$B$1:$B$1009,B25,AE!$F$1:$F$1009)</f>
        <v>0</v>
      </c>
      <c r="J25" s="301">
        <f t="shared" si="4"/>
        <v>-82633</v>
      </c>
      <c r="K25" s="58" t="str">
        <f t="shared" si="5"/>
        <v>190</v>
      </c>
      <c r="L25" s="58" t="str">
        <f t="shared" si="6"/>
        <v>19</v>
      </c>
      <c r="M25" s="268">
        <f t="shared" si="7"/>
        <v>3.3668663162612558</v>
      </c>
      <c r="N25" s="268">
        <f t="shared" si="8"/>
        <v>3.3668663162612558</v>
      </c>
      <c r="O25" s="140" t="s">
        <v>836</v>
      </c>
      <c r="P25">
        <f>VLOOKUP(B25,SAP!A:A,1,0)</f>
        <v>1904</v>
      </c>
    </row>
    <row r="26" spans="1:16">
      <c r="A26" s="276">
        <v>6706</v>
      </c>
      <c r="B26" s="266">
        <v>1910</v>
      </c>
      <c r="C26" s="276" t="s">
        <v>1152</v>
      </c>
      <c r="D26" s="223">
        <v>201976</v>
      </c>
      <c r="E26" s="223">
        <v>691270</v>
      </c>
      <c r="F26" s="267"/>
      <c r="G26" s="224"/>
      <c r="H26" s="301">
        <f t="shared" si="3"/>
        <v>201976</v>
      </c>
      <c r="I26" s="224">
        <f>SUMIF(AE!$B$1:$B$1009,B26,AE!$G$1:$G$1009)-SUMIF(AE!$B$1:$B$1009,B26,AE!$F$1:$F$1009)</f>
        <v>0</v>
      </c>
      <c r="J26" s="301">
        <f t="shared" si="4"/>
        <v>691270</v>
      </c>
      <c r="K26" s="58" t="str">
        <f t="shared" si="5"/>
        <v>191</v>
      </c>
      <c r="L26" s="58" t="str">
        <f t="shared" si="6"/>
        <v>19</v>
      </c>
      <c r="M26" s="268">
        <f t="shared" si="7"/>
        <v>3.4225353507347407</v>
      </c>
      <c r="N26" s="268">
        <f t="shared" si="8"/>
        <v>3.4225353507347407</v>
      </c>
      <c r="O26" s="140" t="s">
        <v>837</v>
      </c>
      <c r="P26">
        <f>VLOOKUP(B26,SAP!A:A,1,0)</f>
        <v>1910</v>
      </c>
    </row>
    <row r="27" spans="1:16">
      <c r="A27" s="276">
        <v>6707</v>
      </c>
      <c r="B27" s="266">
        <v>1910</v>
      </c>
      <c r="C27" s="276" t="s">
        <v>1153</v>
      </c>
      <c r="D27" s="223">
        <v>7257</v>
      </c>
      <c r="E27" s="223">
        <v>25063</v>
      </c>
      <c r="F27" s="267"/>
      <c r="G27" s="224"/>
      <c r="H27" s="301">
        <f t="shared" si="3"/>
        <v>7257</v>
      </c>
      <c r="I27" s="224">
        <f>SUMIF(AE!$B$1:$B$1009,B27,AE!$G$1:$G$1009)-SUMIF(AE!$B$1:$B$1009,B27,AE!$F$1:$F$1009)</f>
        <v>0</v>
      </c>
      <c r="J27" s="301">
        <f t="shared" si="4"/>
        <v>25063</v>
      </c>
      <c r="K27" s="58" t="str">
        <f t="shared" si="5"/>
        <v>191</v>
      </c>
      <c r="L27" s="58" t="str">
        <f t="shared" si="6"/>
        <v>19</v>
      </c>
      <c r="M27" s="268">
        <f t="shared" si="7"/>
        <v>3.453630976987736</v>
      </c>
      <c r="N27" s="268">
        <f t="shared" si="8"/>
        <v>3.453630976987736</v>
      </c>
      <c r="O27" s="140" t="s">
        <v>838</v>
      </c>
      <c r="P27">
        <f>VLOOKUP(B27,SAP!A:A,1,0)</f>
        <v>1910</v>
      </c>
    </row>
    <row r="28" spans="1:16">
      <c r="A28" s="276">
        <v>6708</v>
      </c>
      <c r="B28" s="266">
        <v>1910</v>
      </c>
      <c r="C28" s="276" t="s">
        <v>1154</v>
      </c>
      <c r="D28" s="223">
        <v>2004</v>
      </c>
      <c r="E28" s="223">
        <v>6645</v>
      </c>
      <c r="F28" s="267"/>
      <c r="G28" s="224"/>
      <c r="H28" s="301">
        <f t="shared" si="3"/>
        <v>2004</v>
      </c>
      <c r="I28" s="224">
        <f>SUMIF(AE!$B$1:$B$1009,B28,AE!$G$1:$G$1009)-SUMIF(AE!$B$1:$B$1009,B28,AE!$F$1:$F$1009)</f>
        <v>0</v>
      </c>
      <c r="J28" s="301">
        <f t="shared" si="4"/>
        <v>6645</v>
      </c>
      <c r="K28" s="58" t="str">
        <f t="shared" si="5"/>
        <v>191</v>
      </c>
      <c r="L28" s="58" t="str">
        <f t="shared" si="6"/>
        <v>19</v>
      </c>
      <c r="M28" s="268">
        <f t="shared" si="7"/>
        <v>3.3158682634730541</v>
      </c>
      <c r="N28" s="268">
        <f t="shared" si="8"/>
        <v>3.3158682634730541</v>
      </c>
      <c r="O28" s="140" t="s">
        <v>839</v>
      </c>
      <c r="P28">
        <f>VLOOKUP(B28,SAP!A:A,1,0)</f>
        <v>1910</v>
      </c>
    </row>
    <row r="29" spans="1:16">
      <c r="A29" s="276">
        <v>30000</v>
      </c>
      <c r="B29" s="266">
        <v>2652</v>
      </c>
      <c r="C29" s="276" t="s">
        <v>1155</v>
      </c>
      <c r="D29" s="223">
        <v>-61601</v>
      </c>
      <c r="E29" s="223">
        <v>-216426</v>
      </c>
      <c r="F29" s="267"/>
      <c r="G29" s="224"/>
      <c r="H29" s="301">
        <f t="shared" si="3"/>
        <v>-61601</v>
      </c>
      <c r="I29" s="224">
        <f>SUMIF(AE!$B$1:$B$1009,B29,AE!$G$1:$G$1009)-SUMIF(AE!$B$1:$B$1009,B29,AE!$F$1:$F$1009)</f>
        <v>0</v>
      </c>
      <c r="J29" s="301">
        <f t="shared" si="4"/>
        <v>-216426</v>
      </c>
      <c r="K29" s="58" t="str">
        <f t="shared" si="5"/>
        <v>265</v>
      </c>
      <c r="L29" s="58" t="str">
        <f t="shared" si="6"/>
        <v>26</v>
      </c>
      <c r="M29" s="268">
        <f t="shared" si="7"/>
        <v>3.5133520559731175</v>
      </c>
      <c r="N29" s="268">
        <f t="shared" si="8"/>
        <v>3.5133520559731175</v>
      </c>
      <c r="O29" s="140" t="s">
        <v>840</v>
      </c>
      <c r="P29">
        <f>VLOOKUP(B29,SAP!A:A,1,0)</f>
        <v>2652</v>
      </c>
    </row>
    <row r="30" spans="1:16">
      <c r="A30" s="276">
        <v>5005</v>
      </c>
      <c r="B30" s="266">
        <v>2652</v>
      </c>
      <c r="C30" s="276" t="s">
        <v>1156</v>
      </c>
      <c r="D30" s="223">
        <v>190850</v>
      </c>
      <c r="E30" s="223">
        <v>671600</v>
      </c>
      <c r="F30" s="267"/>
      <c r="G30" s="224"/>
      <c r="H30" s="301">
        <f t="shared" si="3"/>
        <v>190850</v>
      </c>
      <c r="I30" s="224">
        <f>SUMIF(AE!$B$1:$B$1009,B30,AE!$G$1:$G$1009)-SUMIF(AE!$B$1:$B$1009,B30,AE!$F$1:$F$1009)</f>
        <v>0</v>
      </c>
      <c r="J30" s="301">
        <f t="shared" si="4"/>
        <v>671600</v>
      </c>
      <c r="K30" s="58" t="str">
        <f t="shared" si="5"/>
        <v>265</v>
      </c>
      <c r="L30" s="58" t="str">
        <f t="shared" si="6"/>
        <v>26</v>
      </c>
      <c r="M30" s="268">
        <f t="shared" si="7"/>
        <v>3.5189939743253866</v>
      </c>
      <c r="N30" s="268">
        <f t="shared" si="8"/>
        <v>3.5189939743253866</v>
      </c>
      <c r="O30" s="140" t="s">
        <v>841</v>
      </c>
      <c r="P30">
        <f>VLOOKUP(B30,SAP!A:A,1,0)</f>
        <v>2652</v>
      </c>
    </row>
    <row r="31" spans="1:16">
      <c r="A31" s="276">
        <v>5013</v>
      </c>
      <c r="B31" s="266">
        <v>2652</v>
      </c>
      <c r="C31" s="276" t="s">
        <v>1381</v>
      </c>
      <c r="D31" s="223">
        <v>0</v>
      </c>
      <c r="E31" s="223">
        <v>0</v>
      </c>
      <c r="F31" s="267"/>
      <c r="G31" s="224"/>
      <c r="H31" s="301">
        <f t="shared" si="3"/>
        <v>0</v>
      </c>
      <c r="I31" s="224">
        <f>SUMIF(AE!$B$1:$B$1009,B31,AE!$G$1:$G$1009)-SUMIF(AE!$B$1:$B$1009,B31,AE!$F$1:$F$1009)</f>
        <v>0</v>
      </c>
      <c r="J31" s="301">
        <f t="shared" si="4"/>
        <v>0</v>
      </c>
      <c r="K31" s="58" t="str">
        <f t="shared" si="5"/>
        <v>265</v>
      </c>
      <c r="L31" s="58" t="str">
        <f t="shared" si="6"/>
        <v>26</v>
      </c>
      <c r="M31" s="268" t="e">
        <f t="shared" si="7"/>
        <v>#DIV/0!</v>
      </c>
      <c r="N31" s="268" t="e">
        <f t="shared" si="8"/>
        <v>#DIV/0!</v>
      </c>
      <c r="O31" s="140" t="s">
        <v>842</v>
      </c>
      <c r="P31">
        <f>VLOOKUP(B31,SAP!A:A,1,0)</f>
        <v>2652</v>
      </c>
    </row>
    <row r="32" spans="1:16">
      <c r="A32" s="276">
        <v>1112</v>
      </c>
      <c r="B32" s="266">
        <v>2658</v>
      </c>
      <c r="C32" s="276" t="s">
        <v>1157</v>
      </c>
      <c r="D32" s="223">
        <v>8678</v>
      </c>
      <c r="E32" s="223">
        <v>30538</v>
      </c>
      <c r="F32" s="267"/>
      <c r="G32" s="224"/>
      <c r="H32" s="301">
        <f t="shared" si="3"/>
        <v>8678</v>
      </c>
      <c r="I32" s="224">
        <f>SUMIF(AE!$B$1:$B$1009,B32,AE!$G$1:$G$1009)-SUMIF(AE!$B$1:$B$1009,B32,AE!$F$1:$F$1009)</f>
        <v>0</v>
      </c>
      <c r="J32" s="301">
        <f t="shared" si="4"/>
        <v>30538</v>
      </c>
      <c r="K32" s="58" t="str">
        <f t="shared" si="5"/>
        <v>265</v>
      </c>
      <c r="L32" s="58" t="str">
        <f t="shared" si="6"/>
        <v>26</v>
      </c>
      <c r="M32" s="268">
        <f t="shared" si="7"/>
        <v>3.5190135976031343</v>
      </c>
      <c r="N32" s="268">
        <f t="shared" si="8"/>
        <v>3.5190135976031343</v>
      </c>
      <c r="O32" s="140" t="s">
        <v>843</v>
      </c>
      <c r="P32">
        <f>VLOOKUP(B32,SAP!A:A,1,0)</f>
        <v>2658</v>
      </c>
    </row>
    <row r="33" spans="1:16">
      <c r="A33" s="276">
        <v>1115</v>
      </c>
      <c r="B33" s="266">
        <v>2658</v>
      </c>
      <c r="C33" s="276" t="s">
        <v>1158</v>
      </c>
      <c r="D33" s="223">
        <v>13355</v>
      </c>
      <c r="E33" s="223">
        <v>46996</v>
      </c>
      <c r="F33" s="267"/>
      <c r="G33" s="224"/>
      <c r="H33" s="301">
        <f t="shared" si="3"/>
        <v>13355</v>
      </c>
      <c r="I33" s="224">
        <f>SUMIF(AE!$B$1:$B$1009,B33,AE!$G$1:$G$1009)-SUMIF(AE!$B$1:$B$1009,B33,AE!$F$1:$F$1009)</f>
        <v>0</v>
      </c>
      <c r="J33" s="301">
        <f t="shared" si="4"/>
        <v>46996</v>
      </c>
      <c r="K33" s="58" t="str">
        <f t="shared" si="5"/>
        <v>265</v>
      </c>
      <c r="L33" s="58" t="str">
        <f t="shared" si="6"/>
        <v>26</v>
      </c>
      <c r="M33" s="268">
        <f t="shared" si="7"/>
        <v>3.5189816548109323</v>
      </c>
      <c r="N33" s="268">
        <f t="shared" si="8"/>
        <v>3.5189816548109323</v>
      </c>
      <c r="O33" s="140" t="s">
        <v>844</v>
      </c>
      <c r="P33">
        <f>VLOOKUP(B33,SAP!A:A,1,0)</f>
        <v>2658</v>
      </c>
    </row>
    <row r="34" spans="1:16">
      <c r="A34" s="276">
        <v>1116</v>
      </c>
      <c r="B34" s="266">
        <v>2658</v>
      </c>
      <c r="C34" s="276" t="s">
        <v>1159</v>
      </c>
      <c r="D34" s="223">
        <v>-1201</v>
      </c>
      <c r="E34" s="223">
        <v>-4226</v>
      </c>
      <c r="F34" s="267"/>
      <c r="G34" s="224"/>
      <c r="H34" s="301">
        <f t="shared" si="3"/>
        <v>-1201</v>
      </c>
      <c r="I34" s="224">
        <f>SUMIF(AE!$B$1:$B$1009,B34,AE!$G$1:$G$1009)-SUMIF(AE!$B$1:$B$1009,B34,AE!$F$1:$F$1009)</f>
        <v>0</v>
      </c>
      <c r="J34" s="301">
        <f t="shared" si="4"/>
        <v>-4226</v>
      </c>
      <c r="K34" s="58" t="str">
        <f t="shared" si="5"/>
        <v>265</v>
      </c>
      <c r="L34" s="58" t="str">
        <f t="shared" si="6"/>
        <v>26</v>
      </c>
      <c r="M34" s="268">
        <f t="shared" si="7"/>
        <v>3.5187343880099915</v>
      </c>
      <c r="N34" s="268">
        <f t="shared" si="8"/>
        <v>3.5187343880099915</v>
      </c>
      <c r="O34" s="140" t="s">
        <v>845</v>
      </c>
      <c r="P34">
        <f>VLOOKUP(B34,SAP!A:A,1,0)</f>
        <v>2658</v>
      </c>
    </row>
    <row r="35" spans="1:16">
      <c r="A35" s="276">
        <v>1117</v>
      </c>
      <c r="B35" s="266">
        <v>2658</v>
      </c>
      <c r="C35" s="276" t="s">
        <v>1382</v>
      </c>
      <c r="D35" s="223">
        <v>-10</v>
      </c>
      <c r="E35" s="223">
        <v>-34</v>
      </c>
      <c r="F35" s="267"/>
      <c r="G35" s="224"/>
      <c r="H35" s="301">
        <f t="shared" si="3"/>
        <v>-10</v>
      </c>
      <c r="I35" s="224">
        <f>SUMIF(AE!$B$1:$B$1009,B35,AE!$G$1:$G$1009)-SUMIF(AE!$B$1:$B$1009,B35,AE!$F$1:$F$1009)</f>
        <v>0</v>
      </c>
      <c r="J35" s="301">
        <f t="shared" si="4"/>
        <v>-34</v>
      </c>
      <c r="K35" s="58" t="str">
        <f t="shared" si="5"/>
        <v>265</v>
      </c>
      <c r="L35" s="58" t="str">
        <f t="shared" si="6"/>
        <v>26</v>
      </c>
      <c r="M35" s="268">
        <f t="shared" si="7"/>
        <v>3.4</v>
      </c>
      <c r="N35" s="268">
        <f t="shared" si="8"/>
        <v>3.4</v>
      </c>
      <c r="O35" s="140" t="s">
        <v>846</v>
      </c>
      <c r="P35">
        <f>VLOOKUP(B35,SAP!A:A,1,0)</f>
        <v>2658</v>
      </c>
    </row>
    <row r="36" spans="1:16">
      <c r="A36" s="276">
        <v>5006</v>
      </c>
      <c r="B36" s="266">
        <v>2681</v>
      </c>
      <c r="C36" s="276" t="s">
        <v>1160</v>
      </c>
      <c r="D36" s="223">
        <v>369861</v>
      </c>
      <c r="E36" s="223">
        <v>1301542</v>
      </c>
      <c r="F36" s="267"/>
      <c r="G36" s="224"/>
      <c r="H36" s="301">
        <f t="shared" si="3"/>
        <v>369861</v>
      </c>
      <c r="I36" s="224">
        <f>SUMIF(AE!$B$1:$B$1009,B36,AE!$G$1:$G$1009)-SUMIF(AE!$B$1:$B$1009,B36,AE!$F$1:$F$1009)</f>
        <v>0</v>
      </c>
      <c r="J36" s="301">
        <f t="shared" si="4"/>
        <v>1301542</v>
      </c>
      <c r="K36" s="58" t="str">
        <f t="shared" si="5"/>
        <v>268</v>
      </c>
      <c r="L36" s="58" t="str">
        <f t="shared" si="6"/>
        <v>26</v>
      </c>
      <c r="M36" s="268">
        <f t="shared" si="7"/>
        <v>3.5190030849427218</v>
      </c>
      <c r="N36" s="268">
        <f t="shared" si="8"/>
        <v>3.5190030849427218</v>
      </c>
      <c r="O36" s="140" t="s">
        <v>847</v>
      </c>
      <c r="P36">
        <f>VLOOKUP(B36,SAP!A:A,1,0)</f>
        <v>2681</v>
      </c>
    </row>
    <row r="37" spans="1:16">
      <c r="A37" s="276">
        <v>5007</v>
      </c>
      <c r="B37" s="266">
        <v>2681</v>
      </c>
      <c r="C37" s="276" t="s">
        <v>1161</v>
      </c>
      <c r="D37" s="223">
        <v>9909</v>
      </c>
      <c r="E37" s="223">
        <v>34869</v>
      </c>
      <c r="F37" s="267"/>
      <c r="G37" s="224"/>
      <c r="H37" s="301">
        <f t="shared" si="3"/>
        <v>9909</v>
      </c>
      <c r="I37" s="224">
        <f>SUMIF(AE!$B$1:$B$1009,B37,AE!$G$1:$G$1009)-SUMIF(AE!$B$1:$B$1009,B37,AE!$F$1:$F$1009)</f>
        <v>0</v>
      </c>
      <c r="J37" s="301">
        <f t="shared" si="4"/>
        <v>34869</v>
      </c>
      <c r="K37" s="58" t="str">
        <f t="shared" si="5"/>
        <v>268</v>
      </c>
      <c r="L37" s="58" t="str">
        <f t="shared" si="6"/>
        <v>26</v>
      </c>
      <c r="M37" s="268">
        <f t="shared" si="7"/>
        <v>3.5189221919467153</v>
      </c>
      <c r="N37" s="268">
        <f t="shared" si="8"/>
        <v>3.5189221919467153</v>
      </c>
      <c r="O37" s="140" t="s">
        <v>848</v>
      </c>
      <c r="P37">
        <f>VLOOKUP(B37,SAP!A:A,1,0)</f>
        <v>2681</v>
      </c>
    </row>
    <row r="38" spans="1:16">
      <c r="A38" s="276">
        <v>4010</v>
      </c>
      <c r="B38" s="266">
        <v>2685</v>
      </c>
      <c r="C38" s="276" t="s">
        <v>1162</v>
      </c>
      <c r="D38" s="223">
        <v>102575</v>
      </c>
      <c r="E38" s="223">
        <v>360962</v>
      </c>
      <c r="F38" s="267"/>
      <c r="G38" s="224"/>
      <c r="H38" s="301">
        <f t="shared" si="3"/>
        <v>102575</v>
      </c>
      <c r="I38" s="224">
        <f>SUMIF(AE!$B$1:$B$1009,B38,AE!$G$1:$G$1009)-SUMIF(AE!$B$1:$B$1009,B38,AE!$F$1:$F$1009)</f>
        <v>0</v>
      </c>
      <c r="J38" s="301">
        <f t="shared" si="4"/>
        <v>360962</v>
      </c>
      <c r="K38" s="58" t="str">
        <f t="shared" si="5"/>
        <v>268</v>
      </c>
      <c r="L38" s="58" t="str">
        <f t="shared" si="6"/>
        <v>26</v>
      </c>
      <c r="M38" s="268">
        <f t="shared" si="7"/>
        <v>3.519005605654399</v>
      </c>
      <c r="N38" s="268">
        <f t="shared" si="8"/>
        <v>3.519005605654399</v>
      </c>
      <c r="O38" s="140" t="s">
        <v>849</v>
      </c>
      <c r="P38">
        <f>VLOOKUP(B38,SAP!A:A,1,0)</f>
        <v>2685</v>
      </c>
    </row>
    <row r="39" spans="1:16">
      <c r="A39" s="276">
        <v>4011</v>
      </c>
      <c r="B39" s="266">
        <v>2685</v>
      </c>
      <c r="C39" s="276" t="s">
        <v>1163</v>
      </c>
      <c r="D39" s="223">
        <v>143502</v>
      </c>
      <c r="E39" s="223">
        <v>504985</v>
      </c>
      <c r="F39" s="267"/>
      <c r="G39" s="224"/>
      <c r="H39" s="301">
        <f t="shared" si="3"/>
        <v>143502</v>
      </c>
      <c r="I39" s="224">
        <f>SUMIF(AE!$B$1:$B$1009,B39,AE!$G$1:$G$1009)-SUMIF(AE!$B$1:$B$1009,B39,AE!$F$1:$F$1009)</f>
        <v>0</v>
      </c>
      <c r="J39" s="301">
        <f t="shared" si="4"/>
        <v>504985</v>
      </c>
      <c r="K39" s="58" t="str">
        <f t="shared" si="5"/>
        <v>268</v>
      </c>
      <c r="L39" s="58" t="str">
        <f t="shared" si="6"/>
        <v>26</v>
      </c>
      <c r="M39" s="268">
        <f t="shared" si="7"/>
        <v>3.5190101880113169</v>
      </c>
      <c r="N39" s="268">
        <f t="shared" si="8"/>
        <v>3.5190101880113169</v>
      </c>
      <c r="O39" s="140" t="s">
        <v>850</v>
      </c>
      <c r="P39">
        <f>VLOOKUP(B39,SAP!A:A,1,0)</f>
        <v>2685</v>
      </c>
    </row>
    <row r="40" spans="1:16">
      <c r="A40" s="276">
        <v>5100</v>
      </c>
      <c r="B40" s="266">
        <v>2685</v>
      </c>
      <c r="C40" s="276" t="s">
        <v>1164</v>
      </c>
      <c r="D40" s="223">
        <v>8742</v>
      </c>
      <c r="E40" s="223">
        <v>30763</v>
      </c>
      <c r="F40" s="267"/>
      <c r="G40" s="224"/>
      <c r="H40" s="301">
        <f t="shared" si="3"/>
        <v>8742</v>
      </c>
      <c r="I40" s="224">
        <f>SUMIF(AE!$B$1:$B$1009,B40,AE!$G$1:$G$1009)-SUMIF(AE!$B$1:$B$1009,B40,AE!$F$1:$F$1009)</f>
        <v>0</v>
      </c>
      <c r="J40" s="301">
        <f t="shared" si="4"/>
        <v>30763</v>
      </c>
      <c r="K40" s="58" t="str">
        <f t="shared" si="5"/>
        <v>268</v>
      </c>
      <c r="L40" s="58" t="str">
        <f t="shared" si="6"/>
        <v>26</v>
      </c>
      <c r="M40" s="268">
        <f t="shared" si="7"/>
        <v>3.5189887897506291</v>
      </c>
      <c r="N40" s="268">
        <f t="shared" si="8"/>
        <v>3.5189887897506291</v>
      </c>
      <c r="O40" s="140" t="s">
        <v>851</v>
      </c>
      <c r="P40">
        <f>VLOOKUP(B40,SAP!A:A,1,0)</f>
        <v>2685</v>
      </c>
    </row>
    <row r="41" spans="1:16">
      <c r="A41" s="276">
        <v>5101</v>
      </c>
      <c r="B41" s="266">
        <v>2685</v>
      </c>
      <c r="C41" s="276" t="s">
        <v>1165</v>
      </c>
      <c r="D41" s="223">
        <v>11061</v>
      </c>
      <c r="E41" s="223">
        <v>38924</v>
      </c>
      <c r="F41" s="267"/>
      <c r="G41" s="224"/>
      <c r="H41" s="301">
        <f t="shared" si="3"/>
        <v>11061</v>
      </c>
      <c r="I41" s="224">
        <f>SUMIF(AE!$B$1:$B$1009,B41,AE!$G$1:$G$1009)-SUMIF(AE!$B$1:$B$1009,B41,AE!$F$1:$F$1009)</f>
        <v>0</v>
      </c>
      <c r="J41" s="301">
        <f>ROUND(I41+E41,0)</f>
        <v>38924</v>
      </c>
      <c r="K41" s="58" t="str">
        <f t="shared" si="5"/>
        <v>268</v>
      </c>
      <c r="L41" s="58" t="str">
        <f t="shared" si="6"/>
        <v>26</v>
      </c>
      <c r="M41" s="268">
        <f t="shared" si="7"/>
        <v>3.5190308290389658</v>
      </c>
      <c r="N41" s="268">
        <f t="shared" si="8"/>
        <v>3.5190308290389658</v>
      </c>
      <c r="O41" s="140" t="s">
        <v>852</v>
      </c>
      <c r="P41">
        <f>VLOOKUP(B41,SAP!A:A,1,0)</f>
        <v>2685</v>
      </c>
    </row>
    <row r="42" spans="1:16">
      <c r="A42" s="276">
        <v>5103</v>
      </c>
      <c r="B42" s="266">
        <v>2685</v>
      </c>
      <c r="C42" s="276" t="s">
        <v>1166</v>
      </c>
      <c r="D42" s="223">
        <v>6337</v>
      </c>
      <c r="E42" s="223">
        <v>22301</v>
      </c>
      <c r="F42" s="267"/>
      <c r="G42" s="224"/>
      <c r="H42" s="301">
        <f t="shared" si="3"/>
        <v>6337</v>
      </c>
      <c r="I42" s="224">
        <f>SUMIF(AE!$B$1:$B$1009,B42,AE!$G$1:$G$1009)-SUMIF(AE!$B$1:$B$1009,B42,AE!$F$1:$F$1009)</f>
        <v>0</v>
      </c>
      <c r="J42" s="301">
        <f t="shared" si="4"/>
        <v>22301</v>
      </c>
      <c r="K42" s="58" t="str">
        <f t="shared" si="5"/>
        <v>268</v>
      </c>
      <c r="L42" s="58" t="str">
        <f t="shared" si="6"/>
        <v>26</v>
      </c>
      <c r="M42" s="268">
        <f t="shared" si="7"/>
        <v>3.5191731103045605</v>
      </c>
      <c r="N42" s="268">
        <f t="shared" si="8"/>
        <v>3.5191731103045605</v>
      </c>
      <c r="O42" s="140" t="s">
        <v>853</v>
      </c>
      <c r="P42">
        <f>VLOOKUP(B42,SAP!A:A,1,0)</f>
        <v>2685</v>
      </c>
    </row>
    <row r="43" spans="1:16">
      <c r="A43" s="276">
        <v>5105</v>
      </c>
      <c r="B43" s="266">
        <v>2685</v>
      </c>
      <c r="C43" s="276" t="s">
        <v>1167</v>
      </c>
      <c r="D43" s="223">
        <v>9190</v>
      </c>
      <c r="E43" s="223">
        <v>32340</v>
      </c>
      <c r="F43" s="267"/>
      <c r="G43" s="224"/>
      <c r="H43" s="301">
        <f t="shared" si="3"/>
        <v>9190</v>
      </c>
      <c r="I43" s="224">
        <f>SUMIF(AE!$B$1:$B$1009,B43,AE!$G$1:$G$1009)-SUMIF(AE!$B$1:$B$1009,B43,AE!$F$1:$F$1009)</f>
        <v>0</v>
      </c>
      <c r="J43" s="301">
        <f t="shared" si="4"/>
        <v>32340</v>
      </c>
      <c r="K43" s="58" t="str">
        <f t="shared" si="5"/>
        <v>268</v>
      </c>
      <c r="L43" s="58" t="str">
        <f t="shared" si="6"/>
        <v>26</v>
      </c>
      <c r="M43" s="268">
        <f t="shared" si="7"/>
        <v>3.5190424374319913</v>
      </c>
      <c r="N43" s="268">
        <f t="shared" si="8"/>
        <v>3.5190424374319913</v>
      </c>
      <c r="O43" s="140" t="s">
        <v>854</v>
      </c>
      <c r="P43">
        <f>VLOOKUP(B43,SAP!A:A,1,0)</f>
        <v>2685</v>
      </c>
    </row>
    <row r="44" spans="1:16">
      <c r="A44" s="276">
        <v>5108</v>
      </c>
      <c r="B44" s="266">
        <v>2685</v>
      </c>
      <c r="C44" s="276" t="s">
        <v>1168</v>
      </c>
      <c r="D44" s="223">
        <v>6718</v>
      </c>
      <c r="E44" s="223">
        <v>23642</v>
      </c>
      <c r="F44" s="267"/>
      <c r="G44" s="224"/>
      <c r="H44" s="301">
        <f t="shared" si="3"/>
        <v>6718</v>
      </c>
      <c r="I44" s="224">
        <f>SUMIF(AE!$B$1:$B$1009,B44,AE!$G$1:$G$1009)-SUMIF(AE!$B$1:$B$1009,B44,AE!$F$1:$F$1009)</f>
        <v>0</v>
      </c>
      <c r="J44" s="301">
        <f t="shared" si="4"/>
        <v>23642</v>
      </c>
      <c r="K44" s="58" t="str">
        <f t="shared" ref="K44:K107" si="9">LEFT(B44,3)</f>
        <v>268</v>
      </c>
      <c r="L44" s="58" t="str">
        <f t="shared" si="6"/>
        <v>26</v>
      </c>
      <c r="M44" s="268">
        <f t="shared" si="7"/>
        <v>3.5192021434950878</v>
      </c>
      <c r="N44" s="268">
        <f t="shared" si="8"/>
        <v>3.5192021434950878</v>
      </c>
      <c r="O44" s="140" t="s">
        <v>855</v>
      </c>
      <c r="P44">
        <f>VLOOKUP(B44,SAP!A:A,1,0)</f>
        <v>2685</v>
      </c>
    </row>
    <row r="45" spans="1:16">
      <c r="A45" s="276">
        <v>5109</v>
      </c>
      <c r="B45" s="266">
        <v>2685</v>
      </c>
      <c r="C45" s="276" t="s">
        <v>1169</v>
      </c>
      <c r="D45" s="223">
        <v>6687</v>
      </c>
      <c r="E45" s="223">
        <v>23531</v>
      </c>
      <c r="F45" s="267"/>
      <c r="G45" s="224"/>
      <c r="H45" s="301">
        <f t="shared" si="3"/>
        <v>6687</v>
      </c>
      <c r="I45" s="224">
        <f>SUMIF(AE!$B$1:$B$1009,B45,AE!$G$1:$G$1009)-SUMIF(AE!$B$1:$B$1009,B45,AE!$F$1:$F$1009)</f>
        <v>0</v>
      </c>
      <c r="J45" s="301">
        <f t="shared" si="4"/>
        <v>23531</v>
      </c>
      <c r="K45" s="58" t="str">
        <f t="shared" si="9"/>
        <v>268</v>
      </c>
      <c r="L45" s="58" t="str">
        <f t="shared" si="6"/>
        <v>26</v>
      </c>
      <c r="M45" s="268">
        <f t="shared" si="7"/>
        <v>3.5189173022282039</v>
      </c>
      <c r="N45" s="268">
        <f t="shared" si="8"/>
        <v>3.5189173022282039</v>
      </c>
      <c r="O45" s="140" t="s">
        <v>856</v>
      </c>
      <c r="P45">
        <f>VLOOKUP(B45,SAP!A:A,1,0)</f>
        <v>2685</v>
      </c>
    </row>
    <row r="46" spans="1:16">
      <c r="A46" s="276">
        <v>5111</v>
      </c>
      <c r="B46" s="266">
        <v>2685</v>
      </c>
      <c r="C46" s="276" t="s">
        <v>1170</v>
      </c>
      <c r="D46" s="223">
        <v>5675</v>
      </c>
      <c r="E46" s="223">
        <v>19969</v>
      </c>
      <c r="F46" s="267"/>
      <c r="G46" s="224"/>
      <c r="H46" s="301">
        <f t="shared" si="3"/>
        <v>5675</v>
      </c>
      <c r="I46" s="224">
        <f>SUMIF(AE!$B$1:$B$1009,B46,AE!$G$1:$G$1009)-SUMIF(AE!$B$1:$B$1009,B46,AE!$F$1:$F$1009)</f>
        <v>0</v>
      </c>
      <c r="J46" s="301">
        <f t="shared" si="4"/>
        <v>19969</v>
      </c>
      <c r="K46" s="58" t="str">
        <f t="shared" si="9"/>
        <v>268</v>
      </c>
      <c r="L46" s="58" t="str">
        <f t="shared" si="6"/>
        <v>26</v>
      </c>
      <c r="M46" s="268">
        <f t="shared" si="7"/>
        <v>3.5187665198237887</v>
      </c>
      <c r="N46" s="268">
        <f t="shared" si="8"/>
        <v>3.5187665198237887</v>
      </c>
      <c r="O46" s="140" t="s">
        <v>857</v>
      </c>
      <c r="P46">
        <f>VLOOKUP(B46,SAP!A:A,1,0)</f>
        <v>2685</v>
      </c>
    </row>
    <row r="47" spans="1:16">
      <c r="A47" s="276">
        <v>5112</v>
      </c>
      <c r="B47" s="266">
        <v>2685</v>
      </c>
      <c r="C47" s="276" t="s">
        <v>1171</v>
      </c>
      <c r="D47" s="223">
        <v>6985</v>
      </c>
      <c r="E47" s="223">
        <v>24581</v>
      </c>
      <c r="F47" s="267"/>
      <c r="G47" s="224"/>
      <c r="H47" s="301">
        <f t="shared" si="3"/>
        <v>6985</v>
      </c>
      <c r="I47" s="224">
        <f>SUMIF(AE!$B$1:$B$1009,B47,AE!$G$1:$G$1009)-SUMIF(AE!$B$1:$B$1009,B47,AE!$F$1:$F$1009)</f>
        <v>0</v>
      </c>
      <c r="J47" s="301">
        <f t="shared" si="4"/>
        <v>24581</v>
      </c>
      <c r="K47" s="58" t="str">
        <f t="shared" si="9"/>
        <v>268</v>
      </c>
      <c r="L47" s="58" t="str">
        <f t="shared" si="6"/>
        <v>26</v>
      </c>
      <c r="M47" s="268">
        <f t="shared" si="7"/>
        <v>3.519112383679313</v>
      </c>
      <c r="N47" s="268">
        <f t="shared" si="8"/>
        <v>3.519112383679313</v>
      </c>
      <c r="O47" s="140" t="s">
        <v>858</v>
      </c>
      <c r="P47">
        <f>VLOOKUP(B47,SAP!A:A,1,0)</f>
        <v>2685</v>
      </c>
    </row>
    <row r="48" spans="1:16">
      <c r="A48" s="276">
        <v>5113</v>
      </c>
      <c r="B48" s="266">
        <v>2685</v>
      </c>
      <c r="C48" s="276" t="s">
        <v>1172</v>
      </c>
      <c r="D48" s="223">
        <v>226</v>
      </c>
      <c r="E48" s="223">
        <v>796</v>
      </c>
      <c r="F48" s="267"/>
      <c r="G48" s="224"/>
      <c r="H48" s="301">
        <f t="shared" si="3"/>
        <v>226</v>
      </c>
      <c r="I48" s="224">
        <f>SUMIF(AE!$B$1:$B$1009,B48,AE!$G$1:$G$1009)-SUMIF(AE!$B$1:$B$1009,B48,AE!$F$1:$F$1009)</f>
        <v>0</v>
      </c>
      <c r="J48" s="301">
        <f t="shared" si="4"/>
        <v>796</v>
      </c>
      <c r="K48" s="58" t="str">
        <f t="shared" si="9"/>
        <v>268</v>
      </c>
      <c r="L48" s="58" t="str">
        <f t="shared" si="6"/>
        <v>26</v>
      </c>
      <c r="M48" s="268">
        <f t="shared" si="7"/>
        <v>3.5221238938053099</v>
      </c>
      <c r="N48" s="268">
        <f t="shared" si="8"/>
        <v>3.5221238938053099</v>
      </c>
      <c r="O48" s="140" t="s">
        <v>859</v>
      </c>
      <c r="P48">
        <f>VLOOKUP(B48,SAP!A:A,1,0)</f>
        <v>2685</v>
      </c>
    </row>
    <row r="49" spans="1:16">
      <c r="A49" s="276">
        <v>5118</v>
      </c>
      <c r="B49" s="266">
        <v>2685</v>
      </c>
      <c r="C49" s="276" t="s">
        <v>1173</v>
      </c>
      <c r="D49" s="223">
        <v>6972</v>
      </c>
      <c r="E49" s="223">
        <v>24535</v>
      </c>
      <c r="F49" s="267"/>
      <c r="G49" s="224"/>
      <c r="H49" s="301">
        <f t="shared" si="3"/>
        <v>6972</v>
      </c>
      <c r="I49" s="224">
        <f>SUMIF(AE!$B$1:$B$1009,B49,AE!$G$1:$G$1009)-SUMIF(AE!$B$1:$B$1009,B49,AE!$F$1:$F$1009)</f>
        <v>0</v>
      </c>
      <c r="J49" s="301">
        <f t="shared" si="4"/>
        <v>24535</v>
      </c>
      <c r="K49" s="58" t="str">
        <f t="shared" si="9"/>
        <v>268</v>
      </c>
      <c r="L49" s="58" t="str">
        <f t="shared" si="6"/>
        <v>26</v>
      </c>
      <c r="M49" s="268">
        <f t="shared" si="7"/>
        <v>3.5190763052208833</v>
      </c>
      <c r="N49" s="268">
        <f t="shared" si="8"/>
        <v>3.5190763052208833</v>
      </c>
      <c r="O49" s="140" t="s">
        <v>860</v>
      </c>
      <c r="P49">
        <f>VLOOKUP(B49,SAP!A:A,1,0)</f>
        <v>2685</v>
      </c>
    </row>
    <row r="50" spans="1:16">
      <c r="A50" s="276">
        <v>5119</v>
      </c>
      <c r="B50" s="266">
        <v>2685</v>
      </c>
      <c r="C50" s="276" t="s">
        <v>1174</v>
      </c>
      <c r="D50" s="223">
        <v>7006</v>
      </c>
      <c r="E50" s="223">
        <v>24654</v>
      </c>
      <c r="F50" s="267"/>
      <c r="G50" s="224"/>
      <c r="H50" s="301">
        <f t="shared" si="3"/>
        <v>7006</v>
      </c>
      <c r="I50" s="224">
        <f>SUMIF(AE!$B$1:$B$1009,B50,AE!$G$1:$G$1009)-SUMIF(AE!$B$1:$B$1009,B50,AE!$F$1:$F$1009)</f>
        <v>0</v>
      </c>
      <c r="J50" s="301">
        <f t="shared" si="4"/>
        <v>24654</v>
      </c>
      <c r="K50" s="58" t="str">
        <f t="shared" si="9"/>
        <v>268</v>
      </c>
      <c r="L50" s="58" t="str">
        <f t="shared" si="6"/>
        <v>26</v>
      </c>
      <c r="M50" s="268">
        <f t="shared" si="7"/>
        <v>3.5189837282329433</v>
      </c>
      <c r="N50" s="268">
        <f t="shared" si="8"/>
        <v>3.5189837282329433</v>
      </c>
      <c r="O50" s="140" t="s">
        <v>861</v>
      </c>
      <c r="P50">
        <f>VLOOKUP(B50,SAP!A:A,1,0)</f>
        <v>2685</v>
      </c>
    </row>
    <row r="51" spans="1:16">
      <c r="A51" s="276">
        <v>5120</v>
      </c>
      <c r="B51" s="266">
        <v>2685</v>
      </c>
      <c r="C51" s="276" t="s">
        <v>1175</v>
      </c>
      <c r="D51" s="223">
        <v>5789</v>
      </c>
      <c r="E51" s="223">
        <v>20371</v>
      </c>
      <c r="F51" s="267"/>
      <c r="G51" s="224"/>
      <c r="H51" s="301">
        <f t="shared" si="3"/>
        <v>5789</v>
      </c>
      <c r="I51" s="224">
        <f>SUMIF(AE!$B$1:$B$1009,B51,AE!$G$1:$G$1009)-SUMIF(AE!$B$1:$B$1009,B51,AE!$F$1:$F$1009)</f>
        <v>0</v>
      </c>
      <c r="J51" s="301">
        <f t="shared" si="4"/>
        <v>20371</v>
      </c>
      <c r="K51" s="58" t="str">
        <f t="shared" si="9"/>
        <v>268</v>
      </c>
      <c r="L51" s="58" t="str">
        <f t="shared" si="6"/>
        <v>26</v>
      </c>
      <c r="M51" s="268">
        <f t="shared" si="7"/>
        <v>3.5189151839695976</v>
      </c>
      <c r="N51" s="268">
        <f t="shared" si="8"/>
        <v>3.5189151839695976</v>
      </c>
      <c r="O51" s="140" t="s">
        <v>862</v>
      </c>
      <c r="P51">
        <f>VLOOKUP(B51,SAP!A:A,1,0)</f>
        <v>2685</v>
      </c>
    </row>
    <row r="52" spans="1:16">
      <c r="A52" s="276">
        <v>5121</v>
      </c>
      <c r="B52" s="266">
        <v>2685</v>
      </c>
      <c r="C52" s="276" t="s">
        <v>1176</v>
      </c>
      <c r="D52" s="223">
        <v>6124</v>
      </c>
      <c r="E52" s="223">
        <v>21552</v>
      </c>
      <c r="F52" s="267"/>
      <c r="G52" s="224"/>
      <c r="H52" s="301">
        <f t="shared" si="3"/>
        <v>6124</v>
      </c>
      <c r="I52" s="224">
        <f>SUMIF(AE!$B$1:$B$1009,B52,AE!$G$1:$G$1009)-SUMIF(AE!$B$1:$B$1009,B52,AE!$F$1:$F$1009)</f>
        <v>0</v>
      </c>
      <c r="J52" s="301">
        <f t="shared" si="4"/>
        <v>21552</v>
      </c>
      <c r="K52" s="58" t="str">
        <f t="shared" si="9"/>
        <v>268</v>
      </c>
      <c r="L52" s="58" t="str">
        <f t="shared" si="6"/>
        <v>26</v>
      </c>
      <c r="M52" s="268">
        <f t="shared" si="7"/>
        <v>3.5192684519921622</v>
      </c>
      <c r="N52" s="268">
        <f t="shared" si="8"/>
        <v>3.5192684519921622</v>
      </c>
      <c r="O52" s="140" t="s">
        <v>863</v>
      </c>
      <c r="P52">
        <f>VLOOKUP(B52,SAP!A:A,1,0)</f>
        <v>2685</v>
      </c>
    </row>
    <row r="53" spans="1:16">
      <c r="A53" s="276">
        <v>5122</v>
      </c>
      <c r="B53" s="266">
        <v>2685</v>
      </c>
      <c r="C53" s="276" t="s">
        <v>1177</v>
      </c>
      <c r="D53" s="223">
        <v>4500</v>
      </c>
      <c r="E53" s="223">
        <v>15835</v>
      </c>
      <c r="F53" s="267"/>
      <c r="G53" s="224"/>
      <c r="H53" s="301">
        <f t="shared" si="3"/>
        <v>4500</v>
      </c>
      <c r="I53" s="224">
        <f>SUMIF(AE!$B$1:$B$1009,B53,AE!$G$1:$G$1009)-SUMIF(AE!$B$1:$B$1009,B53,AE!$F$1:$F$1009)</f>
        <v>0</v>
      </c>
      <c r="J53" s="301">
        <f t="shared" si="4"/>
        <v>15835</v>
      </c>
      <c r="K53" s="58" t="str">
        <f t="shared" si="9"/>
        <v>268</v>
      </c>
      <c r="L53" s="58" t="str">
        <f t="shared" si="6"/>
        <v>26</v>
      </c>
      <c r="M53" s="268">
        <f t="shared" si="7"/>
        <v>3.5188888888888887</v>
      </c>
      <c r="N53" s="268">
        <f t="shared" si="8"/>
        <v>3.5188888888888887</v>
      </c>
      <c r="O53" s="140" t="s">
        <v>864</v>
      </c>
      <c r="P53">
        <f>VLOOKUP(B53,SAP!A:A,1,0)</f>
        <v>2685</v>
      </c>
    </row>
    <row r="54" spans="1:16">
      <c r="A54" s="276">
        <v>5124</v>
      </c>
      <c r="B54" s="266">
        <v>2685</v>
      </c>
      <c r="C54" s="276" t="s">
        <v>1178</v>
      </c>
      <c r="D54" s="223">
        <v>7097</v>
      </c>
      <c r="E54" s="223">
        <v>24975</v>
      </c>
      <c r="F54" s="267"/>
      <c r="G54" s="224"/>
      <c r="H54" s="301">
        <f t="shared" si="3"/>
        <v>7097</v>
      </c>
      <c r="I54" s="224">
        <f>SUMIF(AE!$B$1:$B$1009,B54,AE!$G$1:$G$1009)-SUMIF(AE!$B$1:$B$1009,B54,AE!$F$1:$F$1009)</f>
        <v>0</v>
      </c>
      <c r="J54" s="301">
        <f t="shared" si="4"/>
        <v>24975</v>
      </c>
      <c r="K54" s="58" t="str">
        <f t="shared" si="9"/>
        <v>268</v>
      </c>
      <c r="L54" s="58" t="str">
        <f t="shared" si="6"/>
        <v>26</v>
      </c>
      <c r="M54" s="268">
        <f t="shared" si="7"/>
        <v>3.5190925743271806</v>
      </c>
      <c r="N54" s="268">
        <f t="shared" si="8"/>
        <v>3.5190925743271806</v>
      </c>
      <c r="O54" s="140" t="s">
        <v>865</v>
      </c>
      <c r="P54">
        <f>VLOOKUP(B54,SAP!A:A,1,0)</f>
        <v>2685</v>
      </c>
    </row>
    <row r="55" spans="1:16">
      <c r="A55" s="276">
        <v>5126</v>
      </c>
      <c r="B55" s="266">
        <v>2685</v>
      </c>
      <c r="C55" s="276" t="s">
        <v>1179</v>
      </c>
      <c r="D55" s="223">
        <v>2577</v>
      </c>
      <c r="E55" s="223">
        <v>9070</v>
      </c>
      <c r="F55" s="267"/>
      <c r="G55" s="224"/>
      <c r="H55" s="301">
        <f t="shared" si="3"/>
        <v>2577</v>
      </c>
      <c r="I55" s="224">
        <f>SUMIF(AE!$B$1:$B$1009,B55,AE!$G$1:$G$1009)-SUMIF(AE!$B$1:$B$1009,B55,AE!$F$1:$F$1009)</f>
        <v>0</v>
      </c>
      <c r="J55" s="301">
        <f t="shared" si="4"/>
        <v>9070</v>
      </c>
      <c r="K55" s="58" t="str">
        <f t="shared" si="9"/>
        <v>268</v>
      </c>
      <c r="L55" s="58" t="str">
        <f t="shared" si="6"/>
        <v>26</v>
      </c>
      <c r="M55" s="268">
        <f t="shared" si="7"/>
        <v>3.5195964299573146</v>
      </c>
      <c r="N55" s="268">
        <f t="shared" si="8"/>
        <v>3.5195964299573146</v>
      </c>
      <c r="O55" s="140" t="s">
        <v>866</v>
      </c>
      <c r="P55">
        <f>VLOOKUP(B55,SAP!A:A,1,0)</f>
        <v>2685</v>
      </c>
    </row>
    <row r="56" spans="1:16">
      <c r="A56" s="276">
        <v>5127</v>
      </c>
      <c r="B56" s="266">
        <v>2685</v>
      </c>
      <c r="C56" s="276" t="s">
        <v>1180</v>
      </c>
      <c r="D56" s="223">
        <v>5490</v>
      </c>
      <c r="E56" s="223">
        <v>19319</v>
      </c>
      <c r="F56" s="267"/>
      <c r="G56" s="224"/>
      <c r="H56" s="301">
        <f t="shared" si="3"/>
        <v>5490</v>
      </c>
      <c r="I56" s="224">
        <f>SUMIF(AE!$B$1:$B$1009,B56,AE!$G$1:$G$1009)-SUMIF(AE!$B$1:$B$1009,B56,AE!$F$1:$F$1009)</f>
        <v>0</v>
      </c>
      <c r="J56" s="301">
        <f t="shared" si="4"/>
        <v>19319</v>
      </c>
      <c r="K56" s="58" t="str">
        <f t="shared" si="9"/>
        <v>268</v>
      </c>
      <c r="L56" s="58" t="str">
        <f t="shared" si="6"/>
        <v>26</v>
      </c>
      <c r="M56" s="268">
        <f t="shared" si="7"/>
        <v>3.518943533697632</v>
      </c>
      <c r="N56" s="268">
        <f t="shared" si="8"/>
        <v>3.518943533697632</v>
      </c>
      <c r="O56" s="140" t="s">
        <v>867</v>
      </c>
      <c r="P56">
        <f>VLOOKUP(B56,SAP!A:A,1,0)</f>
        <v>2685</v>
      </c>
    </row>
    <row r="57" spans="1:16">
      <c r="A57" s="276">
        <v>5128</v>
      </c>
      <c r="B57" s="266">
        <v>2685</v>
      </c>
      <c r="C57" s="276" t="s">
        <v>1181</v>
      </c>
      <c r="D57" s="223">
        <v>4762</v>
      </c>
      <c r="E57" s="223">
        <v>16756</v>
      </c>
      <c r="F57" s="267"/>
      <c r="G57" s="224"/>
      <c r="H57" s="301">
        <f t="shared" si="3"/>
        <v>4762</v>
      </c>
      <c r="I57" s="224">
        <f>SUMIF(AE!$B$1:$B$1009,B57,AE!$G$1:$G$1009)-SUMIF(AE!$B$1:$B$1009,B57,AE!$F$1:$F$1009)</f>
        <v>0</v>
      </c>
      <c r="J57" s="301">
        <f t="shared" si="4"/>
        <v>16756</v>
      </c>
      <c r="K57" s="58" t="str">
        <f t="shared" si="9"/>
        <v>268</v>
      </c>
      <c r="L57" s="58" t="str">
        <f t="shared" si="6"/>
        <v>26</v>
      </c>
      <c r="M57" s="268">
        <f t="shared" si="7"/>
        <v>3.5186896262074758</v>
      </c>
      <c r="N57" s="268">
        <f t="shared" si="8"/>
        <v>3.5186896262074758</v>
      </c>
      <c r="O57" s="140" t="s">
        <v>868</v>
      </c>
      <c r="P57">
        <f>VLOOKUP(B57,SAP!A:A,1,0)</f>
        <v>2685</v>
      </c>
    </row>
    <row r="58" spans="1:16">
      <c r="A58" s="276">
        <v>5129</v>
      </c>
      <c r="B58" s="266">
        <v>2685</v>
      </c>
      <c r="C58" s="276" t="s">
        <v>1182</v>
      </c>
      <c r="D58" s="223">
        <v>7640</v>
      </c>
      <c r="E58" s="223">
        <v>26887</v>
      </c>
      <c r="F58" s="267"/>
      <c r="G58" s="224"/>
      <c r="H58" s="301">
        <f t="shared" si="3"/>
        <v>7640</v>
      </c>
      <c r="I58" s="224">
        <f>SUMIF(AE!$B$1:$B$1009,B58,AE!$G$1:$G$1009)-SUMIF(AE!$B$1:$B$1009,B58,AE!$F$1:$F$1009)</f>
        <v>0</v>
      </c>
      <c r="J58" s="301">
        <f t="shared" si="4"/>
        <v>26887</v>
      </c>
      <c r="K58" s="58" t="str">
        <f t="shared" si="9"/>
        <v>268</v>
      </c>
      <c r="L58" s="58" t="str">
        <f t="shared" si="6"/>
        <v>26</v>
      </c>
      <c r="M58" s="268">
        <f t="shared" si="7"/>
        <v>3.5192408376963349</v>
      </c>
      <c r="N58" s="268">
        <f t="shared" si="8"/>
        <v>3.5192408376963349</v>
      </c>
      <c r="O58" s="140" t="s">
        <v>869</v>
      </c>
      <c r="P58">
        <f>VLOOKUP(B58,SAP!A:A,1,0)</f>
        <v>2685</v>
      </c>
    </row>
    <row r="59" spans="1:16">
      <c r="A59" s="276">
        <v>5131</v>
      </c>
      <c r="B59" s="266">
        <v>2685</v>
      </c>
      <c r="C59" s="276" t="s">
        <v>1183</v>
      </c>
      <c r="D59" s="223">
        <v>7406</v>
      </c>
      <c r="E59" s="223">
        <v>26060</v>
      </c>
      <c r="F59" s="267"/>
      <c r="G59" s="224"/>
      <c r="H59" s="301">
        <f t="shared" si="3"/>
        <v>7406</v>
      </c>
      <c r="I59" s="224">
        <f>SUMIF(AE!$B$1:$B$1009,B59,AE!$G$1:$G$1009)-SUMIF(AE!$B$1:$B$1009,B59,AE!$F$1:$F$1009)</f>
        <v>0</v>
      </c>
      <c r="J59" s="301">
        <f t="shared" si="4"/>
        <v>26060</v>
      </c>
      <c r="K59" s="58" t="str">
        <f t="shared" si="9"/>
        <v>268</v>
      </c>
      <c r="L59" s="58" t="str">
        <f t="shared" si="6"/>
        <v>26</v>
      </c>
      <c r="M59" s="268">
        <f t="shared" si="7"/>
        <v>3.5187685660275454</v>
      </c>
      <c r="N59" s="268">
        <f t="shared" si="8"/>
        <v>3.5187685660275454</v>
      </c>
      <c r="O59" s="140" t="s">
        <v>870</v>
      </c>
      <c r="P59">
        <f>VLOOKUP(B59,SAP!A:A,1,0)</f>
        <v>2685</v>
      </c>
    </row>
    <row r="60" spans="1:16">
      <c r="A60" s="276">
        <v>5132</v>
      </c>
      <c r="B60" s="266">
        <v>2685</v>
      </c>
      <c r="C60" s="276" t="s">
        <v>1184</v>
      </c>
      <c r="D60" s="223">
        <v>4880</v>
      </c>
      <c r="E60" s="223">
        <v>17172</v>
      </c>
      <c r="F60" s="267"/>
      <c r="G60" s="224"/>
      <c r="H60" s="301">
        <f t="shared" si="3"/>
        <v>4880</v>
      </c>
      <c r="I60" s="224">
        <f>SUMIF(AE!$B$1:$B$1009,B60,AE!$G$1:$G$1009)-SUMIF(AE!$B$1:$B$1009,B60,AE!$F$1:$F$1009)</f>
        <v>0</v>
      </c>
      <c r="J60" s="301">
        <f t="shared" si="4"/>
        <v>17172</v>
      </c>
      <c r="K60" s="58" t="str">
        <f t="shared" si="9"/>
        <v>268</v>
      </c>
      <c r="L60" s="58" t="str">
        <f t="shared" si="6"/>
        <v>26</v>
      </c>
      <c r="M60" s="268">
        <f t="shared" si="7"/>
        <v>3.5188524590163937</v>
      </c>
      <c r="N60" s="268">
        <f t="shared" si="8"/>
        <v>3.5188524590163937</v>
      </c>
      <c r="O60" s="140" t="s">
        <v>871</v>
      </c>
      <c r="P60">
        <f>VLOOKUP(B60,SAP!A:A,1,0)</f>
        <v>2685</v>
      </c>
    </row>
    <row r="61" spans="1:16">
      <c r="A61" s="276">
        <v>5133</v>
      </c>
      <c r="B61" s="266">
        <v>2685</v>
      </c>
      <c r="C61" s="276" t="s">
        <v>1185</v>
      </c>
      <c r="D61" s="223">
        <v>3635</v>
      </c>
      <c r="E61" s="223">
        <v>12791</v>
      </c>
      <c r="F61" s="267"/>
      <c r="G61" s="224"/>
      <c r="H61" s="301">
        <f t="shared" si="3"/>
        <v>3635</v>
      </c>
      <c r="I61" s="224">
        <f>SUMIF(AE!$B$1:$B$1009,B61,AE!$G$1:$G$1009)-SUMIF(AE!$B$1:$B$1009,B61,AE!$F$1:$F$1009)</f>
        <v>0</v>
      </c>
      <c r="J61" s="301">
        <f t="shared" si="4"/>
        <v>12791</v>
      </c>
      <c r="K61" s="58" t="str">
        <f t="shared" si="9"/>
        <v>268</v>
      </c>
      <c r="L61" s="58" t="str">
        <f t="shared" si="6"/>
        <v>26</v>
      </c>
      <c r="M61" s="268">
        <f t="shared" si="7"/>
        <v>3.518844566712517</v>
      </c>
      <c r="N61" s="268">
        <f t="shared" si="8"/>
        <v>3.518844566712517</v>
      </c>
      <c r="O61" s="140" t="s">
        <v>872</v>
      </c>
      <c r="P61">
        <f>VLOOKUP(B61,SAP!A:A,1,0)</f>
        <v>2685</v>
      </c>
    </row>
    <row r="62" spans="1:16">
      <c r="A62" s="276">
        <v>5134</v>
      </c>
      <c r="B62" s="266">
        <v>2685</v>
      </c>
      <c r="C62" s="276" t="s">
        <v>1186</v>
      </c>
      <c r="D62" s="223">
        <v>3</v>
      </c>
      <c r="E62" s="223">
        <v>10</v>
      </c>
      <c r="F62" s="267"/>
      <c r="G62" s="224"/>
      <c r="H62" s="301">
        <f t="shared" si="3"/>
        <v>3</v>
      </c>
      <c r="I62" s="224">
        <f>SUMIF(AE!$B$1:$B$1009,B62,AE!$G$1:$G$1009)-SUMIF(AE!$B$1:$B$1009,B62,AE!$F$1:$F$1009)</f>
        <v>0</v>
      </c>
      <c r="J62" s="301">
        <f t="shared" si="4"/>
        <v>10</v>
      </c>
      <c r="K62" s="58" t="str">
        <f t="shared" si="9"/>
        <v>268</v>
      </c>
      <c r="L62" s="58" t="str">
        <f t="shared" si="6"/>
        <v>26</v>
      </c>
      <c r="M62" s="268">
        <f t="shared" si="7"/>
        <v>3.3333333333333335</v>
      </c>
      <c r="N62" s="268">
        <f t="shared" si="8"/>
        <v>3.3333333333333335</v>
      </c>
      <c r="O62" s="140" t="s">
        <v>873</v>
      </c>
      <c r="P62">
        <f>VLOOKUP(B62,SAP!A:A,1,0)</f>
        <v>2685</v>
      </c>
    </row>
    <row r="63" spans="1:16">
      <c r="A63" s="276">
        <v>5135</v>
      </c>
      <c r="B63" s="266">
        <v>2685</v>
      </c>
      <c r="C63" s="276" t="s">
        <v>1187</v>
      </c>
      <c r="D63" s="223">
        <v>6668</v>
      </c>
      <c r="E63" s="223">
        <v>23466</v>
      </c>
      <c r="F63" s="267"/>
      <c r="G63" s="224"/>
      <c r="H63" s="301">
        <f t="shared" si="3"/>
        <v>6668</v>
      </c>
      <c r="I63" s="224">
        <f>SUMIF(AE!$B$1:$B$1009,B63,AE!$G$1:$G$1009)-SUMIF(AE!$B$1:$B$1009,B63,AE!$F$1:$F$1009)</f>
        <v>0</v>
      </c>
      <c r="J63" s="301">
        <f t="shared" si="4"/>
        <v>23466</v>
      </c>
      <c r="K63" s="58" t="str">
        <f t="shared" si="9"/>
        <v>268</v>
      </c>
      <c r="L63" s="58" t="str">
        <f t="shared" si="6"/>
        <v>26</v>
      </c>
      <c r="M63" s="268">
        <f t="shared" si="7"/>
        <v>3.5191961607678466</v>
      </c>
      <c r="N63" s="268">
        <f t="shared" si="8"/>
        <v>3.5191961607678466</v>
      </c>
      <c r="O63" s="140" t="s">
        <v>874</v>
      </c>
      <c r="P63">
        <f>VLOOKUP(B63,SAP!A:A,1,0)</f>
        <v>2685</v>
      </c>
    </row>
    <row r="64" spans="1:16">
      <c r="A64" s="276">
        <v>5136</v>
      </c>
      <c r="B64" s="266">
        <v>2685</v>
      </c>
      <c r="C64" s="276" t="s">
        <v>1188</v>
      </c>
      <c r="D64" s="223">
        <v>6911</v>
      </c>
      <c r="E64" s="223">
        <v>24320</v>
      </c>
      <c r="F64" s="267"/>
      <c r="G64" s="224"/>
      <c r="H64" s="301">
        <f t="shared" si="3"/>
        <v>6911</v>
      </c>
      <c r="I64" s="224">
        <f>SUMIF(AE!$B$1:$B$1009,B64,AE!$G$1:$G$1009)-SUMIF(AE!$B$1:$B$1009,B64,AE!$F$1:$F$1009)</f>
        <v>0</v>
      </c>
      <c r="J64" s="301">
        <f t="shared" si="4"/>
        <v>24320</v>
      </c>
      <c r="K64" s="58" t="str">
        <f t="shared" si="9"/>
        <v>268</v>
      </c>
      <c r="L64" s="58" t="str">
        <f t="shared" si="6"/>
        <v>26</v>
      </c>
      <c r="M64" s="268">
        <f t="shared" si="7"/>
        <v>3.5190276371002751</v>
      </c>
      <c r="N64" s="268">
        <f t="shared" si="8"/>
        <v>3.5190276371002751</v>
      </c>
      <c r="O64" s="140" t="s">
        <v>875</v>
      </c>
      <c r="P64">
        <f>VLOOKUP(B64,SAP!A:A,1,0)</f>
        <v>2685</v>
      </c>
    </row>
    <row r="65" spans="1:16">
      <c r="A65" s="276">
        <v>5137</v>
      </c>
      <c r="B65" s="266">
        <v>2685</v>
      </c>
      <c r="C65" s="276" t="s">
        <v>1189</v>
      </c>
      <c r="D65" s="223">
        <v>6507</v>
      </c>
      <c r="E65" s="223">
        <v>22897</v>
      </c>
      <c r="F65" s="267"/>
      <c r="G65" s="224"/>
      <c r="H65" s="301">
        <f t="shared" si="3"/>
        <v>6507</v>
      </c>
      <c r="I65" s="224">
        <f>SUMIF(AE!$B$1:$B$1009,B65,AE!$G$1:$G$1009)-SUMIF(AE!$B$1:$B$1009,B65,AE!$F$1:$F$1009)</f>
        <v>0</v>
      </c>
      <c r="J65" s="301">
        <f t="shared" si="4"/>
        <v>22897</v>
      </c>
      <c r="K65" s="58" t="str">
        <f t="shared" si="9"/>
        <v>268</v>
      </c>
      <c r="L65" s="58" t="str">
        <f t="shared" si="6"/>
        <v>26</v>
      </c>
      <c r="M65" s="268">
        <f t="shared" si="7"/>
        <v>3.5188258798217302</v>
      </c>
      <c r="N65" s="268">
        <f t="shared" si="8"/>
        <v>3.5188258798217302</v>
      </c>
      <c r="O65" s="140" t="s">
        <v>876</v>
      </c>
      <c r="P65">
        <f>VLOOKUP(B65,SAP!A:A,1,0)</f>
        <v>2685</v>
      </c>
    </row>
    <row r="66" spans="1:16">
      <c r="A66" s="276">
        <v>5139</v>
      </c>
      <c r="B66" s="266">
        <v>2685</v>
      </c>
      <c r="C66" s="276" t="s">
        <v>1190</v>
      </c>
      <c r="D66" s="223">
        <v>6395</v>
      </c>
      <c r="E66" s="223">
        <v>22503</v>
      </c>
      <c r="F66" s="267"/>
      <c r="G66" s="224"/>
      <c r="H66" s="301">
        <f t="shared" si="3"/>
        <v>6395</v>
      </c>
      <c r="I66" s="224">
        <f>SUMIF(AE!$B$1:$B$1009,B66,AE!$G$1:$G$1009)-SUMIF(AE!$B$1:$B$1009,B66,AE!$F$1:$F$1009)</f>
        <v>0</v>
      </c>
      <c r="J66" s="301">
        <f t="shared" si="4"/>
        <v>22503</v>
      </c>
      <c r="K66" s="58" t="str">
        <f t="shared" si="9"/>
        <v>268</v>
      </c>
      <c r="L66" s="58" t="str">
        <f t="shared" si="6"/>
        <v>26</v>
      </c>
      <c r="M66" s="268">
        <f t="shared" si="7"/>
        <v>3.5188428459734169</v>
      </c>
      <c r="N66" s="268">
        <f t="shared" si="8"/>
        <v>3.5188428459734169</v>
      </c>
      <c r="O66" s="140" t="s">
        <v>877</v>
      </c>
      <c r="P66">
        <f>VLOOKUP(B66,SAP!A:A,1,0)</f>
        <v>2685</v>
      </c>
    </row>
    <row r="67" spans="1:16">
      <c r="A67" s="276">
        <v>5140</v>
      </c>
      <c r="B67" s="266">
        <v>2685</v>
      </c>
      <c r="C67" s="276" t="s">
        <v>1191</v>
      </c>
      <c r="D67" s="223">
        <v>6187</v>
      </c>
      <c r="E67" s="223">
        <v>21772</v>
      </c>
      <c r="F67" s="267"/>
      <c r="G67" s="224"/>
      <c r="H67" s="301">
        <f t="shared" ref="H67:H130" si="10">ROUND(G67+D67+F67,0)</f>
        <v>6187</v>
      </c>
      <c r="I67" s="224">
        <f>SUMIF(AE!$B$1:$B$1009,B67,AE!$G$1:$G$1009)-SUMIF(AE!$B$1:$B$1009,B67,AE!$F$1:$F$1009)</f>
        <v>0</v>
      </c>
      <c r="J67" s="301">
        <f t="shared" ref="J67:J130" si="11">ROUND(I67+E67,0)</f>
        <v>21772</v>
      </c>
      <c r="K67" s="58" t="str">
        <f t="shared" si="9"/>
        <v>268</v>
      </c>
      <c r="L67" s="58" t="str">
        <f t="shared" ref="L67:L130" si="12">LEFT(B67,2)</f>
        <v>26</v>
      </c>
      <c r="M67" s="268">
        <f t="shared" ref="M67:M130" si="13">+E67/D67</f>
        <v>3.518991433651204</v>
      </c>
      <c r="N67" s="268">
        <f t="shared" ref="N67:N130" si="14">+J67/H67</f>
        <v>3.518991433651204</v>
      </c>
      <c r="O67" s="140" t="s">
        <v>878</v>
      </c>
      <c r="P67">
        <f>VLOOKUP(B67,SAP!A:A,1,0)</f>
        <v>2685</v>
      </c>
    </row>
    <row r="68" spans="1:16">
      <c r="A68" s="276">
        <v>5141</v>
      </c>
      <c r="B68" s="266">
        <v>2685</v>
      </c>
      <c r="C68" s="276" t="s">
        <v>1192</v>
      </c>
      <c r="D68" s="223">
        <v>5389</v>
      </c>
      <c r="E68" s="223">
        <v>18963</v>
      </c>
      <c r="F68" s="267"/>
      <c r="G68" s="224"/>
      <c r="H68" s="301">
        <f t="shared" si="10"/>
        <v>5389</v>
      </c>
      <c r="I68" s="224">
        <f>SUMIF(AE!$B$1:$B$1009,B68,AE!$G$1:$G$1009)-SUMIF(AE!$B$1:$B$1009,B68,AE!$F$1:$F$1009)</f>
        <v>0</v>
      </c>
      <c r="J68" s="301">
        <f t="shared" si="11"/>
        <v>18963</v>
      </c>
      <c r="K68" s="58" t="str">
        <f t="shared" si="9"/>
        <v>268</v>
      </c>
      <c r="L68" s="58" t="str">
        <f t="shared" si="12"/>
        <v>26</v>
      </c>
      <c r="M68" s="268">
        <f t="shared" si="13"/>
        <v>3.5188346632028207</v>
      </c>
      <c r="N68" s="268">
        <f t="shared" si="14"/>
        <v>3.5188346632028207</v>
      </c>
      <c r="O68" s="140" t="s">
        <v>879</v>
      </c>
      <c r="P68">
        <f>VLOOKUP(B68,SAP!A:A,1,0)</f>
        <v>2685</v>
      </c>
    </row>
    <row r="69" spans="1:16">
      <c r="A69" s="276">
        <v>5142</v>
      </c>
      <c r="B69" s="266">
        <v>2685</v>
      </c>
      <c r="C69" s="276" t="s">
        <v>1193</v>
      </c>
      <c r="D69" s="223">
        <v>5106</v>
      </c>
      <c r="E69" s="223">
        <v>17968</v>
      </c>
      <c r="F69" s="267"/>
      <c r="G69" s="224"/>
      <c r="H69" s="301">
        <f t="shared" si="10"/>
        <v>5106</v>
      </c>
      <c r="I69" s="224">
        <f>SUMIF(AE!$B$1:$B$1009,B69,AE!$G$1:$G$1009)-SUMIF(AE!$B$1:$B$1009,B69,AE!$F$1:$F$1009)</f>
        <v>0</v>
      </c>
      <c r="J69" s="301">
        <f t="shared" si="11"/>
        <v>17968</v>
      </c>
      <c r="K69" s="58" t="str">
        <f t="shared" si="9"/>
        <v>268</v>
      </c>
      <c r="L69" s="58" t="str">
        <f t="shared" si="12"/>
        <v>26</v>
      </c>
      <c r="M69" s="268">
        <f t="shared" si="13"/>
        <v>3.5189972581276927</v>
      </c>
      <c r="N69" s="268">
        <f t="shared" si="14"/>
        <v>3.5189972581276927</v>
      </c>
      <c r="O69" s="140" t="s">
        <v>880</v>
      </c>
      <c r="P69">
        <f>VLOOKUP(B69,SAP!A:A,1,0)</f>
        <v>2685</v>
      </c>
    </row>
    <row r="70" spans="1:16">
      <c r="A70" s="276">
        <v>5144</v>
      </c>
      <c r="B70" s="266">
        <v>2685</v>
      </c>
      <c r="C70" s="276" t="s">
        <v>1194</v>
      </c>
      <c r="D70" s="223">
        <v>4882</v>
      </c>
      <c r="E70" s="223">
        <v>17180</v>
      </c>
      <c r="F70" s="267"/>
      <c r="G70" s="224"/>
      <c r="H70" s="301">
        <f t="shared" si="10"/>
        <v>4882</v>
      </c>
      <c r="I70" s="224">
        <f>SUMIF(AE!$B$1:$B$1009,B70,AE!$G$1:$G$1009)-SUMIF(AE!$B$1:$B$1009,B70,AE!$F$1:$F$1009)</f>
        <v>0</v>
      </c>
      <c r="J70" s="301">
        <f t="shared" si="11"/>
        <v>17180</v>
      </c>
      <c r="K70" s="58" t="str">
        <f t="shared" si="9"/>
        <v>268</v>
      </c>
      <c r="L70" s="58" t="str">
        <f t="shared" si="12"/>
        <v>26</v>
      </c>
      <c r="M70" s="268">
        <f t="shared" si="13"/>
        <v>3.519049569848423</v>
      </c>
      <c r="N70" s="268">
        <f t="shared" si="14"/>
        <v>3.519049569848423</v>
      </c>
      <c r="O70" s="140" t="s">
        <v>881</v>
      </c>
      <c r="P70">
        <f>VLOOKUP(B70,SAP!A:A,1,0)</f>
        <v>2685</v>
      </c>
    </row>
    <row r="71" spans="1:16">
      <c r="A71" s="276">
        <v>5145</v>
      </c>
      <c r="B71" s="266">
        <v>2685</v>
      </c>
      <c r="C71" s="276" t="s">
        <v>1195</v>
      </c>
      <c r="D71" s="223">
        <v>5401</v>
      </c>
      <c r="E71" s="223">
        <v>19006</v>
      </c>
      <c r="F71" s="267"/>
      <c r="G71" s="224"/>
      <c r="H71" s="301">
        <f t="shared" si="10"/>
        <v>5401</v>
      </c>
      <c r="I71" s="224">
        <f>SUMIF(AE!$B$1:$B$1009,B71,AE!$G$1:$G$1009)-SUMIF(AE!$B$1:$B$1009,B71,AE!$F$1:$F$1009)</f>
        <v>0</v>
      </c>
      <c r="J71" s="301">
        <f t="shared" si="11"/>
        <v>19006</v>
      </c>
      <c r="K71" s="58" t="str">
        <f t="shared" si="9"/>
        <v>268</v>
      </c>
      <c r="L71" s="58" t="str">
        <f t="shared" si="12"/>
        <v>26</v>
      </c>
      <c r="M71" s="268">
        <f t="shared" si="13"/>
        <v>3.5189779670431403</v>
      </c>
      <c r="N71" s="268">
        <f t="shared" si="14"/>
        <v>3.5189779670431403</v>
      </c>
      <c r="O71" s="140" t="s">
        <v>882</v>
      </c>
      <c r="P71">
        <f>VLOOKUP(B71,SAP!A:A,1,0)</f>
        <v>2685</v>
      </c>
    </row>
    <row r="72" spans="1:16">
      <c r="A72" s="276">
        <v>5146</v>
      </c>
      <c r="B72" s="266">
        <v>2685</v>
      </c>
      <c r="C72" s="276" t="s">
        <v>1196</v>
      </c>
      <c r="D72" s="223">
        <v>6438</v>
      </c>
      <c r="E72" s="223">
        <v>22655</v>
      </c>
      <c r="F72" s="267"/>
      <c r="G72" s="224"/>
      <c r="H72" s="301">
        <f t="shared" si="10"/>
        <v>6438</v>
      </c>
      <c r="I72" s="224">
        <f>SUMIF(AE!$B$1:$B$1009,B72,AE!$G$1:$G$1009)-SUMIF(AE!$B$1:$B$1009,B72,AE!$F$1:$F$1009)</f>
        <v>0</v>
      </c>
      <c r="J72" s="301">
        <f t="shared" si="11"/>
        <v>22655</v>
      </c>
      <c r="K72" s="58" t="str">
        <f t="shared" si="9"/>
        <v>268</v>
      </c>
      <c r="L72" s="58" t="str">
        <f t="shared" si="12"/>
        <v>26</v>
      </c>
      <c r="M72" s="268">
        <f t="shared" si="13"/>
        <v>3.5189499844672261</v>
      </c>
      <c r="N72" s="268">
        <f t="shared" si="14"/>
        <v>3.5189499844672261</v>
      </c>
      <c r="O72" s="140" t="s">
        <v>883</v>
      </c>
      <c r="P72">
        <f>VLOOKUP(B72,SAP!A:A,1,0)</f>
        <v>2685</v>
      </c>
    </row>
    <row r="73" spans="1:16">
      <c r="A73" s="276">
        <v>5147</v>
      </c>
      <c r="B73" s="266">
        <v>2685</v>
      </c>
      <c r="C73" s="276" t="s">
        <v>1197</v>
      </c>
      <c r="D73" s="223">
        <v>6424</v>
      </c>
      <c r="E73" s="223">
        <v>22605</v>
      </c>
      <c r="F73" s="267"/>
      <c r="G73" s="224"/>
      <c r="H73" s="301">
        <f t="shared" si="10"/>
        <v>6424</v>
      </c>
      <c r="I73" s="224">
        <f>SUMIF(AE!$B$1:$B$1009,B73,AE!$G$1:$G$1009)-SUMIF(AE!$B$1:$B$1009,B73,AE!$F$1:$F$1009)</f>
        <v>0</v>
      </c>
      <c r="J73" s="301">
        <f t="shared" si="11"/>
        <v>22605</v>
      </c>
      <c r="K73" s="58" t="str">
        <f t="shared" si="9"/>
        <v>268</v>
      </c>
      <c r="L73" s="58" t="str">
        <f t="shared" si="12"/>
        <v>26</v>
      </c>
      <c r="M73" s="268">
        <f t="shared" si="13"/>
        <v>3.5188356164383561</v>
      </c>
      <c r="N73" s="268">
        <f t="shared" si="14"/>
        <v>3.5188356164383561</v>
      </c>
      <c r="O73" s="140" t="s">
        <v>884</v>
      </c>
      <c r="P73">
        <f>VLOOKUP(B73,SAP!A:A,1,0)</f>
        <v>2685</v>
      </c>
    </row>
    <row r="74" spans="1:16">
      <c r="A74" s="276">
        <v>5148</v>
      </c>
      <c r="B74" s="266">
        <v>2685</v>
      </c>
      <c r="C74" s="276" t="s">
        <v>1198</v>
      </c>
      <c r="D74" s="223">
        <v>3775</v>
      </c>
      <c r="E74" s="223">
        <v>13283</v>
      </c>
      <c r="F74" s="267"/>
      <c r="G74" s="224"/>
      <c r="H74" s="301">
        <f t="shared" si="10"/>
        <v>3775</v>
      </c>
      <c r="I74" s="224">
        <f>SUMIF(AE!$B$1:$B$1009,B74,AE!$G$1:$G$1009)-SUMIF(AE!$B$1:$B$1009,B74,AE!$F$1:$F$1009)</f>
        <v>0</v>
      </c>
      <c r="J74" s="301">
        <f t="shared" si="11"/>
        <v>13283</v>
      </c>
      <c r="K74" s="58" t="str">
        <f t="shared" si="9"/>
        <v>268</v>
      </c>
      <c r="L74" s="58" t="str">
        <f t="shared" si="12"/>
        <v>26</v>
      </c>
      <c r="M74" s="268">
        <f t="shared" si="13"/>
        <v>3.5186754966887417</v>
      </c>
      <c r="N74" s="268">
        <f t="shared" si="14"/>
        <v>3.5186754966887417</v>
      </c>
      <c r="O74" s="140" t="s">
        <v>885</v>
      </c>
      <c r="P74">
        <f>VLOOKUP(B74,SAP!A:A,1,0)</f>
        <v>2685</v>
      </c>
    </row>
    <row r="75" spans="1:16">
      <c r="A75" s="276">
        <v>5150</v>
      </c>
      <c r="B75" s="266">
        <v>2685</v>
      </c>
      <c r="C75" s="276" t="s">
        <v>1199</v>
      </c>
      <c r="D75" s="223">
        <v>6533</v>
      </c>
      <c r="E75" s="223">
        <v>22991</v>
      </c>
      <c r="F75" s="267"/>
      <c r="G75" s="224"/>
      <c r="H75" s="301">
        <f t="shared" si="10"/>
        <v>6533</v>
      </c>
      <c r="I75" s="224">
        <f>SUMIF(AE!$B$1:$B$1009,B75,AE!$G$1:$G$1009)-SUMIF(AE!$B$1:$B$1009,B75,AE!$F$1:$F$1009)</f>
        <v>0</v>
      </c>
      <c r="J75" s="301">
        <f t="shared" si="11"/>
        <v>22991</v>
      </c>
      <c r="K75" s="58" t="str">
        <f t="shared" si="9"/>
        <v>268</v>
      </c>
      <c r="L75" s="58" t="str">
        <f t="shared" si="12"/>
        <v>26</v>
      </c>
      <c r="M75" s="268">
        <f t="shared" si="13"/>
        <v>3.5192101637838666</v>
      </c>
      <c r="N75" s="268">
        <f t="shared" si="14"/>
        <v>3.5192101637838666</v>
      </c>
      <c r="O75" s="140" t="s">
        <v>886</v>
      </c>
      <c r="P75">
        <f>VLOOKUP(B75,SAP!A:A,1,0)</f>
        <v>2685</v>
      </c>
    </row>
    <row r="76" spans="1:16">
      <c r="A76" s="276">
        <v>5151</v>
      </c>
      <c r="B76" s="266">
        <v>2685</v>
      </c>
      <c r="C76" s="276" t="s">
        <v>1200</v>
      </c>
      <c r="D76" s="223">
        <v>5582</v>
      </c>
      <c r="E76" s="223">
        <v>19644</v>
      </c>
      <c r="F76" s="267"/>
      <c r="G76" s="224"/>
      <c r="H76" s="301">
        <f t="shared" si="10"/>
        <v>5582</v>
      </c>
      <c r="I76" s="224">
        <f>SUMIF(AE!$B$1:$B$1009,B76,AE!$G$1:$G$1009)-SUMIF(AE!$B$1:$B$1009,B76,AE!$F$1:$F$1009)</f>
        <v>0</v>
      </c>
      <c r="J76" s="301">
        <f t="shared" si="11"/>
        <v>19644</v>
      </c>
      <c r="K76" s="58" t="str">
        <f t="shared" si="9"/>
        <v>268</v>
      </c>
      <c r="L76" s="58" t="str">
        <f t="shared" si="12"/>
        <v>26</v>
      </c>
      <c r="M76" s="268">
        <f t="shared" si="13"/>
        <v>3.5191687567180221</v>
      </c>
      <c r="N76" s="268">
        <f t="shared" si="14"/>
        <v>3.5191687567180221</v>
      </c>
      <c r="O76" s="140" t="s">
        <v>887</v>
      </c>
      <c r="P76">
        <f>VLOOKUP(B76,SAP!A:A,1,0)</f>
        <v>2685</v>
      </c>
    </row>
    <row r="77" spans="1:16">
      <c r="A77" s="276">
        <v>5152</v>
      </c>
      <c r="B77" s="266">
        <v>2685</v>
      </c>
      <c r="C77" s="276" t="s">
        <v>1201</v>
      </c>
      <c r="D77" s="223">
        <v>2728</v>
      </c>
      <c r="E77" s="223">
        <v>9601</v>
      </c>
      <c r="F77" s="267"/>
      <c r="G77" s="224"/>
      <c r="H77" s="301">
        <f t="shared" si="10"/>
        <v>2728</v>
      </c>
      <c r="I77" s="224">
        <f>SUMIF(AE!$B$1:$B$1009,B77,AE!$G$1:$G$1009)-SUMIF(AE!$B$1:$B$1009,B77,AE!$F$1:$F$1009)</f>
        <v>0</v>
      </c>
      <c r="J77" s="301">
        <f t="shared" si="11"/>
        <v>9601</v>
      </c>
      <c r="K77" s="58" t="str">
        <f t="shared" si="9"/>
        <v>268</v>
      </c>
      <c r="L77" s="58" t="str">
        <f t="shared" si="12"/>
        <v>26</v>
      </c>
      <c r="M77" s="268">
        <f t="shared" si="13"/>
        <v>3.5194281524926687</v>
      </c>
      <c r="N77" s="268">
        <f t="shared" si="14"/>
        <v>3.5194281524926687</v>
      </c>
      <c r="O77" s="140" t="s">
        <v>888</v>
      </c>
      <c r="P77">
        <f>VLOOKUP(B77,SAP!A:A,1,0)</f>
        <v>2685</v>
      </c>
    </row>
    <row r="78" spans="1:16">
      <c r="A78" s="276">
        <v>5153</v>
      </c>
      <c r="B78" s="266">
        <v>2685</v>
      </c>
      <c r="C78" s="276" t="s">
        <v>1202</v>
      </c>
      <c r="D78" s="223">
        <v>6584</v>
      </c>
      <c r="E78" s="223">
        <v>23168</v>
      </c>
      <c r="F78" s="267"/>
      <c r="G78" s="224"/>
      <c r="H78" s="301">
        <f t="shared" si="10"/>
        <v>6584</v>
      </c>
      <c r="I78" s="224">
        <f>SUMIF(AE!$B$1:$B$1009,B78,AE!$G$1:$G$1009)-SUMIF(AE!$B$1:$B$1009,B78,AE!$F$1:$F$1009)</f>
        <v>0</v>
      </c>
      <c r="J78" s="301">
        <f t="shared" si="11"/>
        <v>23168</v>
      </c>
      <c r="K78" s="58" t="str">
        <f t="shared" si="9"/>
        <v>268</v>
      </c>
      <c r="L78" s="58" t="str">
        <f t="shared" si="12"/>
        <v>26</v>
      </c>
      <c r="M78" s="268">
        <f t="shared" si="13"/>
        <v>3.5188335358444713</v>
      </c>
      <c r="N78" s="268">
        <f t="shared" si="14"/>
        <v>3.5188335358444713</v>
      </c>
      <c r="O78" s="140" t="s">
        <v>889</v>
      </c>
      <c r="P78">
        <f>VLOOKUP(B78,SAP!A:A,1,0)</f>
        <v>2685</v>
      </c>
    </row>
    <row r="79" spans="1:16">
      <c r="A79" s="276">
        <v>5154</v>
      </c>
      <c r="B79" s="266">
        <v>2685</v>
      </c>
      <c r="C79" s="276" t="s">
        <v>1203</v>
      </c>
      <c r="D79" s="223">
        <v>9211</v>
      </c>
      <c r="E79" s="223">
        <v>32412</v>
      </c>
      <c r="F79" s="267"/>
      <c r="G79" s="224"/>
      <c r="H79" s="301">
        <f t="shared" si="10"/>
        <v>9211</v>
      </c>
      <c r="I79" s="224">
        <f>SUMIF(AE!$B$1:$B$1009,B79,AE!$G$1:$G$1009)-SUMIF(AE!$B$1:$B$1009,B79,AE!$F$1:$F$1009)</f>
        <v>0</v>
      </c>
      <c r="J79" s="301">
        <f t="shared" si="11"/>
        <v>32412</v>
      </c>
      <c r="K79" s="58" t="str">
        <f t="shared" si="9"/>
        <v>268</v>
      </c>
      <c r="L79" s="58" t="str">
        <f t="shared" si="12"/>
        <v>26</v>
      </c>
      <c r="M79" s="268">
        <f t="shared" si="13"/>
        <v>3.5188361741396155</v>
      </c>
      <c r="N79" s="268">
        <f t="shared" si="14"/>
        <v>3.5188361741396155</v>
      </c>
      <c r="O79" s="140" t="s">
        <v>890</v>
      </c>
      <c r="P79">
        <f>VLOOKUP(B79,SAP!A:A,1,0)</f>
        <v>2685</v>
      </c>
    </row>
    <row r="80" spans="1:16">
      <c r="A80" s="276">
        <v>5155</v>
      </c>
      <c r="B80" s="266">
        <v>2685</v>
      </c>
      <c r="C80" s="276" t="s">
        <v>1204</v>
      </c>
      <c r="D80" s="223">
        <v>6114</v>
      </c>
      <c r="E80" s="223">
        <v>21515</v>
      </c>
      <c r="F80" s="267"/>
      <c r="G80" s="224"/>
      <c r="H80" s="301">
        <f t="shared" si="10"/>
        <v>6114</v>
      </c>
      <c r="I80" s="224">
        <f>SUMIF(AE!$B$1:$B$1009,B80,AE!$G$1:$G$1009)-SUMIF(AE!$B$1:$B$1009,B80,AE!$F$1:$F$1009)</f>
        <v>0</v>
      </c>
      <c r="J80" s="301">
        <f t="shared" si="11"/>
        <v>21515</v>
      </c>
      <c r="K80" s="58" t="str">
        <f t="shared" si="9"/>
        <v>268</v>
      </c>
      <c r="L80" s="58" t="str">
        <f t="shared" si="12"/>
        <v>26</v>
      </c>
      <c r="M80" s="268">
        <f t="shared" si="13"/>
        <v>3.5189728491985606</v>
      </c>
      <c r="N80" s="268">
        <f t="shared" si="14"/>
        <v>3.5189728491985606</v>
      </c>
      <c r="O80" s="140" t="s">
        <v>891</v>
      </c>
      <c r="P80">
        <f>VLOOKUP(B80,SAP!A:A,1,0)</f>
        <v>2685</v>
      </c>
    </row>
    <row r="81" spans="1:16">
      <c r="A81" s="276">
        <v>5156</v>
      </c>
      <c r="B81" s="266">
        <v>2685</v>
      </c>
      <c r="C81" s="276" t="s">
        <v>1205</v>
      </c>
      <c r="D81" s="223">
        <v>7427</v>
      </c>
      <c r="E81" s="223">
        <v>26134</v>
      </c>
      <c r="F81" s="267"/>
      <c r="G81" s="224"/>
      <c r="H81" s="301">
        <f t="shared" si="10"/>
        <v>7427</v>
      </c>
      <c r="I81" s="224">
        <f>SUMIF(AE!$B$1:$B$1009,B81,AE!$G$1:$G$1009)-SUMIF(AE!$B$1:$B$1009,B81,AE!$F$1:$F$1009)</f>
        <v>0</v>
      </c>
      <c r="J81" s="301">
        <f t="shared" si="11"/>
        <v>26134</v>
      </c>
      <c r="K81" s="58" t="str">
        <f t="shared" si="9"/>
        <v>268</v>
      </c>
      <c r="L81" s="58" t="str">
        <f t="shared" si="12"/>
        <v>26</v>
      </c>
      <c r="M81" s="268">
        <f t="shared" si="13"/>
        <v>3.5187828194425745</v>
      </c>
      <c r="N81" s="268">
        <f t="shared" si="14"/>
        <v>3.5187828194425745</v>
      </c>
      <c r="O81" s="140" t="s">
        <v>892</v>
      </c>
      <c r="P81">
        <f>VLOOKUP(B81,SAP!A:A,1,0)</f>
        <v>2685</v>
      </c>
    </row>
    <row r="82" spans="1:16">
      <c r="A82" s="276">
        <v>5157</v>
      </c>
      <c r="B82" s="266">
        <v>2685</v>
      </c>
      <c r="C82" s="276" t="s">
        <v>1206</v>
      </c>
      <c r="D82" s="223">
        <v>6392</v>
      </c>
      <c r="E82" s="223">
        <v>22492</v>
      </c>
      <c r="F82" s="267"/>
      <c r="G82" s="224"/>
      <c r="H82" s="301">
        <f t="shared" si="10"/>
        <v>6392</v>
      </c>
      <c r="I82" s="224">
        <f>SUMIF(AE!$B$1:$B$1009,B82,AE!$G$1:$G$1009)-SUMIF(AE!$B$1:$B$1009,B82,AE!$F$1:$F$1009)</f>
        <v>0</v>
      </c>
      <c r="J82" s="301">
        <f t="shared" si="11"/>
        <v>22492</v>
      </c>
      <c r="K82" s="58" t="str">
        <f t="shared" si="9"/>
        <v>268</v>
      </c>
      <c r="L82" s="58" t="str">
        <f t="shared" si="12"/>
        <v>26</v>
      </c>
      <c r="M82" s="268">
        <f t="shared" si="13"/>
        <v>3.518773466833542</v>
      </c>
      <c r="N82" s="268">
        <f t="shared" si="14"/>
        <v>3.518773466833542</v>
      </c>
      <c r="O82" s="140" t="s">
        <v>893</v>
      </c>
      <c r="P82">
        <f>VLOOKUP(B82,SAP!A:A,1,0)</f>
        <v>2685</v>
      </c>
    </row>
    <row r="83" spans="1:16">
      <c r="A83" s="276">
        <v>5158</v>
      </c>
      <c r="B83" s="266">
        <v>2685</v>
      </c>
      <c r="C83" s="276" t="s">
        <v>1207</v>
      </c>
      <c r="D83" s="223">
        <v>4201</v>
      </c>
      <c r="E83" s="223">
        <v>14785</v>
      </c>
      <c r="F83" s="267"/>
      <c r="G83" s="224"/>
      <c r="H83" s="301">
        <f t="shared" si="10"/>
        <v>4201</v>
      </c>
      <c r="I83" s="224">
        <f>SUMIF(AE!$B$1:$B$1009,B83,AE!$G$1:$G$1009)-SUMIF(AE!$B$1:$B$1009,B83,AE!$F$1:$F$1009)</f>
        <v>0</v>
      </c>
      <c r="J83" s="301">
        <f t="shared" si="11"/>
        <v>14785</v>
      </c>
      <c r="K83" s="58" t="str">
        <f t="shared" si="9"/>
        <v>268</v>
      </c>
      <c r="L83" s="58" t="str">
        <f t="shared" si="12"/>
        <v>26</v>
      </c>
      <c r="M83" s="268">
        <f t="shared" si="13"/>
        <v>3.5194001428231374</v>
      </c>
      <c r="N83" s="268">
        <f t="shared" si="14"/>
        <v>3.5194001428231374</v>
      </c>
      <c r="O83" s="140" t="s">
        <v>894</v>
      </c>
      <c r="P83">
        <f>VLOOKUP(B83,SAP!A:A,1,0)</f>
        <v>2685</v>
      </c>
    </row>
    <row r="84" spans="1:16">
      <c r="A84" s="276">
        <v>5159</v>
      </c>
      <c r="B84" s="266">
        <v>2685</v>
      </c>
      <c r="C84" s="276" t="s">
        <v>1208</v>
      </c>
      <c r="D84" s="223">
        <v>3351</v>
      </c>
      <c r="E84" s="223">
        <v>11792</v>
      </c>
      <c r="F84" s="267"/>
      <c r="G84" s="224"/>
      <c r="H84" s="301">
        <f t="shared" si="10"/>
        <v>3351</v>
      </c>
      <c r="I84" s="224">
        <f>SUMIF(AE!$B$1:$B$1009,B84,AE!$G$1:$G$1009)-SUMIF(AE!$B$1:$B$1009,B84,AE!$F$1:$F$1009)</f>
        <v>0</v>
      </c>
      <c r="J84" s="301">
        <f t="shared" si="11"/>
        <v>11792</v>
      </c>
      <c r="K84" s="58" t="str">
        <f t="shared" si="9"/>
        <v>268</v>
      </c>
      <c r="L84" s="58" t="str">
        <f t="shared" si="12"/>
        <v>26</v>
      </c>
      <c r="M84" s="268">
        <f t="shared" si="13"/>
        <v>3.5189495672933453</v>
      </c>
      <c r="N84" s="268">
        <f t="shared" si="14"/>
        <v>3.5189495672933453</v>
      </c>
      <c r="O84" s="140" t="s">
        <v>895</v>
      </c>
      <c r="P84">
        <f>VLOOKUP(B84,SAP!A:A,1,0)</f>
        <v>2685</v>
      </c>
    </row>
    <row r="85" spans="1:16">
      <c r="A85" s="276">
        <v>5160</v>
      </c>
      <c r="B85" s="266">
        <v>2685</v>
      </c>
      <c r="C85" s="276" t="s">
        <v>1209</v>
      </c>
      <c r="D85" s="223">
        <v>5855</v>
      </c>
      <c r="E85" s="223">
        <v>20604</v>
      </c>
      <c r="F85" s="267"/>
      <c r="G85" s="224"/>
      <c r="H85" s="301">
        <f t="shared" si="10"/>
        <v>5855</v>
      </c>
      <c r="I85" s="224">
        <f>SUMIF(AE!$B$1:$B$1009,B85,AE!$G$1:$G$1009)-SUMIF(AE!$B$1:$B$1009,B85,AE!$F$1:$F$1009)</f>
        <v>0</v>
      </c>
      <c r="J85" s="301">
        <f t="shared" si="11"/>
        <v>20604</v>
      </c>
      <c r="K85" s="58" t="str">
        <f t="shared" si="9"/>
        <v>268</v>
      </c>
      <c r="L85" s="58" t="str">
        <f t="shared" si="12"/>
        <v>26</v>
      </c>
      <c r="M85" s="268">
        <f t="shared" si="13"/>
        <v>3.5190435525192143</v>
      </c>
      <c r="N85" s="268">
        <f t="shared" si="14"/>
        <v>3.5190435525192143</v>
      </c>
      <c r="O85" s="140" t="s">
        <v>896</v>
      </c>
      <c r="P85">
        <f>VLOOKUP(B85,SAP!A:A,1,0)</f>
        <v>2685</v>
      </c>
    </row>
    <row r="86" spans="1:16">
      <c r="A86" s="276">
        <v>5161</v>
      </c>
      <c r="B86" s="266">
        <v>2685</v>
      </c>
      <c r="C86" s="276" t="s">
        <v>1210</v>
      </c>
      <c r="D86" s="223">
        <v>6219</v>
      </c>
      <c r="E86" s="223">
        <v>21883</v>
      </c>
      <c r="F86" s="267"/>
      <c r="G86" s="224"/>
      <c r="H86" s="301">
        <f t="shared" si="10"/>
        <v>6219</v>
      </c>
      <c r="I86" s="224">
        <f>SUMIF(AE!$B$1:$B$1009,B86,AE!$G$1:$G$1009)-SUMIF(AE!$B$1:$B$1009,B86,AE!$F$1:$F$1009)</f>
        <v>0</v>
      </c>
      <c r="J86" s="301">
        <f t="shared" si="11"/>
        <v>21883</v>
      </c>
      <c r="K86" s="58" t="str">
        <f t="shared" si="9"/>
        <v>268</v>
      </c>
      <c r="L86" s="58" t="str">
        <f t="shared" si="12"/>
        <v>26</v>
      </c>
      <c r="M86" s="268">
        <f t="shared" si="13"/>
        <v>3.518732915259688</v>
      </c>
      <c r="N86" s="268">
        <f t="shared" si="14"/>
        <v>3.518732915259688</v>
      </c>
      <c r="O86" s="140" t="s">
        <v>897</v>
      </c>
      <c r="P86">
        <f>VLOOKUP(B86,SAP!A:A,1,0)</f>
        <v>2685</v>
      </c>
    </row>
    <row r="87" spans="1:16">
      <c r="A87" s="276">
        <v>5162</v>
      </c>
      <c r="B87" s="266">
        <v>2685</v>
      </c>
      <c r="C87" s="276" t="s">
        <v>1211</v>
      </c>
      <c r="D87" s="223">
        <v>8193</v>
      </c>
      <c r="E87" s="223">
        <v>28832</v>
      </c>
      <c r="F87" s="267"/>
      <c r="G87" s="224"/>
      <c r="H87" s="301">
        <f t="shared" si="10"/>
        <v>8193</v>
      </c>
      <c r="I87" s="224">
        <f>SUMIF(AE!$B$1:$B$1009,B87,AE!$G$1:$G$1009)-SUMIF(AE!$B$1:$B$1009,B87,AE!$F$1:$F$1009)</f>
        <v>0</v>
      </c>
      <c r="J87" s="301">
        <f t="shared" si="11"/>
        <v>28832</v>
      </c>
      <c r="K87" s="58" t="str">
        <f t="shared" si="9"/>
        <v>268</v>
      </c>
      <c r="L87" s="58" t="str">
        <f t="shared" si="12"/>
        <v>26</v>
      </c>
      <c r="M87" s="268">
        <f t="shared" si="13"/>
        <v>3.5191016721591604</v>
      </c>
      <c r="N87" s="268">
        <f t="shared" si="14"/>
        <v>3.5191016721591604</v>
      </c>
      <c r="O87" s="140" t="s">
        <v>898</v>
      </c>
      <c r="P87">
        <f>VLOOKUP(B87,SAP!A:A,1,0)</f>
        <v>2685</v>
      </c>
    </row>
    <row r="88" spans="1:16">
      <c r="A88" s="276">
        <v>5163</v>
      </c>
      <c r="B88" s="266">
        <v>2685</v>
      </c>
      <c r="C88" s="276" t="s">
        <v>1212</v>
      </c>
      <c r="D88" s="223">
        <v>5015</v>
      </c>
      <c r="E88" s="223">
        <v>17649</v>
      </c>
      <c r="F88" s="267"/>
      <c r="G88" s="224"/>
      <c r="H88" s="301">
        <f t="shared" si="10"/>
        <v>5015</v>
      </c>
      <c r="I88" s="224">
        <f>SUMIF(AE!$B$1:$B$1009,B88,AE!$G$1:$G$1009)-SUMIF(AE!$B$1:$B$1009,B88,AE!$F$1:$F$1009)</f>
        <v>0</v>
      </c>
      <c r="J88" s="301">
        <f t="shared" si="11"/>
        <v>17649</v>
      </c>
      <c r="K88" s="58" t="str">
        <f t="shared" si="9"/>
        <v>268</v>
      </c>
      <c r="L88" s="58" t="str">
        <f t="shared" si="12"/>
        <v>26</v>
      </c>
      <c r="M88" s="268">
        <f t="shared" si="13"/>
        <v>3.5192422731804585</v>
      </c>
      <c r="N88" s="268">
        <f t="shared" si="14"/>
        <v>3.5192422731804585</v>
      </c>
      <c r="O88" s="140" t="s">
        <v>899</v>
      </c>
      <c r="P88">
        <f>VLOOKUP(B88,SAP!A:A,1,0)</f>
        <v>2685</v>
      </c>
    </row>
    <row r="89" spans="1:16">
      <c r="A89" s="276">
        <v>5164</v>
      </c>
      <c r="B89" s="266">
        <v>2685</v>
      </c>
      <c r="C89" s="276" t="s">
        <v>1213</v>
      </c>
      <c r="D89" s="223">
        <v>3641</v>
      </c>
      <c r="E89" s="223">
        <v>12812</v>
      </c>
      <c r="F89" s="267"/>
      <c r="G89" s="224"/>
      <c r="H89" s="301">
        <f t="shared" si="10"/>
        <v>3641</v>
      </c>
      <c r="I89" s="224">
        <f>SUMIF(AE!$B$1:$B$1009,B89,AE!$G$1:$G$1009)-SUMIF(AE!$B$1:$B$1009,B89,AE!$F$1:$F$1009)</f>
        <v>0</v>
      </c>
      <c r="J89" s="301">
        <f t="shared" si="11"/>
        <v>12812</v>
      </c>
      <c r="K89" s="58" t="str">
        <f t="shared" si="9"/>
        <v>268</v>
      </c>
      <c r="L89" s="58" t="str">
        <f t="shared" si="12"/>
        <v>26</v>
      </c>
      <c r="M89" s="268">
        <f t="shared" si="13"/>
        <v>3.5188135127712168</v>
      </c>
      <c r="N89" s="268">
        <f t="shared" si="14"/>
        <v>3.5188135127712168</v>
      </c>
      <c r="O89" s="140" t="s">
        <v>900</v>
      </c>
      <c r="P89">
        <f>VLOOKUP(B89,SAP!A:A,1,0)</f>
        <v>2685</v>
      </c>
    </row>
    <row r="90" spans="1:16">
      <c r="A90" s="276">
        <v>5165</v>
      </c>
      <c r="B90" s="266">
        <v>2685</v>
      </c>
      <c r="C90" s="276" t="s">
        <v>1214</v>
      </c>
      <c r="D90" s="223">
        <v>373</v>
      </c>
      <c r="E90" s="223">
        <v>1312</v>
      </c>
      <c r="F90" s="267"/>
      <c r="G90" s="224"/>
      <c r="H90" s="301">
        <f t="shared" si="10"/>
        <v>373</v>
      </c>
      <c r="I90" s="224">
        <f>SUMIF(AE!$B$1:$B$1009,B90,AE!$G$1:$G$1009)-SUMIF(AE!$B$1:$B$1009,B90,AE!$F$1:$F$1009)</f>
        <v>0</v>
      </c>
      <c r="J90" s="301">
        <f t="shared" si="11"/>
        <v>1312</v>
      </c>
      <c r="K90" s="58" t="str">
        <f t="shared" si="9"/>
        <v>268</v>
      </c>
      <c r="L90" s="58" t="str">
        <f t="shared" si="12"/>
        <v>26</v>
      </c>
      <c r="M90" s="268">
        <f t="shared" si="13"/>
        <v>3.5174262734584452</v>
      </c>
      <c r="N90" s="268">
        <f t="shared" si="14"/>
        <v>3.5174262734584452</v>
      </c>
      <c r="O90" s="140" t="s">
        <v>901</v>
      </c>
      <c r="P90">
        <f>VLOOKUP(B90,SAP!A:A,1,0)</f>
        <v>2685</v>
      </c>
    </row>
    <row r="91" spans="1:16">
      <c r="A91" s="276">
        <v>5166</v>
      </c>
      <c r="B91" s="266">
        <v>2685</v>
      </c>
      <c r="C91" s="276" t="s">
        <v>1215</v>
      </c>
      <c r="D91" s="223">
        <v>5304</v>
      </c>
      <c r="E91" s="223">
        <v>18663</v>
      </c>
      <c r="F91" s="267"/>
      <c r="G91" s="224"/>
      <c r="H91" s="301">
        <f t="shared" si="10"/>
        <v>5304</v>
      </c>
      <c r="I91" s="224">
        <f>SUMIF(AE!$B$1:$B$1009,B91,AE!$G$1:$G$1009)-SUMIF(AE!$B$1:$B$1009,B91,AE!$F$1:$F$1009)</f>
        <v>0</v>
      </c>
      <c r="J91" s="301">
        <f t="shared" si="11"/>
        <v>18663</v>
      </c>
      <c r="K91" s="58" t="str">
        <f t="shared" si="9"/>
        <v>268</v>
      </c>
      <c r="L91" s="58" t="str">
        <f t="shared" si="12"/>
        <v>26</v>
      </c>
      <c r="M91" s="268">
        <f t="shared" si="13"/>
        <v>3.5186651583710407</v>
      </c>
      <c r="N91" s="268">
        <f t="shared" si="14"/>
        <v>3.5186651583710407</v>
      </c>
      <c r="O91" s="140" t="s">
        <v>902</v>
      </c>
      <c r="P91">
        <f>VLOOKUP(B91,SAP!A:A,1,0)</f>
        <v>2685</v>
      </c>
    </row>
    <row r="92" spans="1:16">
      <c r="A92" s="276">
        <v>5167</v>
      </c>
      <c r="B92" s="266">
        <v>2685</v>
      </c>
      <c r="C92" s="276" t="s">
        <v>1216</v>
      </c>
      <c r="D92" s="223">
        <v>3360</v>
      </c>
      <c r="E92" s="223">
        <v>11825</v>
      </c>
      <c r="F92" s="267"/>
      <c r="G92" s="224"/>
      <c r="H92" s="301">
        <f t="shared" si="10"/>
        <v>3360</v>
      </c>
      <c r="I92" s="224">
        <f>SUMIF(AE!$B$1:$B$1009,B92,AE!$G$1:$G$1009)-SUMIF(AE!$B$1:$B$1009,B92,AE!$F$1:$F$1009)</f>
        <v>0</v>
      </c>
      <c r="J92" s="301">
        <f t="shared" si="11"/>
        <v>11825</v>
      </c>
      <c r="K92" s="58" t="str">
        <f t="shared" si="9"/>
        <v>268</v>
      </c>
      <c r="L92" s="58" t="str">
        <f t="shared" si="12"/>
        <v>26</v>
      </c>
      <c r="M92" s="268">
        <f t="shared" si="13"/>
        <v>3.5193452380952381</v>
      </c>
      <c r="N92" s="268">
        <f t="shared" si="14"/>
        <v>3.5193452380952381</v>
      </c>
      <c r="O92" s="140" t="s">
        <v>903</v>
      </c>
      <c r="P92">
        <f>VLOOKUP(B92,SAP!A:A,1,0)</f>
        <v>2685</v>
      </c>
    </row>
    <row r="93" spans="1:16">
      <c r="A93" s="276">
        <v>5169</v>
      </c>
      <c r="B93" s="266">
        <v>2685</v>
      </c>
      <c r="C93" s="276" t="s">
        <v>1217</v>
      </c>
      <c r="D93" s="223">
        <v>5564</v>
      </c>
      <c r="E93" s="223">
        <v>19579</v>
      </c>
      <c r="F93" s="267"/>
      <c r="G93" s="224"/>
      <c r="H93" s="301">
        <f t="shared" si="10"/>
        <v>5564</v>
      </c>
      <c r="I93" s="224">
        <f>SUMIF(AE!$B$1:$B$1009,B93,AE!$G$1:$G$1009)-SUMIF(AE!$B$1:$B$1009,B93,AE!$F$1:$F$1009)</f>
        <v>0</v>
      </c>
      <c r="J93" s="301">
        <f t="shared" si="11"/>
        <v>19579</v>
      </c>
      <c r="K93" s="58" t="str">
        <f t="shared" si="9"/>
        <v>268</v>
      </c>
      <c r="L93" s="58" t="str">
        <f t="shared" si="12"/>
        <v>26</v>
      </c>
      <c r="M93" s="268">
        <f t="shared" si="13"/>
        <v>3.5188713156002875</v>
      </c>
      <c r="N93" s="268">
        <f t="shared" si="14"/>
        <v>3.5188713156002875</v>
      </c>
      <c r="O93" s="140" t="s">
        <v>904</v>
      </c>
      <c r="P93">
        <f>VLOOKUP(B93,SAP!A:A,1,0)</f>
        <v>2685</v>
      </c>
    </row>
    <row r="94" spans="1:16">
      <c r="A94" s="276">
        <v>5170</v>
      </c>
      <c r="B94" s="266">
        <v>2685</v>
      </c>
      <c r="C94" s="276" t="s">
        <v>1218</v>
      </c>
      <c r="D94" s="223">
        <v>5913</v>
      </c>
      <c r="E94" s="223">
        <v>20807</v>
      </c>
      <c r="F94" s="267"/>
      <c r="G94" s="224"/>
      <c r="H94" s="301">
        <f t="shared" si="10"/>
        <v>5913</v>
      </c>
      <c r="I94" s="224">
        <f>SUMIF(AE!$B$1:$B$1009,B94,AE!$G$1:$G$1009)-SUMIF(AE!$B$1:$B$1009,B94,AE!$F$1:$F$1009)</f>
        <v>0</v>
      </c>
      <c r="J94" s="301">
        <f t="shared" si="11"/>
        <v>20807</v>
      </c>
      <c r="K94" s="58" t="str">
        <f t="shared" si="9"/>
        <v>268</v>
      </c>
      <c r="L94" s="58" t="str">
        <f t="shared" si="12"/>
        <v>26</v>
      </c>
      <c r="M94" s="268">
        <f t="shared" si="13"/>
        <v>3.5188567562996789</v>
      </c>
      <c r="N94" s="268">
        <f t="shared" si="14"/>
        <v>3.5188567562996789</v>
      </c>
      <c r="O94" s="140" t="s">
        <v>905</v>
      </c>
      <c r="P94">
        <f>VLOOKUP(B94,SAP!A:A,1,0)</f>
        <v>2685</v>
      </c>
    </row>
    <row r="95" spans="1:16">
      <c r="A95" s="276">
        <v>5171</v>
      </c>
      <c r="B95" s="266">
        <v>2685</v>
      </c>
      <c r="C95" s="276" t="s">
        <v>1219</v>
      </c>
      <c r="D95" s="223">
        <v>5634</v>
      </c>
      <c r="E95" s="223">
        <v>19827</v>
      </c>
      <c r="F95" s="267"/>
      <c r="G95" s="224"/>
      <c r="H95" s="301">
        <f t="shared" si="10"/>
        <v>5634</v>
      </c>
      <c r="I95" s="224">
        <f>SUMIF(AE!$B$1:$B$1009,B95,AE!$G$1:$G$1009)-SUMIF(AE!$B$1:$B$1009,B95,AE!$F$1:$F$1009)</f>
        <v>0</v>
      </c>
      <c r="J95" s="301">
        <f t="shared" si="11"/>
        <v>19827</v>
      </c>
      <c r="K95" s="58" t="str">
        <f t="shared" si="9"/>
        <v>268</v>
      </c>
      <c r="L95" s="58" t="str">
        <f t="shared" si="12"/>
        <v>26</v>
      </c>
      <c r="M95" s="268">
        <f t="shared" si="13"/>
        <v>3.5191693290734825</v>
      </c>
      <c r="N95" s="268">
        <f t="shared" si="14"/>
        <v>3.5191693290734825</v>
      </c>
      <c r="O95" s="140" t="s">
        <v>906</v>
      </c>
      <c r="P95">
        <f>VLOOKUP(B95,SAP!A:A,1,0)</f>
        <v>2685</v>
      </c>
    </row>
    <row r="96" spans="1:16">
      <c r="A96" s="276">
        <v>5172</v>
      </c>
      <c r="B96" s="266">
        <v>2685</v>
      </c>
      <c r="C96" s="276" t="s">
        <v>1220</v>
      </c>
      <c r="D96" s="223">
        <v>4464</v>
      </c>
      <c r="E96" s="223">
        <v>15707</v>
      </c>
      <c r="F96" s="267"/>
      <c r="G96" s="224"/>
      <c r="H96" s="301">
        <f t="shared" si="10"/>
        <v>4464</v>
      </c>
      <c r="I96" s="224">
        <f>SUMIF(AE!$B$1:$B$1009,B96,AE!$G$1:$G$1009)-SUMIF(AE!$B$1:$B$1009,B96,AE!$F$1:$F$1009)</f>
        <v>0</v>
      </c>
      <c r="J96" s="301">
        <f t="shared" si="11"/>
        <v>15707</v>
      </c>
      <c r="K96" s="58" t="str">
        <f t="shared" si="9"/>
        <v>268</v>
      </c>
      <c r="L96" s="58" t="str">
        <f t="shared" si="12"/>
        <v>26</v>
      </c>
      <c r="M96" s="268">
        <f t="shared" si="13"/>
        <v>3.5185931899641578</v>
      </c>
      <c r="N96" s="268">
        <f t="shared" si="14"/>
        <v>3.5185931899641578</v>
      </c>
      <c r="O96" s="140" t="s">
        <v>907</v>
      </c>
      <c r="P96">
        <f>VLOOKUP(B96,SAP!A:A,1,0)</f>
        <v>2685</v>
      </c>
    </row>
    <row r="97" spans="1:16">
      <c r="A97" s="276">
        <v>5173</v>
      </c>
      <c r="B97" s="266">
        <v>2685</v>
      </c>
      <c r="C97" s="276" t="s">
        <v>1221</v>
      </c>
      <c r="D97" s="223">
        <v>6418</v>
      </c>
      <c r="E97" s="223">
        <v>22586</v>
      </c>
      <c r="F97" s="267"/>
      <c r="G97" s="224"/>
      <c r="H97" s="301">
        <f t="shared" si="10"/>
        <v>6418</v>
      </c>
      <c r="I97" s="224">
        <f>SUMIF(AE!$B$1:$B$1009,B97,AE!$G$1:$G$1009)-SUMIF(AE!$B$1:$B$1009,B97,AE!$F$1:$F$1009)</f>
        <v>0</v>
      </c>
      <c r="J97" s="301">
        <f t="shared" si="11"/>
        <v>22586</v>
      </c>
      <c r="K97" s="58" t="str">
        <f t="shared" si="9"/>
        <v>268</v>
      </c>
      <c r="L97" s="58" t="str">
        <f t="shared" si="12"/>
        <v>26</v>
      </c>
      <c r="M97" s="268">
        <f t="shared" si="13"/>
        <v>3.519164848862574</v>
      </c>
      <c r="N97" s="268">
        <f t="shared" si="14"/>
        <v>3.519164848862574</v>
      </c>
      <c r="O97" s="140" t="s">
        <v>908</v>
      </c>
      <c r="P97">
        <f>VLOOKUP(B97,SAP!A:A,1,0)</f>
        <v>2685</v>
      </c>
    </row>
    <row r="98" spans="1:16">
      <c r="A98" s="276">
        <v>5174</v>
      </c>
      <c r="B98" s="266">
        <v>2685</v>
      </c>
      <c r="C98" s="276" t="s">
        <v>1222</v>
      </c>
      <c r="D98" s="223">
        <v>5954</v>
      </c>
      <c r="E98" s="223">
        <v>20951</v>
      </c>
      <c r="F98" s="267"/>
      <c r="G98" s="224"/>
      <c r="H98" s="301">
        <f t="shared" si="10"/>
        <v>5954</v>
      </c>
      <c r="I98" s="224">
        <f>SUMIF(AE!$B$1:$B$1009,B98,AE!$G$1:$G$1009)-SUMIF(AE!$B$1:$B$1009,B98,AE!$F$1:$F$1009)</f>
        <v>0</v>
      </c>
      <c r="J98" s="301">
        <f t="shared" si="11"/>
        <v>20951</v>
      </c>
      <c r="K98" s="58" t="str">
        <f t="shared" si="9"/>
        <v>268</v>
      </c>
      <c r="L98" s="58" t="str">
        <f t="shared" si="12"/>
        <v>26</v>
      </c>
      <c r="M98" s="268">
        <f t="shared" si="13"/>
        <v>3.5188108834397043</v>
      </c>
      <c r="N98" s="268">
        <f t="shared" si="14"/>
        <v>3.5188108834397043</v>
      </c>
      <c r="O98" s="140" t="s">
        <v>909</v>
      </c>
      <c r="P98">
        <f>VLOOKUP(B98,SAP!A:A,1,0)</f>
        <v>2685</v>
      </c>
    </row>
    <row r="99" spans="1:16">
      <c r="A99" s="276">
        <v>5175</v>
      </c>
      <c r="B99" s="266">
        <v>2685</v>
      </c>
      <c r="C99" s="276" t="s">
        <v>1223</v>
      </c>
      <c r="D99" s="223">
        <v>7910</v>
      </c>
      <c r="E99" s="223">
        <v>27836</v>
      </c>
      <c r="F99" s="267"/>
      <c r="G99" s="224"/>
      <c r="H99" s="301">
        <f t="shared" si="10"/>
        <v>7910</v>
      </c>
      <c r="I99" s="224">
        <f>SUMIF(AE!$B$1:$B$1009,B99,AE!$G$1:$G$1009)-SUMIF(AE!$B$1:$B$1009,B99,AE!$F$1:$F$1009)</f>
        <v>0</v>
      </c>
      <c r="J99" s="301">
        <f t="shared" si="11"/>
        <v>27836</v>
      </c>
      <c r="K99" s="58" t="str">
        <f t="shared" si="9"/>
        <v>268</v>
      </c>
      <c r="L99" s="58" t="str">
        <f t="shared" si="12"/>
        <v>26</v>
      </c>
      <c r="M99" s="268">
        <f t="shared" si="13"/>
        <v>3.5190897597977244</v>
      </c>
      <c r="N99" s="268">
        <f t="shared" si="14"/>
        <v>3.5190897597977244</v>
      </c>
      <c r="O99" s="140" t="s">
        <v>910</v>
      </c>
      <c r="P99">
        <f>VLOOKUP(B99,SAP!A:A,1,0)</f>
        <v>2685</v>
      </c>
    </row>
    <row r="100" spans="1:16">
      <c r="A100" s="276">
        <v>5176</v>
      </c>
      <c r="B100" s="266">
        <v>2685</v>
      </c>
      <c r="C100" s="276" t="s">
        <v>1224</v>
      </c>
      <c r="D100" s="223">
        <v>5726</v>
      </c>
      <c r="E100" s="223">
        <v>20151</v>
      </c>
      <c r="F100" s="267"/>
      <c r="G100" s="224"/>
      <c r="H100" s="301">
        <f t="shared" si="10"/>
        <v>5726</v>
      </c>
      <c r="I100" s="224">
        <f>SUMIF(AE!$B$1:$B$1009,B100,AE!$G$1:$G$1009)-SUMIF(AE!$B$1:$B$1009,B100,AE!$F$1:$F$1009)</f>
        <v>0</v>
      </c>
      <c r="J100" s="301">
        <f t="shared" si="11"/>
        <v>20151</v>
      </c>
      <c r="K100" s="58" t="str">
        <f t="shared" si="9"/>
        <v>268</v>
      </c>
      <c r="L100" s="58" t="str">
        <f t="shared" si="12"/>
        <v>26</v>
      </c>
      <c r="M100" s="268">
        <f t="shared" si="13"/>
        <v>3.519210618232623</v>
      </c>
      <c r="N100" s="268">
        <f t="shared" si="14"/>
        <v>3.519210618232623</v>
      </c>
      <c r="O100" s="140" t="s">
        <v>911</v>
      </c>
      <c r="P100">
        <f>VLOOKUP(B100,SAP!A:A,1,0)</f>
        <v>2685</v>
      </c>
    </row>
    <row r="101" spans="1:16">
      <c r="A101" s="276">
        <v>5177</v>
      </c>
      <c r="B101" s="266">
        <v>2685</v>
      </c>
      <c r="C101" s="276" t="s">
        <v>1383</v>
      </c>
      <c r="D101" s="223">
        <v>4622</v>
      </c>
      <c r="E101" s="223">
        <v>16266</v>
      </c>
      <c r="F101" s="267"/>
      <c r="G101" s="224"/>
      <c r="H101" s="301">
        <f t="shared" si="10"/>
        <v>4622</v>
      </c>
      <c r="I101" s="224">
        <f>SUMIF(AE!$B$1:$B$1009,B101,AE!$G$1:$G$1009)-SUMIF(AE!$B$1:$B$1009,B101,AE!$F$1:$F$1009)</f>
        <v>0</v>
      </c>
      <c r="J101" s="301">
        <f t="shared" si="11"/>
        <v>16266</v>
      </c>
      <c r="K101" s="58" t="str">
        <f t="shared" si="9"/>
        <v>268</v>
      </c>
      <c r="L101" s="58" t="str">
        <f t="shared" si="12"/>
        <v>26</v>
      </c>
      <c r="M101" s="268">
        <f t="shared" si="13"/>
        <v>3.5192557334487233</v>
      </c>
      <c r="N101" s="268">
        <f t="shared" si="14"/>
        <v>3.5192557334487233</v>
      </c>
      <c r="O101" s="140" t="s">
        <v>912</v>
      </c>
      <c r="P101">
        <f>VLOOKUP(B101,SAP!A:A,1,0)</f>
        <v>2685</v>
      </c>
    </row>
    <row r="102" spans="1:16">
      <c r="A102" s="276">
        <v>5178</v>
      </c>
      <c r="B102" s="266">
        <v>2685</v>
      </c>
      <c r="C102" s="276" t="s">
        <v>1384</v>
      </c>
      <c r="D102" s="223">
        <v>2805</v>
      </c>
      <c r="E102" s="223">
        <v>9872</v>
      </c>
      <c r="F102" s="267"/>
      <c r="G102" s="224"/>
      <c r="H102" s="301">
        <f t="shared" si="10"/>
        <v>2805</v>
      </c>
      <c r="I102" s="224">
        <f>SUMIF(AE!$B$1:$B$1009,B102,AE!$G$1:$G$1009)-SUMIF(AE!$B$1:$B$1009,B102,AE!$F$1:$F$1009)</f>
        <v>0</v>
      </c>
      <c r="J102" s="301">
        <f t="shared" si="11"/>
        <v>9872</v>
      </c>
      <c r="K102" s="58" t="str">
        <f t="shared" si="9"/>
        <v>268</v>
      </c>
      <c r="L102" s="58" t="str">
        <f t="shared" si="12"/>
        <v>26</v>
      </c>
      <c r="M102" s="268">
        <f t="shared" si="13"/>
        <v>3.5194295900178254</v>
      </c>
      <c r="N102" s="268">
        <f t="shared" si="14"/>
        <v>3.5194295900178254</v>
      </c>
      <c r="O102" s="140" t="s">
        <v>913</v>
      </c>
      <c r="P102">
        <f>VLOOKUP(B102,SAP!A:A,1,0)</f>
        <v>2685</v>
      </c>
    </row>
    <row r="103" spans="1:16">
      <c r="A103" s="276">
        <v>5179</v>
      </c>
      <c r="B103" s="266">
        <v>2685</v>
      </c>
      <c r="C103" s="276" t="s">
        <v>1385</v>
      </c>
      <c r="D103" s="223">
        <v>521</v>
      </c>
      <c r="E103" s="223">
        <v>1833</v>
      </c>
      <c r="F103" s="267"/>
      <c r="G103" s="224"/>
      <c r="H103" s="301">
        <f t="shared" si="10"/>
        <v>521</v>
      </c>
      <c r="I103" s="224">
        <f>SUMIF(AE!$B$1:$B$1009,B103,AE!$G$1:$G$1009)-SUMIF(AE!$B$1:$B$1009,B103,AE!$F$1:$F$1009)</f>
        <v>0</v>
      </c>
      <c r="J103" s="301">
        <f t="shared" si="11"/>
        <v>1833</v>
      </c>
      <c r="K103" s="58" t="str">
        <f t="shared" si="9"/>
        <v>268</v>
      </c>
      <c r="L103" s="58" t="str">
        <f t="shared" si="12"/>
        <v>26</v>
      </c>
      <c r="M103" s="268">
        <f t="shared" si="13"/>
        <v>3.5182341650671787</v>
      </c>
      <c r="N103" s="268">
        <f t="shared" si="14"/>
        <v>3.5182341650671787</v>
      </c>
      <c r="O103" s="140" t="s">
        <v>914</v>
      </c>
      <c r="P103">
        <f>VLOOKUP(B103,SAP!A:A,1,0)</f>
        <v>2685</v>
      </c>
    </row>
    <row r="104" spans="1:16">
      <c r="A104" s="276">
        <v>5200</v>
      </c>
      <c r="B104" s="266">
        <v>2685</v>
      </c>
      <c r="C104" s="276" t="s">
        <v>1225</v>
      </c>
      <c r="D104" s="223">
        <v>10657</v>
      </c>
      <c r="E104" s="223">
        <v>37501</v>
      </c>
      <c r="F104" s="267"/>
      <c r="G104" s="224"/>
      <c r="H104" s="301">
        <f t="shared" si="10"/>
        <v>10657</v>
      </c>
      <c r="I104" s="224">
        <f>SUMIF(AE!$B$1:$B$1009,B104,AE!$G$1:$G$1009)-SUMIF(AE!$B$1:$B$1009,B104,AE!$F$1:$F$1009)</f>
        <v>0</v>
      </c>
      <c r="J104" s="301">
        <f t="shared" si="11"/>
        <v>37501</v>
      </c>
      <c r="K104" s="58" t="str">
        <f t="shared" si="9"/>
        <v>268</v>
      </c>
      <c r="L104" s="58" t="str">
        <f t="shared" si="12"/>
        <v>26</v>
      </c>
      <c r="M104" s="268">
        <f t="shared" si="13"/>
        <v>3.5189077601576431</v>
      </c>
      <c r="N104" s="268">
        <f t="shared" si="14"/>
        <v>3.5189077601576431</v>
      </c>
      <c r="O104" s="140" t="s">
        <v>915</v>
      </c>
      <c r="P104">
        <f>VLOOKUP(B104,SAP!A:A,1,0)</f>
        <v>2685</v>
      </c>
    </row>
    <row r="105" spans="1:16">
      <c r="A105" s="276">
        <v>5201</v>
      </c>
      <c r="B105" s="266">
        <v>2685</v>
      </c>
      <c r="C105" s="276" t="s">
        <v>1226</v>
      </c>
      <c r="D105" s="223">
        <v>4465</v>
      </c>
      <c r="E105" s="223">
        <v>15712</v>
      </c>
      <c r="F105" s="267"/>
      <c r="G105" s="224"/>
      <c r="H105" s="301">
        <f t="shared" si="10"/>
        <v>4465</v>
      </c>
      <c r="I105" s="224">
        <f>SUMIF(AE!$B$1:$B$1009,B105,AE!$G$1:$G$1009)-SUMIF(AE!$B$1:$B$1009,B105,AE!$F$1:$F$1009)</f>
        <v>0</v>
      </c>
      <c r="J105" s="301">
        <f t="shared" si="11"/>
        <v>15712</v>
      </c>
      <c r="K105" s="58" t="str">
        <f t="shared" si="9"/>
        <v>268</v>
      </c>
      <c r="L105" s="58" t="str">
        <f t="shared" si="12"/>
        <v>26</v>
      </c>
      <c r="M105" s="268">
        <f t="shared" si="13"/>
        <v>3.5189249720044793</v>
      </c>
      <c r="N105" s="268">
        <f t="shared" si="14"/>
        <v>3.5189249720044793</v>
      </c>
      <c r="O105" s="140" t="s">
        <v>916</v>
      </c>
      <c r="P105">
        <f>VLOOKUP(B105,SAP!A:A,1,0)</f>
        <v>2685</v>
      </c>
    </row>
    <row r="106" spans="1:16">
      <c r="A106" s="276">
        <v>5202</v>
      </c>
      <c r="B106" s="266">
        <v>2685</v>
      </c>
      <c r="C106" s="276" t="s">
        <v>1227</v>
      </c>
      <c r="D106" s="223">
        <v>3439</v>
      </c>
      <c r="E106" s="223">
        <v>12101</v>
      </c>
      <c r="F106" s="267"/>
      <c r="G106" s="224"/>
      <c r="H106" s="301">
        <f t="shared" si="10"/>
        <v>3439</v>
      </c>
      <c r="I106" s="224">
        <f>SUMIF(AE!$B$1:$B$1009,B106,AE!$G$1:$G$1009)-SUMIF(AE!$B$1:$B$1009,B106,AE!$F$1:$F$1009)</f>
        <v>0</v>
      </c>
      <c r="J106" s="301">
        <f t="shared" si="11"/>
        <v>12101</v>
      </c>
      <c r="K106" s="58" t="str">
        <f t="shared" si="9"/>
        <v>268</v>
      </c>
      <c r="L106" s="58" t="str">
        <f t="shared" si="12"/>
        <v>26</v>
      </c>
      <c r="M106" s="268">
        <f t="shared" si="13"/>
        <v>3.5187554521663276</v>
      </c>
      <c r="N106" s="268">
        <f t="shared" si="14"/>
        <v>3.5187554521663276</v>
      </c>
      <c r="O106" s="140" t="s">
        <v>917</v>
      </c>
      <c r="P106">
        <f>VLOOKUP(B106,SAP!A:A,1,0)</f>
        <v>2685</v>
      </c>
    </row>
    <row r="107" spans="1:16">
      <c r="A107" s="276">
        <v>5204</v>
      </c>
      <c r="B107" s="266">
        <v>2685</v>
      </c>
      <c r="C107" s="276" t="s">
        <v>1228</v>
      </c>
      <c r="D107" s="223">
        <v>22692</v>
      </c>
      <c r="E107" s="223">
        <v>79852</v>
      </c>
      <c r="F107" s="267"/>
      <c r="G107" s="224"/>
      <c r="H107" s="301">
        <f t="shared" si="10"/>
        <v>22692</v>
      </c>
      <c r="I107" s="224">
        <f>SUMIF(AE!$B$1:$B$1009,B107,AE!$G$1:$G$1009)-SUMIF(AE!$B$1:$B$1009,B107,AE!$F$1:$F$1009)</f>
        <v>0</v>
      </c>
      <c r="J107" s="301">
        <f t="shared" si="11"/>
        <v>79852</v>
      </c>
      <c r="K107" s="58" t="str">
        <f t="shared" si="9"/>
        <v>268</v>
      </c>
      <c r="L107" s="58" t="str">
        <f t="shared" si="12"/>
        <v>26</v>
      </c>
      <c r="M107" s="268">
        <f t="shared" si="13"/>
        <v>3.5189494094835183</v>
      </c>
      <c r="N107" s="268">
        <f t="shared" si="14"/>
        <v>3.5189494094835183</v>
      </c>
      <c r="O107" s="140" t="s">
        <v>918</v>
      </c>
      <c r="P107">
        <f>VLOOKUP(B107,SAP!A:A,1,0)</f>
        <v>2685</v>
      </c>
    </row>
    <row r="108" spans="1:16">
      <c r="A108" s="276">
        <v>5205</v>
      </c>
      <c r="B108" s="266">
        <v>2685</v>
      </c>
      <c r="C108" s="276" t="s">
        <v>1229</v>
      </c>
      <c r="D108" s="223">
        <v>6392</v>
      </c>
      <c r="E108" s="223">
        <v>22494</v>
      </c>
      <c r="F108" s="267"/>
      <c r="G108" s="224"/>
      <c r="H108" s="301">
        <f t="shared" si="10"/>
        <v>6392</v>
      </c>
      <c r="I108" s="224">
        <f>SUMIF(AE!$B$1:$B$1009,B108,AE!$G$1:$G$1009)-SUMIF(AE!$B$1:$B$1009,B108,AE!$F$1:$F$1009)</f>
        <v>0</v>
      </c>
      <c r="J108" s="301">
        <f t="shared" si="11"/>
        <v>22494</v>
      </c>
      <c r="K108" s="58" t="str">
        <f t="shared" ref="K108:K171" si="15">LEFT(B108,3)</f>
        <v>268</v>
      </c>
      <c r="L108" s="58" t="str">
        <f t="shared" si="12"/>
        <v>26</v>
      </c>
      <c r="M108" s="268">
        <f t="shared" si="13"/>
        <v>3.5190863579474341</v>
      </c>
      <c r="N108" s="268">
        <f t="shared" si="14"/>
        <v>3.5190863579474341</v>
      </c>
      <c r="O108" s="140" t="s">
        <v>919</v>
      </c>
      <c r="P108">
        <f>VLOOKUP(B108,SAP!A:A,1,0)</f>
        <v>2685</v>
      </c>
    </row>
    <row r="109" spans="1:16">
      <c r="A109" s="276">
        <v>5206</v>
      </c>
      <c r="B109" s="266">
        <v>2685</v>
      </c>
      <c r="C109" s="276" t="s">
        <v>1230</v>
      </c>
      <c r="D109" s="223">
        <v>13991</v>
      </c>
      <c r="E109" s="223">
        <v>49233</v>
      </c>
      <c r="F109" s="267"/>
      <c r="G109" s="224"/>
      <c r="H109" s="301">
        <f t="shared" si="10"/>
        <v>13991</v>
      </c>
      <c r="I109" s="224">
        <f>SUMIF(AE!$B$1:$B$1009,B109,AE!$G$1:$G$1009)-SUMIF(AE!$B$1:$B$1009,B109,AE!$F$1:$F$1009)</f>
        <v>0</v>
      </c>
      <c r="J109" s="301">
        <f t="shared" si="11"/>
        <v>49233</v>
      </c>
      <c r="K109" s="58" t="str">
        <f t="shared" si="15"/>
        <v>268</v>
      </c>
      <c r="L109" s="58" t="str">
        <f t="shared" si="12"/>
        <v>26</v>
      </c>
      <c r="M109" s="268">
        <f t="shared" si="13"/>
        <v>3.5189050103638051</v>
      </c>
      <c r="N109" s="268">
        <f t="shared" si="14"/>
        <v>3.5189050103638051</v>
      </c>
      <c r="O109" s="140" t="s">
        <v>920</v>
      </c>
      <c r="P109">
        <f>VLOOKUP(B109,SAP!A:A,1,0)</f>
        <v>2685</v>
      </c>
    </row>
    <row r="110" spans="1:16">
      <c r="A110" s="276">
        <v>5208</v>
      </c>
      <c r="B110" s="266">
        <v>2685</v>
      </c>
      <c r="C110" s="276" t="s">
        <v>1231</v>
      </c>
      <c r="D110" s="223">
        <v>4996</v>
      </c>
      <c r="E110" s="223">
        <v>17581</v>
      </c>
      <c r="F110" s="267"/>
      <c r="G110" s="224"/>
      <c r="H110" s="301">
        <f t="shared" si="10"/>
        <v>4996</v>
      </c>
      <c r="I110" s="224">
        <f>SUMIF(AE!$B$1:$B$1009,B110,AE!$G$1:$G$1009)-SUMIF(AE!$B$1:$B$1009,B110,AE!$F$1:$F$1009)</f>
        <v>0</v>
      </c>
      <c r="J110" s="301">
        <f t="shared" si="11"/>
        <v>17581</v>
      </c>
      <c r="K110" s="58" t="str">
        <f t="shared" si="15"/>
        <v>268</v>
      </c>
      <c r="L110" s="58" t="str">
        <f t="shared" si="12"/>
        <v>26</v>
      </c>
      <c r="M110" s="268">
        <f t="shared" si="13"/>
        <v>3.519015212169736</v>
      </c>
      <c r="N110" s="268">
        <f t="shared" si="14"/>
        <v>3.519015212169736</v>
      </c>
      <c r="O110" s="140" t="s">
        <v>921</v>
      </c>
      <c r="P110">
        <f>VLOOKUP(B110,SAP!A:A,1,0)</f>
        <v>2685</v>
      </c>
    </row>
    <row r="111" spans="1:16">
      <c r="A111" s="276">
        <v>5209</v>
      </c>
      <c r="B111" s="266">
        <v>2685</v>
      </c>
      <c r="C111" s="276" t="s">
        <v>1232</v>
      </c>
      <c r="D111" s="223">
        <v>12241</v>
      </c>
      <c r="E111" s="223">
        <v>43075</v>
      </c>
      <c r="F111" s="267"/>
      <c r="G111" s="224"/>
      <c r="H111" s="301">
        <f t="shared" si="10"/>
        <v>12241</v>
      </c>
      <c r="I111" s="224">
        <f>SUMIF(AE!$B$1:$B$1009,B111,AE!$G$1:$G$1009)-SUMIF(AE!$B$1:$B$1009,B111,AE!$F$1:$F$1009)</f>
        <v>0</v>
      </c>
      <c r="J111" s="301">
        <f t="shared" si="11"/>
        <v>43075</v>
      </c>
      <c r="K111" s="58" t="str">
        <f t="shared" si="15"/>
        <v>268</v>
      </c>
      <c r="L111" s="58" t="str">
        <f t="shared" si="12"/>
        <v>26</v>
      </c>
      <c r="M111" s="268">
        <f t="shared" si="13"/>
        <v>3.5189118536067316</v>
      </c>
      <c r="N111" s="268">
        <f t="shared" si="14"/>
        <v>3.5189118536067316</v>
      </c>
      <c r="O111" s="140" t="s">
        <v>922</v>
      </c>
      <c r="P111">
        <f>VLOOKUP(B111,SAP!A:A,1,0)</f>
        <v>2685</v>
      </c>
    </row>
    <row r="112" spans="1:16">
      <c r="A112" s="276">
        <v>5210</v>
      </c>
      <c r="B112" s="266">
        <v>2685</v>
      </c>
      <c r="C112" s="276" t="s">
        <v>1233</v>
      </c>
      <c r="D112" s="223">
        <v>1482</v>
      </c>
      <c r="E112" s="223">
        <v>5214</v>
      </c>
      <c r="F112" s="267"/>
      <c r="G112" s="224"/>
      <c r="H112" s="301">
        <f t="shared" si="10"/>
        <v>1482</v>
      </c>
      <c r="I112" s="224">
        <f>SUMIF(AE!$B$1:$B$1009,B112,AE!$G$1:$G$1009)-SUMIF(AE!$B$1:$B$1009,B112,AE!$F$1:$F$1009)</f>
        <v>0</v>
      </c>
      <c r="J112" s="301">
        <f t="shared" si="11"/>
        <v>5214</v>
      </c>
      <c r="K112" s="58" t="str">
        <f t="shared" si="15"/>
        <v>268</v>
      </c>
      <c r="L112" s="58" t="str">
        <f t="shared" si="12"/>
        <v>26</v>
      </c>
      <c r="M112" s="268">
        <f t="shared" si="13"/>
        <v>3.5182186234817814</v>
      </c>
      <c r="N112" s="268">
        <f t="shared" si="14"/>
        <v>3.5182186234817814</v>
      </c>
      <c r="O112" s="140" t="s">
        <v>923</v>
      </c>
      <c r="P112">
        <f>VLOOKUP(B112,SAP!A:A,1,0)</f>
        <v>2685</v>
      </c>
    </row>
    <row r="113" spans="1:16">
      <c r="A113" s="276">
        <v>5211</v>
      </c>
      <c r="B113" s="266">
        <v>2685</v>
      </c>
      <c r="C113" s="276" t="s">
        <v>1234</v>
      </c>
      <c r="D113" s="223">
        <v>14573</v>
      </c>
      <c r="E113" s="223">
        <v>51283</v>
      </c>
      <c r="F113" s="267"/>
      <c r="G113" s="224"/>
      <c r="H113" s="301">
        <f t="shared" si="10"/>
        <v>14573</v>
      </c>
      <c r="I113" s="224">
        <f>SUMIF(AE!$B$1:$B$1009,B113,AE!$G$1:$G$1009)-SUMIF(AE!$B$1:$B$1009,B113,AE!$F$1:$F$1009)</f>
        <v>0</v>
      </c>
      <c r="J113" s="301">
        <f t="shared" si="11"/>
        <v>51283</v>
      </c>
      <c r="K113" s="58" t="str">
        <f t="shared" si="15"/>
        <v>268</v>
      </c>
      <c r="L113" s="58" t="str">
        <f t="shared" si="12"/>
        <v>26</v>
      </c>
      <c r="M113" s="268">
        <f t="shared" si="13"/>
        <v>3.5190420640911273</v>
      </c>
      <c r="N113" s="268">
        <f t="shared" si="14"/>
        <v>3.5190420640911273</v>
      </c>
      <c r="O113" s="140" t="s">
        <v>924</v>
      </c>
      <c r="P113">
        <f>VLOOKUP(B113,SAP!A:A,1,0)</f>
        <v>2685</v>
      </c>
    </row>
    <row r="114" spans="1:16">
      <c r="A114" s="276">
        <v>5212</v>
      </c>
      <c r="B114" s="266">
        <v>2685</v>
      </c>
      <c r="C114" s="276" t="s">
        <v>1235</v>
      </c>
      <c r="D114" s="223">
        <v>2354</v>
      </c>
      <c r="E114" s="223">
        <v>8283</v>
      </c>
      <c r="F114" s="267"/>
      <c r="G114" s="224"/>
      <c r="H114" s="301">
        <f t="shared" si="10"/>
        <v>2354</v>
      </c>
      <c r="I114" s="224">
        <f>SUMIF(AE!$B$1:$B$1009,B114,AE!$G$1:$G$1009)-SUMIF(AE!$B$1:$B$1009,B114,AE!$F$1:$F$1009)</f>
        <v>0</v>
      </c>
      <c r="J114" s="301">
        <f t="shared" si="11"/>
        <v>8283</v>
      </c>
      <c r="K114" s="58" t="str">
        <f t="shared" si="15"/>
        <v>268</v>
      </c>
      <c r="L114" s="58" t="str">
        <f t="shared" si="12"/>
        <v>26</v>
      </c>
      <c r="M114" s="268">
        <f t="shared" si="13"/>
        <v>3.5186915887850465</v>
      </c>
      <c r="N114" s="268">
        <f t="shared" si="14"/>
        <v>3.5186915887850465</v>
      </c>
      <c r="O114" s="140" t="s">
        <v>925</v>
      </c>
      <c r="P114">
        <f>VLOOKUP(B114,SAP!A:A,1,0)</f>
        <v>2685</v>
      </c>
    </row>
    <row r="115" spans="1:16">
      <c r="A115" s="276">
        <v>5213</v>
      </c>
      <c r="B115" s="266">
        <v>2685</v>
      </c>
      <c r="C115" s="276" t="s">
        <v>1236</v>
      </c>
      <c r="D115" s="223">
        <v>6146</v>
      </c>
      <c r="E115" s="223">
        <v>21629</v>
      </c>
      <c r="F115" s="267"/>
      <c r="G115" s="224"/>
      <c r="H115" s="301">
        <f t="shared" si="10"/>
        <v>6146</v>
      </c>
      <c r="I115" s="224">
        <f>SUMIF(AE!$B$1:$B$1009,B115,AE!$G$1:$G$1009)-SUMIF(AE!$B$1:$B$1009,B115,AE!$F$1:$F$1009)</f>
        <v>0</v>
      </c>
      <c r="J115" s="301">
        <f t="shared" si="11"/>
        <v>21629</v>
      </c>
      <c r="K115" s="58" t="str">
        <f t="shared" si="15"/>
        <v>268</v>
      </c>
      <c r="L115" s="58" t="str">
        <f t="shared" si="12"/>
        <v>26</v>
      </c>
      <c r="M115" s="268">
        <f t="shared" si="13"/>
        <v>3.5191994793361534</v>
      </c>
      <c r="N115" s="268">
        <f t="shared" si="14"/>
        <v>3.5191994793361534</v>
      </c>
      <c r="O115" s="140" t="s">
        <v>926</v>
      </c>
      <c r="P115">
        <f>VLOOKUP(B115,SAP!A:A,1,0)</f>
        <v>2685</v>
      </c>
    </row>
    <row r="116" spans="1:16">
      <c r="A116" s="276">
        <v>5215</v>
      </c>
      <c r="B116" s="266">
        <v>2685</v>
      </c>
      <c r="C116" s="276" t="s">
        <v>1237</v>
      </c>
      <c r="D116" s="223">
        <v>4566</v>
      </c>
      <c r="E116" s="223">
        <v>16069</v>
      </c>
      <c r="F116" s="267"/>
      <c r="G116" s="224"/>
      <c r="H116" s="301">
        <f t="shared" si="10"/>
        <v>4566</v>
      </c>
      <c r="I116" s="224">
        <f>SUMIF(AE!$B$1:$B$1009,B116,AE!$G$1:$G$1009)-SUMIF(AE!$B$1:$B$1009,B116,AE!$F$1:$F$1009)</f>
        <v>0</v>
      </c>
      <c r="J116" s="301">
        <f t="shared" si="11"/>
        <v>16069</v>
      </c>
      <c r="K116" s="58" t="str">
        <f t="shared" si="15"/>
        <v>268</v>
      </c>
      <c r="L116" s="58" t="str">
        <f t="shared" si="12"/>
        <v>26</v>
      </c>
      <c r="M116" s="268">
        <f t="shared" si="13"/>
        <v>3.5192728865527814</v>
      </c>
      <c r="N116" s="268">
        <f t="shared" si="14"/>
        <v>3.5192728865527814</v>
      </c>
      <c r="O116" s="140" t="s">
        <v>927</v>
      </c>
      <c r="P116">
        <f>VLOOKUP(B116,SAP!A:A,1,0)</f>
        <v>2685</v>
      </c>
    </row>
    <row r="117" spans="1:16">
      <c r="A117" s="276">
        <v>5216</v>
      </c>
      <c r="B117" s="266">
        <v>2685</v>
      </c>
      <c r="C117" s="276" t="s">
        <v>1238</v>
      </c>
      <c r="D117" s="223">
        <v>3419</v>
      </c>
      <c r="E117" s="223">
        <v>12032</v>
      </c>
      <c r="F117" s="267"/>
      <c r="G117" s="224"/>
      <c r="H117" s="301">
        <f t="shared" si="10"/>
        <v>3419</v>
      </c>
      <c r="I117" s="224">
        <f>SUMIF(AE!$B$1:$B$1009,B117,AE!$G$1:$G$1009)-SUMIF(AE!$B$1:$B$1009,B117,AE!$F$1:$F$1009)</f>
        <v>0</v>
      </c>
      <c r="J117" s="301">
        <f t="shared" si="11"/>
        <v>12032</v>
      </c>
      <c r="K117" s="58" t="str">
        <f t="shared" si="15"/>
        <v>268</v>
      </c>
      <c r="L117" s="58" t="str">
        <f t="shared" si="12"/>
        <v>26</v>
      </c>
      <c r="M117" s="268">
        <f t="shared" si="13"/>
        <v>3.5191576484352152</v>
      </c>
      <c r="N117" s="268">
        <f t="shared" si="14"/>
        <v>3.5191576484352152</v>
      </c>
      <c r="O117" s="140" t="s">
        <v>928</v>
      </c>
      <c r="P117">
        <f>VLOOKUP(B117,SAP!A:A,1,0)</f>
        <v>2685</v>
      </c>
    </row>
    <row r="118" spans="1:16">
      <c r="A118" s="276">
        <v>5218</v>
      </c>
      <c r="B118" s="266">
        <v>2685</v>
      </c>
      <c r="C118" s="276" t="s">
        <v>1239</v>
      </c>
      <c r="D118" s="223">
        <v>3125</v>
      </c>
      <c r="E118" s="223">
        <v>10998</v>
      </c>
      <c r="F118" s="267"/>
      <c r="G118" s="224"/>
      <c r="H118" s="301">
        <f t="shared" si="10"/>
        <v>3125</v>
      </c>
      <c r="I118" s="224">
        <f>SUMIF(AE!$B$1:$B$1009,B118,AE!$G$1:$G$1009)-SUMIF(AE!$B$1:$B$1009,B118,AE!$F$1:$F$1009)</f>
        <v>0</v>
      </c>
      <c r="J118" s="301">
        <f t="shared" si="11"/>
        <v>10998</v>
      </c>
      <c r="K118" s="58" t="str">
        <f t="shared" si="15"/>
        <v>268</v>
      </c>
      <c r="L118" s="58" t="str">
        <f t="shared" si="12"/>
        <v>26</v>
      </c>
      <c r="M118" s="268">
        <f t="shared" si="13"/>
        <v>3.5193599999999998</v>
      </c>
      <c r="N118" s="268">
        <f t="shared" si="14"/>
        <v>3.5193599999999998</v>
      </c>
      <c r="O118" s="140" t="s">
        <v>929</v>
      </c>
      <c r="P118">
        <f>VLOOKUP(B118,SAP!A:A,1,0)</f>
        <v>2685</v>
      </c>
    </row>
    <row r="119" spans="1:16">
      <c r="A119" s="276">
        <v>5219</v>
      </c>
      <c r="B119" s="266">
        <v>2685</v>
      </c>
      <c r="C119" s="276" t="s">
        <v>1240</v>
      </c>
      <c r="D119" s="223">
        <v>148</v>
      </c>
      <c r="E119" s="223">
        <v>521</v>
      </c>
      <c r="F119" s="267"/>
      <c r="G119" s="224"/>
      <c r="H119" s="301">
        <f t="shared" si="10"/>
        <v>148</v>
      </c>
      <c r="I119" s="224">
        <f>SUMIF(AE!$B$1:$B$1009,B119,AE!$G$1:$G$1009)-SUMIF(AE!$B$1:$B$1009,B119,AE!$F$1:$F$1009)</f>
        <v>0</v>
      </c>
      <c r="J119" s="301">
        <f t="shared" si="11"/>
        <v>521</v>
      </c>
      <c r="K119" s="58" t="str">
        <f t="shared" si="15"/>
        <v>268</v>
      </c>
      <c r="L119" s="58" t="str">
        <f t="shared" si="12"/>
        <v>26</v>
      </c>
      <c r="M119" s="268">
        <f t="shared" si="13"/>
        <v>3.5202702702702702</v>
      </c>
      <c r="N119" s="268">
        <f t="shared" si="14"/>
        <v>3.5202702702702702</v>
      </c>
      <c r="O119" s="140" t="s">
        <v>930</v>
      </c>
      <c r="P119">
        <f>VLOOKUP(B119,SAP!A:A,1,0)</f>
        <v>2685</v>
      </c>
    </row>
    <row r="120" spans="1:16">
      <c r="A120" s="276">
        <v>5220</v>
      </c>
      <c r="B120" s="266">
        <v>2685</v>
      </c>
      <c r="C120" s="276" t="s">
        <v>1241</v>
      </c>
      <c r="D120" s="223">
        <v>2180</v>
      </c>
      <c r="E120" s="223">
        <v>7673</v>
      </c>
      <c r="F120" s="267"/>
      <c r="G120" s="224"/>
      <c r="H120" s="301">
        <f t="shared" si="10"/>
        <v>2180</v>
      </c>
      <c r="I120" s="224">
        <f>SUMIF(AE!$B$1:$B$1009,B120,AE!$G$1:$G$1009)-SUMIF(AE!$B$1:$B$1009,B120,AE!$F$1:$F$1009)</f>
        <v>0</v>
      </c>
      <c r="J120" s="301">
        <f t="shared" si="11"/>
        <v>7673</v>
      </c>
      <c r="K120" s="58" t="str">
        <f t="shared" si="15"/>
        <v>268</v>
      </c>
      <c r="L120" s="58" t="str">
        <f t="shared" si="12"/>
        <v>26</v>
      </c>
      <c r="M120" s="268">
        <f t="shared" si="13"/>
        <v>3.5197247706422017</v>
      </c>
      <c r="N120" s="268">
        <f t="shared" si="14"/>
        <v>3.5197247706422017</v>
      </c>
      <c r="O120" s="140" t="s">
        <v>931</v>
      </c>
      <c r="P120">
        <f>VLOOKUP(B120,SAP!A:A,1,0)</f>
        <v>2685</v>
      </c>
    </row>
    <row r="121" spans="1:16">
      <c r="A121" s="276">
        <v>5221</v>
      </c>
      <c r="B121" s="266">
        <v>2685</v>
      </c>
      <c r="C121" s="276" t="s">
        <v>1242</v>
      </c>
      <c r="D121" s="223">
        <v>6145</v>
      </c>
      <c r="E121" s="223">
        <v>21626</v>
      </c>
      <c r="F121" s="267"/>
      <c r="G121" s="224"/>
      <c r="H121" s="301">
        <f t="shared" si="10"/>
        <v>6145</v>
      </c>
      <c r="I121" s="224">
        <f>SUMIF(AE!$B$1:$B$1009,B121,AE!$G$1:$G$1009)-SUMIF(AE!$B$1:$B$1009,B121,AE!$F$1:$F$1009)</f>
        <v>0</v>
      </c>
      <c r="J121" s="301">
        <f t="shared" si="11"/>
        <v>21626</v>
      </c>
      <c r="K121" s="58" t="str">
        <f t="shared" si="15"/>
        <v>268</v>
      </c>
      <c r="L121" s="58" t="str">
        <f t="shared" si="12"/>
        <v>26</v>
      </c>
      <c r="M121" s="268">
        <f t="shared" si="13"/>
        <v>3.5192839707078925</v>
      </c>
      <c r="N121" s="268">
        <f t="shared" si="14"/>
        <v>3.5192839707078925</v>
      </c>
      <c r="O121" s="140" t="s">
        <v>932</v>
      </c>
      <c r="P121">
        <f>VLOOKUP(B121,SAP!A:A,1,0)</f>
        <v>2685</v>
      </c>
    </row>
    <row r="122" spans="1:16">
      <c r="A122" s="276">
        <v>5222</v>
      </c>
      <c r="B122" s="266">
        <v>2685</v>
      </c>
      <c r="C122" s="276" t="s">
        <v>1243</v>
      </c>
      <c r="D122" s="223">
        <v>2335</v>
      </c>
      <c r="E122" s="223">
        <v>8217</v>
      </c>
      <c r="F122" s="267"/>
      <c r="G122" s="224"/>
      <c r="H122" s="301">
        <f t="shared" si="10"/>
        <v>2335</v>
      </c>
      <c r="I122" s="224">
        <f>SUMIF(AE!$B$1:$B$1009,B122,AE!$G$1:$G$1009)-SUMIF(AE!$B$1:$B$1009,B122,AE!$F$1:$F$1009)</f>
        <v>0</v>
      </c>
      <c r="J122" s="301">
        <f t="shared" si="11"/>
        <v>8217</v>
      </c>
      <c r="K122" s="58" t="str">
        <f t="shared" si="15"/>
        <v>268</v>
      </c>
      <c r="L122" s="58" t="str">
        <f t="shared" si="12"/>
        <v>26</v>
      </c>
      <c r="M122" s="268">
        <f t="shared" si="13"/>
        <v>3.5190578158458243</v>
      </c>
      <c r="N122" s="268">
        <f t="shared" si="14"/>
        <v>3.5190578158458243</v>
      </c>
      <c r="O122" s="140" t="s">
        <v>933</v>
      </c>
      <c r="P122">
        <f>VLOOKUP(B122,SAP!A:A,1,0)</f>
        <v>2685</v>
      </c>
    </row>
    <row r="123" spans="1:16">
      <c r="A123" s="276">
        <v>5223</v>
      </c>
      <c r="B123" s="266">
        <v>2685</v>
      </c>
      <c r="C123" s="276" t="s">
        <v>1244</v>
      </c>
      <c r="D123" s="223">
        <v>446</v>
      </c>
      <c r="E123" s="223">
        <v>1571</v>
      </c>
      <c r="F123" s="267"/>
      <c r="G123" s="224"/>
      <c r="H123" s="301">
        <f t="shared" si="10"/>
        <v>446</v>
      </c>
      <c r="I123" s="224">
        <f>SUMIF(AE!$B$1:$B$1009,B123,AE!$G$1:$G$1009)-SUMIF(AE!$B$1:$B$1009,B123,AE!$F$1:$F$1009)</f>
        <v>0</v>
      </c>
      <c r="J123" s="301">
        <f t="shared" si="11"/>
        <v>1571</v>
      </c>
      <c r="K123" s="58" t="str">
        <f t="shared" si="15"/>
        <v>268</v>
      </c>
      <c r="L123" s="58" t="str">
        <f t="shared" si="12"/>
        <v>26</v>
      </c>
      <c r="M123" s="268">
        <f t="shared" si="13"/>
        <v>3.522421524663677</v>
      </c>
      <c r="N123" s="268">
        <f t="shared" si="14"/>
        <v>3.522421524663677</v>
      </c>
      <c r="O123" s="140" t="s">
        <v>934</v>
      </c>
      <c r="P123">
        <f>VLOOKUP(B123,SAP!A:A,1,0)</f>
        <v>2685</v>
      </c>
    </row>
    <row r="124" spans="1:16">
      <c r="A124" s="276">
        <v>5224</v>
      </c>
      <c r="B124" s="266">
        <v>2685</v>
      </c>
      <c r="C124" s="276" t="s">
        <v>1245</v>
      </c>
      <c r="D124" s="223">
        <v>995</v>
      </c>
      <c r="E124" s="223">
        <v>3500</v>
      </c>
      <c r="F124" s="267"/>
      <c r="G124" s="224"/>
      <c r="H124" s="301">
        <f t="shared" si="10"/>
        <v>995</v>
      </c>
      <c r="I124" s="224">
        <f>SUMIF(AE!$B$1:$B$1009,B124,AE!$G$1:$G$1009)-SUMIF(AE!$B$1:$B$1009,B124,AE!$F$1:$F$1009)</f>
        <v>0</v>
      </c>
      <c r="J124" s="301">
        <f t="shared" si="11"/>
        <v>3500</v>
      </c>
      <c r="K124" s="58" t="str">
        <f t="shared" si="15"/>
        <v>268</v>
      </c>
      <c r="L124" s="58" t="str">
        <f t="shared" si="12"/>
        <v>26</v>
      </c>
      <c r="M124" s="268">
        <f t="shared" si="13"/>
        <v>3.5175879396984926</v>
      </c>
      <c r="N124" s="268">
        <f t="shared" si="14"/>
        <v>3.5175879396984926</v>
      </c>
      <c r="O124" s="140" t="s">
        <v>935</v>
      </c>
      <c r="P124">
        <f>VLOOKUP(B124,SAP!A:A,1,0)</f>
        <v>2685</v>
      </c>
    </row>
    <row r="125" spans="1:16">
      <c r="A125" s="276">
        <v>5225</v>
      </c>
      <c r="B125" s="266">
        <v>2685</v>
      </c>
      <c r="C125" s="276" t="s">
        <v>1246</v>
      </c>
      <c r="D125" s="223">
        <v>663</v>
      </c>
      <c r="E125" s="223">
        <v>2332</v>
      </c>
      <c r="F125" s="267"/>
      <c r="G125" s="224"/>
      <c r="H125" s="301">
        <f t="shared" si="10"/>
        <v>663</v>
      </c>
      <c r="I125" s="224">
        <f>SUMIF(AE!$B$1:$B$1009,B125,AE!$G$1:$G$1009)-SUMIF(AE!$B$1:$B$1009,B125,AE!$F$1:$F$1009)</f>
        <v>0</v>
      </c>
      <c r="J125" s="301">
        <f t="shared" si="11"/>
        <v>2332</v>
      </c>
      <c r="K125" s="58" t="str">
        <f t="shared" si="15"/>
        <v>268</v>
      </c>
      <c r="L125" s="58" t="str">
        <f t="shared" si="12"/>
        <v>26</v>
      </c>
      <c r="M125" s="268">
        <f t="shared" si="13"/>
        <v>3.5173453996983408</v>
      </c>
      <c r="N125" s="268">
        <f t="shared" si="14"/>
        <v>3.5173453996983408</v>
      </c>
      <c r="O125" s="140" t="s">
        <v>936</v>
      </c>
      <c r="P125">
        <f>VLOOKUP(B125,SAP!A:A,1,0)</f>
        <v>2685</v>
      </c>
    </row>
    <row r="126" spans="1:16">
      <c r="A126" s="276">
        <v>5226</v>
      </c>
      <c r="B126" s="266">
        <v>2685</v>
      </c>
      <c r="C126" s="276" t="s">
        <v>1247</v>
      </c>
      <c r="D126" s="223">
        <v>446</v>
      </c>
      <c r="E126" s="223">
        <v>1571</v>
      </c>
      <c r="F126" s="267"/>
      <c r="G126" s="224"/>
      <c r="H126" s="301">
        <f t="shared" si="10"/>
        <v>446</v>
      </c>
      <c r="I126" s="224">
        <f>SUMIF(AE!$B$1:$B$1009,B126,AE!$G$1:$G$1009)-SUMIF(AE!$B$1:$B$1009,B126,AE!$F$1:$F$1009)</f>
        <v>0</v>
      </c>
      <c r="J126" s="301">
        <f t="shared" si="11"/>
        <v>1571</v>
      </c>
      <c r="K126" s="58" t="str">
        <f t="shared" si="15"/>
        <v>268</v>
      </c>
      <c r="L126" s="58" t="str">
        <f t="shared" si="12"/>
        <v>26</v>
      </c>
      <c r="M126" s="268">
        <f t="shared" si="13"/>
        <v>3.522421524663677</v>
      </c>
      <c r="N126" s="268">
        <f t="shared" si="14"/>
        <v>3.522421524663677</v>
      </c>
      <c r="O126" s="140" t="s">
        <v>937</v>
      </c>
      <c r="P126">
        <f>VLOOKUP(B126,SAP!A:A,1,0)</f>
        <v>2685</v>
      </c>
    </row>
    <row r="127" spans="1:16">
      <c r="A127" s="276">
        <v>5227</v>
      </c>
      <c r="B127" s="266">
        <v>2685</v>
      </c>
      <c r="C127" s="276" t="s">
        <v>1248</v>
      </c>
      <c r="D127" s="223">
        <v>2232</v>
      </c>
      <c r="E127" s="223">
        <v>7856</v>
      </c>
      <c r="F127" s="267"/>
      <c r="G127" s="224"/>
      <c r="H127" s="301">
        <f t="shared" si="10"/>
        <v>2232</v>
      </c>
      <c r="I127" s="224">
        <f>SUMIF(AE!$B$1:$B$1009,B127,AE!$G$1:$G$1009)-SUMIF(AE!$B$1:$B$1009,B127,AE!$F$1:$F$1009)</f>
        <v>0</v>
      </c>
      <c r="J127" s="301">
        <f t="shared" si="11"/>
        <v>7856</v>
      </c>
      <c r="K127" s="58" t="str">
        <f t="shared" si="15"/>
        <v>268</v>
      </c>
      <c r="L127" s="58" t="str">
        <f t="shared" si="12"/>
        <v>26</v>
      </c>
      <c r="M127" s="268">
        <f t="shared" si="13"/>
        <v>3.5197132616487457</v>
      </c>
      <c r="N127" s="268">
        <f t="shared" si="14"/>
        <v>3.5197132616487457</v>
      </c>
      <c r="O127" s="140" t="s">
        <v>938</v>
      </c>
      <c r="P127">
        <f>VLOOKUP(B127,SAP!A:A,1,0)</f>
        <v>2685</v>
      </c>
    </row>
    <row r="128" spans="1:16">
      <c r="A128" s="276">
        <v>5228</v>
      </c>
      <c r="B128" s="266">
        <v>2685</v>
      </c>
      <c r="C128" s="276" t="s">
        <v>1249</v>
      </c>
      <c r="D128" s="223">
        <v>2679</v>
      </c>
      <c r="E128" s="223">
        <v>9427</v>
      </c>
      <c r="F128" s="267"/>
      <c r="G128" s="224"/>
      <c r="H128" s="301">
        <f t="shared" si="10"/>
        <v>2679</v>
      </c>
      <c r="I128" s="224">
        <f>SUMIF(AE!$B$1:$B$1009,B128,AE!$G$1:$G$1009)-SUMIF(AE!$B$1:$B$1009,B128,AE!$F$1:$F$1009)</f>
        <v>0</v>
      </c>
      <c r="J128" s="301">
        <f t="shared" si="11"/>
        <v>9427</v>
      </c>
      <c r="K128" s="58" t="str">
        <f t="shared" si="15"/>
        <v>268</v>
      </c>
      <c r="L128" s="58" t="str">
        <f t="shared" si="12"/>
        <v>26</v>
      </c>
      <c r="M128" s="268">
        <f t="shared" si="13"/>
        <v>3.5188503172825683</v>
      </c>
      <c r="N128" s="268">
        <f t="shared" si="14"/>
        <v>3.5188503172825683</v>
      </c>
      <c r="O128" s="140" t="s">
        <v>939</v>
      </c>
      <c r="P128">
        <f>VLOOKUP(B128,SAP!A:A,1,0)</f>
        <v>2685</v>
      </c>
    </row>
    <row r="129" spans="1:19">
      <c r="A129" s="276">
        <v>5229</v>
      </c>
      <c r="B129" s="266">
        <v>2685</v>
      </c>
      <c r="C129" s="276" t="s">
        <v>1250</v>
      </c>
      <c r="D129" s="223">
        <v>446</v>
      </c>
      <c r="E129" s="223">
        <v>1571</v>
      </c>
      <c r="F129" s="267"/>
      <c r="G129" s="224"/>
      <c r="H129" s="301">
        <f t="shared" si="10"/>
        <v>446</v>
      </c>
      <c r="I129" s="224">
        <f>SUMIF(AE!$B$1:$B$1009,B129,AE!$G$1:$G$1009)-SUMIF(AE!$B$1:$B$1009,B129,AE!$F$1:$F$1009)</f>
        <v>0</v>
      </c>
      <c r="J129" s="301">
        <f t="shared" si="11"/>
        <v>1571</v>
      </c>
      <c r="K129" s="58" t="str">
        <f t="shared" si="15"/>
        <v>268</v>
      </c>
      <c r="L129" s="58" t="str">
        <f t="shared" si="12"/>
        <v>26</v>
      </c>
      <c r="M129" s="268">
        <f t="shared" si="13"/>
        <v>3.522421524663677</v>
      </c>
      <c r="N129" s="268">
        <f t="shared" si="14"/>
        <v>3.522421524663677</v>
      </c>
      <c r="O129" s="140" t="s">
        <v>940</v>
      </c>
      <c r="P129">
        <f>VLOOKUP(B129,SAP!A:A,1,0)</f>
        <v>2685</v>
      </c>
    </row>
    <row r="130" spans="1:19">
      <c r="A130" s="276">
        <v>5230</v>
      </c>
      <c r="B130" s="266">
        <v>2685</v>
      </c>
      <c r="C130" s="276" t="s">
        <v>1251</v>
      </c>
      <c r="D130" s="223">
        <v>3302</v>
      </c>
      <c r="E130" s="223">
        <v>11618</v>
      </c>
      <c r="F130" s="267"/>
      <c r="G130" s="224"/>
      <c r="H130" s="301">
        <f t="shared" si="10"/>
        <v>3302</v>
      </c>
      <c r="I130" s="224">
        <f>SUMIF(AE!$B$1:$B$1009,B130,AE!$G$1:$G$1009)-SUMIF(AE!$B$1:$B$1009,B130,AE!$F$1:$F$1009)</f>
        <v>0</v>
      </c>
      <c r="J130" s="301">
        <f t="shared" si="11"/>
        <v>11618</v>
      </c>
      <c r="K130" s="58" t="str">
        <f t="shared" si="15"/>
        <v>268</v>
      </c>
      <c r="L130" s="58" t="str">
        <f t="shared" si="12"/>
        <v>26</v>
      </c>
      <c r="M130" s="268">
        <f t="shared" si="13"/>
        <v>3.5184736523319202</v>
      </c>
      <c r="N130" s="268">
        <f t="shared" si="14"/>
        <v>3.5184736523319202</v>
      </c>
      <c r="O130" s="140" t="s">
        <v>941</v>
      </c>
      <c r="P130">
        <f>VLOOKUP(B130,SAP!A:A,1,0)</f>
        <v>2685</v>
      </c>
    </row>
    <row r="131" spans="1:19">
      <c r="A131" s="276">
        <v>5231</v>
      </c>
      <c r="B131" s="266">
        <v>2685</v>
      </c>
      <c r="C131" s="276" t="s">
        <v>1252</v>
      </c>
      <c r="D131" s="223">
        <v>2232</v>
      </c>
      <c r="E131" s="223">
        <v>7856</v>
      </c>
      <c r="F131" s="267"/>
      <c r="G131" s="224"/>
      <c r="H131" s="301">
        <f t="shared" ref="H131:H165" si="16">ROUND(G131+D131+F131,0)</f>
        <v>2232</v>
      </c>
      <c r="I131" s="224">
        <f>SUMIF(AE!$B$1:$B$1009,B131,AE!$G$1:$G$1009)-SUMIF(AE!$B$1:$B$1009,B131,AE!$F$1:$F$1009)</f>
        <v>0</v>
      </c>
      <c r="J131" s="301">
        <f t="shared" ref="J131:J165" si="17">ROUND(I131+E131,0)</f>
        <v>7856</v>
      </c>
      <c r="K131" s="58" t="str">
        <f t="shared" si="15"/>
        <v>268</v>
      </c>
      <c r="L131" s="58" t="str">
        <f t="shared" ref="L131:L194" si="18">LEFT(B131,2)</f>
        <v>26</v>
      </c>
      <c r="M131" s="268">
        <f t="shared" ref="M131:M304" si="19">+E131/D131</f>
        <v>3.5197132616487457</v>
      </c>
      <c r="N131" s="268">
        <f t="shared" ref="N131:N304" si="20">+J131/H131</f>
        <v>3.5197132616487457</v>
      </c>
      <c r="O131" s="140" t="s">
        <v>942</v>
      </c>
      <c r="P131">
        <f>VLOOKUP(B131,SAP!A:A,1,0)</f>
        <v>2685</v>
      </c>
    </row>
    <row r="132" spans="1:19">
      <c r="A132" s="276">
        <v>5232</v>
      </c>
      <c r="B132" s="266">
        <v>2685</v>
      </c>
      <c r="C132" s="276" t="s">
        <v>1253</v>
      </c>
      <c r="D132" s="223">
        <v>2704</v>
      </c>
      <c r="E132" s="223">
        <v>9515</v>
      </c>
      <c r="F132" s="267"/>
      <c r="G132" s="224"/>
      <c r="H132" s="301">
        <f t="shared" si="16"/>
        <v>2704</v>
      </c>
      <c r="I132" s="224">
        <f>SUMIF(AE!$B$1:$B$1009,B132,AE!$G$1:$G$1009)-SUMIF(AE!$B$1:$B$1009,B132,AE!$F$1:$F$1009)</f>
        <v>0</v>
      </c>
      <c r="J132" s="301">
        <f t="shared" si="17"/>
        <v>9515</v>
      </c>
      <c r="K132" s="58" t="str">
        <f t="shared" si="15"/>
        <v>268</v>
      </c>
      <c r="L132" s="58" t="str">
        <f t="shared" si="18"/>
        <v>26</v>
      </c>
      <c r="M132" s="268">
        <f t="shared" si="19"/>
        <v>3.518860946745562</v>
      </c>
      <c r="N132" s="268">
        <f t="shared" si="20"/>
        <v>3.518860946745562</v>
      </c>
      <c r="O132" s="140" t="s">
        <v>943</v>
      </c>
      <c r="P132">
        <f>VLOOKUP(B132,SAP!A:A,1,0)</f>
        <v>2685</v>
      </c>
    </row>
    <row r="133" spans="1:19">
      <c r="A133" s="276">
        <v>5233</v>
      </c>
      <c r="B133" s="266">
        <v>2685</v>
      </c>
      <c r="C133" s="276" t="s">
        <v>1254</v>
      </c>
      <c r="D133" s="223">
        <v>1786</v>
      </c>
      <c r="E133" s="223">
        <v>6285</v>
      </c>
      <c r="F133" s="267"/>
      <c r="G133" s="224"/>
      <c r="H133" s="301">
        <f t="shared" si="16"/>
        <v>1786</v>
      </c>
      <c r="I133" s="224">
        <f>SUMIF(AE!$B$1:$B$1009,B133,AE!$G$1:$G$1009)-SUMIF(AE!$B$1:$B$1009,B133,AE!$F$1:$F$1009)</f>
        <v>0</v>
      </c>
      <c r="J133" s="301">
        <f t="shared" si="17"/>
        <v>6285</v>
      </c>
      <c r="K133" s="58" t="str">
        <f t="shared" si="15"/>
        <v>268</v>
      </c>
      <c r="L133" s="58" t="str">
        <f t="shared" si="18"/>
        <v>26</v>
      </c>
      <c r="M133" s="268">
        <f t="shared" si="19"/>
        <v>3.5190369540873458</v>
      </c>
      <c r="N133" s="268">
        <f t="shared" si="20"/>
        <v>3.5190369540873458</v>
      </c>
      <c r="O133" s="140" t="s">
        <v>944</v>
      </c>
      <c r="P133">
        <f>VLOOKUP(B133,SAP!A:A,1,0)</f>
        <v>2685</v>
      </c>
    </row>
    <row r="134" spans="1:19">
      <c r="A134" s="276">
        <v>5234</v>
      </c>
      <c r="B134" s="266">
        <v>2685</v>
      </c>
      <c r="C134" s="276" t="s">
        <v>1255</v>
      </c>
      <c r="D134" s="223">
        <v>2018</v>
      </c>
      <c r="E134" s="223">
        <v>7101</v>
      </c>
      <c r="F134" s="267"/>
      <c r="G134" s="224"/>
      <c r="H134" s="301">
        <f t="shared" si="16"/>
        <v>2018</v>
      </c>
      <c r="I134" s="224">
        <f>SUMIF(AE!$B$1:$B$1009,B134,AE!$G$1:$G$1009)-SUMIF(AE!$B$1:$B$1009,B134,AE!$F$1:$F$1009)</f>
        <v>0</v>
      </c>
      <c r="J134" s="301">
        <f t="shared" si="17"/>
        <v>7101</v>
      </c>
      <c r="K134" s="58" t="str">
        <f t="shared" si="15"/>
        <v>268</v>
      </c>
      <c r="L134" s="58" t="str">
        <f t="shared" si="18"/>
        <v>26</v>
      </c>
      <c r="M134" s="268">
        <f t="shared" si="19"/>
        <v>3.5188305252725471</v>
      </c>
      <c r="N134" s="268">
        <f t="shared" si="20"/>
        <v>3.5188305252725471</v>
      </c>
      <c r="O134" s="140" t="s">
        <v>945</v>
      </c>
      <c r="P134">
        <f>VLOOKUP(B134,SAP!A:A,1,0)</f>
        <v>2685</v>
      </c>
    </row>
    <row r="135" spans="1:19">
      <c r="A135" s="276">
        <v>5235</v>
      </c>
      <c r="B135" s="266">
        <v>2685</v>
      </c>
      <c r="C135" s="276" t="s">
        <v>1256</v>
      </c>
      <c r="D135" s="223">
        <v>-2459</v>
      </c>
      <c r="E135" s="223">
        <v>-8652</v>
      </c>
      <c r="F135" s="267"/>
      <c r="G135" s="224"/>
      <c r="H135" s="301">
        <f t="shared" si="16"/>
        <v>-2459</v>
      </c>
      <c r="I135" s="224">
        <f>SUMIF(AE!$B$1:$B$1009,B135,AE!$G$1:$G$1009)-SUMIF(AE!$B$1:$B$1009,B135,AE!$F$1:$F$1009)</f>
        <v>0</v>
      </c>
      <c r="J135" s="301">
        <f t="shared" si="17"/>
        <v>-8652</v>
      </c>
      <c r="K135" s="58" t="str">
        <f t="shared" si="15"/>
        <v>268</v>
      </c>
      <c r="L135" s="58" t="str">
        <f t="shared" si="18"/>
        <v>26</v>
      </c>
      <c r="M135" s="268">
        <f t="shared" si="19"/>
        <v>3.5185034566897113</v>
      </c>
      <c r="N135" s="268">
        <f t="shared" si="20"/>
        <v>3.5185034566897113</v>
      </c>
      <c r="O135" s="140" t="s">
        <v>946</v>
      </c>
      <c r="P135">
        <f>VLOOKUP(B135,SAP!A:A,1,0)</f>
        <v>2685</v>
      </c>
    </row>
    <row r="136" spans="1:19" s="731" customFormat="1">
      <c r="A136" s="733">
        <v>6005</v>
      </c>
      <c r="B136" s="642">
        <v>2686</v>
      </c>
      <c r="C136" s="733" t="s">
        <v>1257</v>
      </c>
      <c r="D136" s="723">
        <v>234727</v>
      </c>
      <c r="E136" s="723">
        <v>826003</v>
      </c>
      <c r="F136" s="734"/>
      <c r="G136" s="732"/>
      <c r="H136" s="638">
        <f t="shared" si="16"/>
        <v>234727</v>
      </c>
      <c r="I136" s="732">
        <f>SUMIF(AE!$B$1:$B$1009,B136,AE!$G$1:$G$1009)-SUMIF(AE!$B$1:$B$1009,B136,AE!$F$1:$F$1009)</f>
        <v>0</v>
      </c>
      <c r="J136" s="638">
        <f t="shared" si="17"/>
        <v>826003</v>
      </c>
      <c r="K136" s="640" t="str">
        <f t="shared" si="15"/>
        <v>268</v>
      </c>
      <c r="L136" s="640" t="str">
        <f t="shared" si="18"/>
        <v>26</v>
      </c>
      <c r="M136" s="641">
        <f t="shared" si="19"/>
        <v>3.5189944062677068</v>
      </c>
      <c r="N136" s="641">
        <f t="shared" si="20"/>
        <v>3.5189944062677068</v>
      </c>
      <c r="O136" s="642" t="s">
        <v>947</v>
      </c>
      <c r="P136" s="731">
        <f>VLOOKUP(B136,SAP!A:A,1,0)</f>
        <v>2686</v>
      </c>
      <c r="S136" s="723"/>
    </row>
    <row r="137" spans="1:19">
      <c r="A137" s="276">
        <v>5004</v>
      </c>
      <c r="B137" s="266">
        <v>2687</v>
      </c>
      <c r="C137" s="276" t="s">
        <v>1258</v>
      </c>
      <c r="D137" s="223">
        <v>174402</v>
      </c>
      <c r="E137" s="223">
        <v>613720</v>
      </c>
      <c r="F137" s="267"/>
      <c r="G137" s="224"/>
      <c r="H137" s="301">
        <f t="shared" si="16"/>
        <v>174402</v>
      </c>
      <c r="I137" s="224">
        <f>SUMIF(AE!$B$1:$B$1009,B137,AE!$G$1:$G$1009)-SUMIF(AE!$B$1:$B$1009,B137,AE!$F$1:$F$1009)</f>
        <v>0</v>
      </c>
      <c r="J137" s="301">
        <f t="shared" si="17"/>
        <v>613720</v>
      </c>
      <c r="K137" s="58" t="str">
        <f t="shared" si="15"/>
        <v>268</v>
      </c>
      <c r="L137" s="58" t="str">
        <f t="shared" si="18"/>
        <v>26</v>
      </c>
      <c r="M137" s="268">
        <f t="shared" si="19"/>
        <v>3.5189963417850714</v>
      </c>
      <c r="N137" s="268">
        <f t="shared" si="20"/>
        <v>3.5189963417850714</v>
      </c>
      <c r="O137" s="140" t="s">
        <v>948</v>
      </c>
      <c r="P137">
        <f>VLOOKUP(B137,SAP!A:A,1,0)</f>
        <v>2687</v>
      </c>
    </row>
    <row r="138" spans="1:19">
      <c r="A138" s="276">
        <v>9910</v>
      </c>
      <c r="B138" s="266">
        <v>3721</v>
      </c>
      <c r="C138" s="276" t="s">
        <v>44</v>
      </c>
      <c r="D138" s="223">
        <v>591</v>
      </c>
      <c r="E138" s="223">
        <v>2044</v>
      </c>
      <c r="F138" s="267"/>
      <c r="G138" s="224"/>
      <c r="H138" s="301">
        <f t="shared" si="16"/>
        <v>591</v>
      </c>
      <c r="I138" s="224">
        <f>SUMIF(AE!$B$1:$B$1009,B138,AE!$G$1:$G$1009)-SUMIF(AE!$B$1:$B$1009,B138,AE!$F$1:$F$1009)</f>
        <v>0</v>
      </c>
      <c r="J138" s="301">
        <f t="shared" si="17"/>
        <v>2044</v>
      </c>
      <c r="K138" s="58" t="str">
        <f t="shared" si="15"/>
        <v>372</v>
      </c>
      <c r="L138" s="58" t="str">
        <f t="shared" si="18"/>
        <v>37</v>
      </c>
      <c r="M138" s="268">
        <f t="shared" si="19"/>
        <v>3.4585448392554992</v>
      </c>
      <c r="N138" s="268">
        <f t="shared" si="20"/>
        <v>3.4585448392554992</v>
      </c>
      <c r="O138" s="140" t="s">
        <v>949</v>
      </c>
      <c r="P138">
        <f>VLOOKUP(B138,SAP!A:A,1,0)</f>
        <v>3721</v>
      </c>
    </row>
    <row r="139" spans="1:19">
      <c r="A139" s="276">
        <v>9916</v>
      </c>
      <c r="B139" s="266">
        <v>3721</v>
      </c>
      <c r="C139" s="276" t="s">
        <v>1259</v>
      </c>
      <c r="D139" s="223">
        <v>368</v>
      </c>
      <c r="E139" s="223">
        <v>1277</v>
      </c>
      <c r="F139" s="267"/>
      <c r="G139" s="224"/>
      <c r="H139" s="301">
        <f t="shared" si="16"/>
        <v>368</v>
      </c>
      <c r="I139" s="224">
        <f>SUMIF(AE!$B$1:$B$1009,B139,AE!$G$1:$G$1009)-SUMIF(AE!$B$1:$B$1009,B139,AE!$F$1:$F$1009)</f>
        <v>0</v>
      </c>
      <c r="J139" s="301">
        <f t="shared" si="17"/>
        <v>1277</v>
      </c>
      <c r="K139" s="58" t="str">
        <f t="shared" si="15"/>
        <v>372</v>
      </c>
      <c r="L139" s="58" t="str">
        <f t="shared" si="18"/>
        <v>37</v>
      </c>
      <c r="M139" s="268">
        <f t="shared" si="19"/>
        <v>3.4701086956521738</v>
      </c>
      <c r="N139" s="268">
        <f t="shared" si="20"/>
        <v>3.4701086956521738</v>
      </c>
      <c r="O139" s="140" t="s">
        <v>950</v>
      </c>
      <c r="P139">
        <f>VLOOKUP(B139,SAP!A:A,1,0)</f>
        <v>3721</v>
      </c>
    </row>
    <row r="140" spans="1:19">
      <c r="A140" s="276">
        <v>9921</v>
      </c>
      <c r="B140" s="266">
        <v>3721</v>
      </c>
      <c r="C140" s="276" t="s">
        <v>1260</v>
      </c>
      <c r="D140" s="223">
        <v>305</v>
      </c>
      <c r="E140" s="223">
        <v>1145</v>
      </c>
      <c r="F140" s="267"/>
      <c r="G140" s="224"/>
      <c r="H140" s="301">
        <f t="shared" si="16"/>
        <v>305</v>
      </c>
      <c r="I140" s="224">
        <f>SUMIF(AE!$B$1:$B$1009,B140,AE!$G$1:$G$1009)-SUMIF(AE!$B$1:$B$1009,B140,AE!$F$1:$F$1009)</f>
        <v>0</v>
      </c>
      <c r="J140" s="301">
        <f t="shared" si="17"/>
        <v>1145</v>
      </c>
      <c r="K140" s="58" t="str">
        <f t="shared" si="15"/>
        <v>372</v>
      </c>
      <c r="L140" s="58" t="str">
        <f t="shared" si="18"/>
        <v>37</v>
      </c>
      <c r="M140" s="268">
        <f t="shared" si="19"/>
        <v>3.7540983606557377</v>
      </c>
      <c r="N140" s="268">
        <f t="shared" si="20"/>
        <v>3.7540983606557377</v>
      </c>
      <c r="O140" s="140" t="s">
        <v>951</v>
      </c>
      <c r="P140">
        <f>VLOOKUP(B140,SAP!A:A,1,0)</f>
        <v>3721</v>
      </c>
    </row>
    <row r="141" spans="1:19">
      <c r="A141" s="276">
        <v>9928</v>
      </c>
      <c r="B141" s="266">
        <v>3721</v>
      </c>
      <c r="C141" s="276" t="s">
        <v>709</v>
      </c>
      <c r="D141" s="223">
        <v>602</v>
      </c>
      <c r="E141" s="223">
        <v>1936</v>
      </c>
      <c r="F141" s="267"/>
      <c r="G141" s="224"/>
      <c r="H141" s="301">
        <f t="shared" si="16"/>
        <v>602</v>
      </c>
      <c r="I141" s="224">
        <f>SUMIF(AE!$B$1:$B$1009,B141,AE!$G$1:$G$1009)-SUMIF(AE!$B$1:$B$1009,B141,AE!$F$1:$F$1009)</f>
        <v>0</v>
      </c>
      <c r="J141" s="301">
        <f t="shared" si="17"/>
        <v>1936</v>
      </c>
      <c r="K141" s="58" t="str">
        <f t="shared" si="15"/>
        <v>372</v>
      </c>
      <c r="L141" s="58" t="str">
        <f t="shared" si="18"/>
        <v>37</v>
      </c>
      <c r="M141" s="268">
        <f t="shared" si="19"/>
        <v>3.2159468438538208</v>
      </c>
      <c r="N141" s="268">
        <f t="shared" si="20"/>
        <v>3.2159468438538208</v>
      </c>
      <c r="O141" s="140" t="s">
        <v>952</v>
      </c>
      <c r="P141">
        <f>VLOOKUP(B141,SAP!A:A,1,0)</f>
        <v>3721</v>
      </c>
    </row>
    <row r="142" spans="1:19">
      <c r="A142" s="276">
        <v>9944</v>
      </c>
      <c r="B142" s="266">
        <v>3721</v>
      </c>
      <c r="C142" s="276" t="s">
        <v>1097</v>
      </c>
      <c r="D142" s="223">
        <v>349</v>
      </c>
      <c r="E142" s="223">
        <v>1160</v>
      </c>
      <c r="F142" s="267"/>
      <c r="G142" s="224"/>
      <c r="H142" s="301">
        <f t="shared" si="16"/>
        <v>349</v>
      </c>
      <c r="I142" s="224">
        <f>SUMIF(AE!$B$1:$B$1009,B142,AE!$G$1:$G$1009)-SUMIF(AE!$B$1:$B$1009,B142,AE!$F$1:$F$1009)</f>
        <v>0</v>
      </c>
      <c r="J142" s="301">
        <f t="shared" si="17"/>
        <v>1160</v>
      </c>
      <c r="K142" s="58" t="str">
        <f t="shared" si="15"/>
        <v>372</v>
      </c>
      <c r="L142" s="58" t="str">
        <f t="shared" si="18"/>
        <v>37</v>
      </c>
      <c r="M142" s="268">
        <f t="shared" si="19"/>
        <v>3.3237822349570201</v>
      </c>
      <c r="N142" s="268">
        <f t="shared" si="20"/>
        <v>3.3237822349570201</v>
      </c>
      <c r="O142" s="140" t="s">
        <v>953</v>
      </c>
      <c r="P142">
        <f>VLOOKUP(B142,SAP!A:A,1,0)</f>
        <v>3721</v>
      </c>
    </row>
    <row r="143" spans="1:19">
      <c r="A143" s="276">
        <v>9917</v>
      </c>
      <c r="B143" s="266">
        <v>3740</v>
      </c>
      <c r="C143" s="276" t="s">
        <v>1261</v>
      </c>
      <c r="D143" s="223">
        <v>-577</v>
      </c>
      <c r="E143" s="223">
        <v>-2000</v>
      </c>
      <c r="F143" s="267"/>
      <c r="G143" s="224"/>
      <c r="H143" s="301">
        <f t="shared" si="16"/>
        <v>-577</v>
      </c>
      <c r="I143" s="224">
        <f>SUMIF(AE!$B$1:$B$1009,B143,AE!$G$1:$G$1009)-SUMIF(AE!$B$1:$B$1009,B143,AE!$F$1:$F$1009)</f>
        <v>0</v>
      </c>
      <c r="J143" s="301">
        <f t="shared" si="17"/>
        <v>-2000</v>
      </c>
      <c r="K143" s="58" t="str">
        <f t="shared" si="15"/>
        <v>374</v>
      </c>
      <c r="L143" s="58" t="str">
        <f t="shared" si="18"/>
        <v>37</v>
      </c>
      <c r="M143" s="268">
        <f t="shared" si="19"/>
        <v>3.4662045060658579</v>
      </c>
      <c r="N143" s="268">
        <f t="shared" si="20"/>
        <v>3.4662045060658579</v>
      </c>
      <c r="O143" s="140" t="s">
        <v>954</v>
      </c>
      <c r="P143">
        <f>VLOOKUP(B143,SAP!A:A,1,0)</f>
        <v>3740</v>
      </c>
    </row>
    <row r="144" spans="1:19">
      <c r="A144" s="276">
        <v>9901</v>
      </c>
      <c r="B144" s="266">
        <v>3743</v>
      </c>
      <c r="C144" s="276" t="s">
        <v>1262</v>
      </c>
      <c r="D144" s="223">
        <v>216800</v>
      </c>
      <c r="E144" s="223">
        <v>790458</v>
      </c>
      <c r="F144" s="267"/>
      <c r="G144" s="224"/>
      <c r="H144" s="301">
        <f t="shared" si="16"/>
        <v>216800</v>
      </c>
      <c r="I144" s="224">
        <f>SUMIF(AE!$B$1:$B$1009,B144,AE!$G$1:$G$1009)-SUMIF(AE!$B$1:$B$1009,B144,AE!$F$1:$F$1009)</f>
        <v>0</v>
      </c>
      <c r="J144" s="301">
        <f t="shared" si="17"/>
        <v>790458</v>
      </c>
      <c r="K144" s="58" t="str">
        <f t="shared" si="15"/>
        <v>374</v>
      </c>
      <c r="L144" s="58" t="str">
        <f t="shared" si="18"/>
        <v>37</v>
      </c>
      <c r="M144" s="268">
        <f t="shared" si="19"/>
        <v>3.6460239852398524</v>
      </c>
      <c r="N144" s="268">
        <f t="shared" si="20"/>
        <v>3.6460239852398524</v>
      </c>
      <c r="O144" s="140" t="s">
        <v>955</v>
      </c>
      <c r="P144">
        <f>VLOOKUP(B144,SAP!A:A,1,0)</f>
        <v>3743</v>
      </c>
    </row>
    <row r="145" spans="1:19">
      <c r="A145" s="276">
        <v>9902</v>
      </c>
      <c r="B145" s="266">
        <v>3743</v>
      </c>
      <c r="C145" s="276" t="s">
        <v>1263</v>
      </c>
      <c r="D145" s="223">
        <v>200000</v>
      </c>
      <c r="E145" s="223">
        <v>726407</v>
      </c>
      <c r="F145" s="267"/>
      <c r="G145" s="224"/>
      <c r="H145" s="301">
        <f t="shared" si="16"/>
        <v>200000</v>
      </c>
      <c r="I145" s="224">
        <f>SUMIF(AE!$B$1:$B$1009,B145,AE!$G$1:$G$1009)-SUMIF(AE!$B$1:$B$1009,B145,AE!$F$1:$F$1009)</f>
        <v>0</v>
      </c>
      <c r="J145" s="301">
        <f t="shared" si="17"/>
        <v>726407</v>
      </c>
      <c r="K145" s="58" t="str">
        <f t="shared" si="15"/>
        <v>374</v>
      </c>
      <c r="L145" s="58" t="str">
        <f t="shared" si="18"/>
        <v>37</v>
      </c>
      <c r="M145" s="268">
        <f t="shared" si="19"/>
        <v>3.6320350000000001</v>
      </c>
      <c r="N145" s="268">
        <f t="shared" si="20"/>
        <v>3.6320350000000001</v>
      </c>
      <c r="O145" s="140" t="s">
        <v>956</v>
      </c>
      <c r="P145">
        <f>VLOOKUP(B145,SAP!A:A,1,0)</f>
        <v>3743</v>
      </c>
    </row>
    <row r="146" spans="1:19">
      <c r="A146" s="276">
        <v>9903</v>
      </c>
      <c r="B146" s="266">
        <v>3743</v>
      </c>
      <c r="C146" s="276" t="s">
        <v>1264</v>
      </c>
      <c r="D146" s="223">
        <v>225000</v>
      </c>
      <c r="E146" s="223">
        <v>817204</v>
      </c>
      <c r="F146" s="267"/>
      <c r="G146" s="224"/>
      <c r="H146" s="301">
        <f t="shared" si="16"/>
        <v>225000</v>
      </c>
      <c r="I146" s="224">
        <f>SUMIF(AE!$B$1:$B$1009,B146,AE!$G$1:$G$1009)-SUMIF(AE!$B$1:$B$1009,B146,AE!$F$1:$F$1009)</f>
        <v>0</v>
      </c>
      <c r="J146" s="301">
        <f t="shared" si="17"/>
        <v>817204</v>
      </c>
      <c r="K146" s="58" t="str">
        <f t="shared" si="15"/>
        <v>374</v>
      </c>
      <c r="L146" s="58" t="str">
        <f t="shared" si="18"/>
        <v>37</v>
      </c>
      <c r="M146" s="268">
        <f t="shared" si="19"/>
        <v>3.6320177777777776</v>
      </c>
      <c r="N146" s="268">
        <f t="shared" si="20"/>
        <v>3.6320177777777776</v>
      </c>
      <c r="O146" s="140" t="s">
        <v>957</v>
      </c>
      <c r="P146">
        <f>VLOOKUP(B146,SAP!A:A,1,0)</f>
        <v>3743</v>
      </c>
    </row>
    <row r="147" spans="1:19">
      <c r="A147" s="276">
        <v>9904</v>
      </c>
      <c r="B147" s="266">
        <v>3743</v>
      </c>
      <c r="C147" s="276" t="s">
        <v>1265</v>
      </c>
      <c r="D147" s="223">
        <v>250000</v>
      </c>
      <c r="E147" s="223">
        <v>908008</v>
      </c>
      <c r="F147" s="267"/>
      <c r="G147" s="224"/>
      <c r="H147" s="301">
        <f t="shared" si="16"/>
        <v>250000</v>
      </c>
      <c r="I147" s="224">
        <f>SUMIF(AE!$B$1:$B$1009,B147,AE!$G$1:$G$1009)-SUMIF(AE!$B$1:$B$1009,B147,AE!$F$1:$F$1009)</f>
        <v>0</v>
      </c>
      <c r="J147" s="301">
        <f t="shared" si="17"/>
        <v>908008</v>
      </c>
      <c r="K147" s="58" t="str">
        <f t="shared" si="15"/>
        <v>374</v>
      </c>
      <c r="L147" s="58" t="str">
        <f t="shared" si="18"/>
        <v>37</v>
      </c>
      <c r="M147" s="268">
        <f t="shared" si="19"/>
        <v>3.6320320000000001</v>
      </c>
      <c r="N147" s="268">
        <f t="shared" si="20"/>
        <v>3.6320320000000001</v>
      </c>
      <c r="O147" s="140" t="s">
        <v>958</v>
      </c>
      <c r="P147">
        <f>VLOOKUP(B147,SAP!A:A,1,0)</f>
        <v>3743</v>
      </c>
    </row>
    <row r="148" spans="1:19" s="58" customFormat="1">
      <c r="A148" s="276">
        <v>9905</v>
      </c>
      <c r="B148" s="266">
        <v>3743</v>
      </c>
      <c r="C148" s="276" t="s">
        <v>1266</v>
      </c>
      <c r="D148" s="223">
        <v>650000</v>
      </c>
      <c r="E148" s="223">
        <v>2369916</v>
      </c>
      <c r="F148" s="267"/>
      <c r="G148" s="456"/>
      <c r="H148" s="301">
        <f t="shared" si="16"/>
        <v>650000</v>
      </c>
      <c r="I148" s="456">
        <f>SUMIF(AE!$B$1:$B$1009,B148,AE!$G$1:$G$1009)-SUMIF(AE!$B$1:$B$1009,B148,AE!$F$1:$F$1009)</f>
        <v>0</v>
      </c>
      <c r="J148" s="301">
        <f t="shared" si="17"/>
        <v>2369916</v>
      </c>
      <c r="K148" s="58" t="str">
        <f t="shared" si="15"/>
        <v>374</v>
      </c>
      <c r="L148" s="58" t="str">
        <f t="shared" si="18"/>
        <v>37</v>
      </c>
      <c r="M148" s="268">
        <f t="shared" si="19"/>
        <v>3.6460246153846154</v>
      </c>
      <c r="N148" s="268">
        <f t="shared" si="20"/>
        <v>3.6460246153846154</v>
      </c>
      <c r="O148" s="140" t="s">
        <v>959</v>
      </c>
      <c r="P148">
        <f>VLOOKUP(B148,SAP!A:A,1,0)</f>
        <v>3743</v>
      </c>
      <c r="S148" s="563"/>
    </row>
    <row r="149" spans="1:19" s="58" customFormat="1">
      <c r="A149" s="276">
        <v>9906</v>
      </c>
      <c r="B149" s="266">
        <v>3743</v>
      </c>
      <c r="C149" s="276" t="s">
        <v>1267</v>
      </c>
      <c r="D149" s="223">
        <v>2693200</v>
      </c>
      <c r="E149" s="223">
        <v>9695491</v>
      </c>
      <c r="F149" s="267"/>
      <c r="G149" s="224"/>
      <c r="H149" s="301">
        <f t="shared" si="16"/>
        <v>2693200</v>
      </c>
      <c r="I149" s="224">
        <f>SUMIF(AE!$B$1:$B$1009,B149,AE!$G$1:$G$1009)-SUMIF(AE!$B$1:$B$1009,B149,AE!$F$1:$F$1009)</f>
        <v>0</v>
      </c>
      <c r="J149" s="301">
        <f t="shared" si="17"/>
        <v>9695491</v>
      </c>
      <c r="K149" s="58" t="str">
        <f t="shared" si="15"/>
        <v>374</v>
      </c>
      <c r="L149" s="58" t="str">
        <f t="shared" si="18"/>
        <v>37</v>
      </c>
      <c r="M149" s="268">
        <f t="shared" si="19"/>
        <v>3.5999892321402052</v>
      </c>
      <c r="N149" s="268">
        <f t="shared" si="20"/>
        <v>3.5999892321402052</v>
      </c>
      <c r="O149" s="140" t="s">
        <v>960</v>
      </c>
      <c r="P149">
        <f>VLOOKUP(B149,SAP!A:A,1,0)</f>
        <v>3743</v>
      </c>
      <c r="S149" s="563"/>
    </row>
    <row r="150" spans="1:19" s="58" customFormat="1">
      <c r="A150" s="276">
        <v>9907</v>
      </c>
      <c r="B150" s="266">
        <v>3743</v>
      </c>
      <c r="C150" s="276" t="s">
        <v>440</v>
      </c>
      <c r="D150" s="223">
        <v>10000</v>
      </c>
      <c r="E150" s="223">
        <v>34690</v>
      </c>
      <c r="F150" s="267"/>
      <c r="G150" s="456"/>
      <c r="H150" s="301">
        <f t="shared" si="16"/>
        <v>10000</v>
      </c>
      <c r="I150" s="456">
        <f>SUMIF(AE!$B$1:$B$1009,B150,AE!$G$1:$G$1009)-SUMIF(AE!$B$1:$B$1009,B150,AE!$F$1:$F$1009)</f>
        <v>0</v>
      </c>
      <c r="J150" s="301">
        <f t="shared" si="17"/>
        <v>34690</v>
      </c>
      <c r="K150" s="58" t="str">
        <f t="shared" si="15"/>
        <v>374</v>
      </c>
      <c r="L150" s="58" t="str">
        <f t="shared" si="18"/>
        <v>37</v>
      </c>
      <c r="M150" s="268">
        <f t="shared" si="19"/>
        <v>3.4689999999999999</v>
      </c>
      <c r="N150" s="268">
        <f t="shared" si="20"/>
        <v>3.4689999999999999</v>
      </c>
      <c r="O150" s="140" t="s">
        <v>961</v>
      </c>
      <c r="P150">
        <f>VLOOKUP(B150,SAP!A:A,1,0)</f>
        <v>3743</v>
      </c>
      <c r="S150" s="563"/>
    </row>
    <row r="151" spans="1:19" s="58" customFormat="1">
      <c r="A151" s="276">
        <v>9908</v>
      </c>
      <c r="B151" s="266">
        <v>3743</v>
      </c>
      <c r="C151" s="276" t="s">
        <v>441</v>
      </c>
      <c r="D151" s="223">
        <v>7000053</v>
      </c>
      <c r="E151" s="223">
        <v>24091983</v>
      </c>
      <c r="F151" s="267"/>
      <c r="G151" s="456"/>
      <c r="H151" s="301">
        <f t="shared" si="16"/>
        <v>7000053</v>
      </c>
      <c r="I151" s="456">
        <f>SUMIF(AE!$B$1:$B$1009,B151,AE!$G$1:$G$1009)-SUMIF(AE!$B$1:$B$1009,B151,AE!$F$1:$F$1009)</f>
        <v>0</v>
      </c>
      <c r="J151" s="301">
        <f t="shared" si="17"/>
        <v>24091983</v>
      </c>
      <c r="K151" s="58" t="str">
        <f t="shared" si="15"/>
        <v>374</v>
      </c>
      <c r="L151" s="58" t="str">
        <f t="shared" si="18"/>
        <v>37</v>
      </c>
      <c r="M151" s="268">
        <f t="shared" si="19"/>
        <v>3.4416857986646674</v>
      </c>
      <c r="N151" s="268">
        <f t="shared" si="20"/>
        <v>3.4416857986646674</v>
      </c>
      <c r="O151" s="140" t="s">
        <v>962</v>
      </c>
      <c r="P151">
        <f>VLOOKUP(B151,SAP!A:A,1,0)</f>
        <v>3743</v>
      </c>
      <c r="S151" s="563"/>
    </row>
    <row r="152" spans="1:19">
      <c r="A152" s="276">
        <v>9912</v>
      </c>
      <c r="B152" s="266">
        <v>3743</v>
      </c>
      <c r="C152" s="276" t="s">
        <v>442</v>
      </c>
      <c r="D152" s="223">
        <v>1749976</v>
      </c>
      <c r="E152" s="223">
        <v>5929455</v>
      </c>
      <c r="F152" s="267"/>
      <c r="G152" s="224"/>
      <c r="H152" s="301">
        <f t="shared" si="16"/>
        <v>1749976</v>
      </c>
      <c r="I152" s="224">
        <f>SUMIF(AE!$B$1:$B$1009,B152,AE!$G$1:$G$1009)-SUMIF(AE!$B$1:$B$1009,B152,AE!$F$1:$F$1009)</f>
        <v>0</v>
      </c>
      <c r="J152" s="301">
        <f t="shared" si="17"/>
        <v>5929455</v>
      </c>
      <c r="K152" s="58" t="str">
        <f t="shared" si="15"/>
        <v>374</v>
      </c>
      <c r="L152" s="58" t="str">
        <f t="shared" si="18"/>
        <v>37</v>
      </c>
      <c r="M152" s="268">
        <f t="shared" si="19"/>
        <v>3.3883064682029924</v>
      </c>
      <c r="N152" s="268">
        <f t="shared" si="20"/>
        <v>3.3883064682029924</v>
      </c>
      <c r="O152" s="140" t="s">
        <v>963</v>
      </c>
      <c r="P152">
        <f>VLOOKUP(B152,SAP!A:A,1,0)</f>
        <v>3743</v>
      </c>
    </row>
    <row r="153" spans="1:19">
      <c r="A153" s="276">
        <v>9913</v>
      </c>
      <c r="B153" s="266">
        <v>3743</v>
      </c>
      <c r="C153" s="276" t="s">
        <v>1268</v>
      </c>
      <c r="D153" s="223">
        <v>2000035</v>
      </c>
      <c r="E153" s="223">
        <v>7075123</v>
      </c>
      <c r="F153" s="267"/>
      <c r="G153" s="224"/>
      <c r="H153" s="301">
        <f t="shared" si="16"/>
        <v>2000035</v>
      </c>
      <c r="I153" s="224">
        <f>SUMIF(AE!$B$1:$B$1009,B153,AE!$G$1:$G$1009)-SUMIF(AE!$B$1:$B$1009,B153,AE!$F$1:$F$1009)</f>
        <v>0</v>
      </c>
      <c r="J153" s="301">
        <f t="shared" si="17"/>
        <v>7075123</v>
      </c>
      <c r="K153" s="58" t="str">
        <f t="shared" si="15"/>
        <v>374</v>
      </c>
      <c r="L153" s="58" t="str">
        <f t="shared" si="18"/>
        <v>37</v>
      </c>
      <c r="M153" s="268">
        <f t="shared" si="19"/>
        <v>3.5374995937571092</v>
      </c>
      <c r="N153" s="268">
        <f t="shared" si="20"/>
        <v>3.5374995937571092</v>
      </c>
      <c r="O153" s="140" t="s">
        <v>964</v>
      </c>
      <c r="P153">
        <f>VLOOKUP(B153,SAP!A:A,1,0)</f>
        <v>3743</v>
      </c>
    </row>
    <row r="154" spans="1:19">
      <c r="A154" s="276">
        <v>9914</v>
      </c>
      <c r="B154" s="266">
        <v>3743</v>
      </c>
      <c r="C154" s="276" t="s">
        <v>443</v>
      </c>
      <c r="D154" s="223">
        <v>500000</v>
      </c>
      <c r="E154" s="223">
        <v>1820500</v>
      </c>
      <c r="F154" s="267"/>
      <c r="G154" s="224"/>
      <c r="H154" s="301">
        <f t="shared" si="16"/>
        <v>500000</v>
      </c>
      <c r="I154" s="224">
        <f>SUMIF(AE!$B$1:$B$1009,B154,AE!$G$1:$G$1009)-SUMIF(AE!$B$1:$B$1009,B154,AE!$F$1:$F$1009)</f>
        <v>0</v>
      </c>
      <c r="J154" s="301">
        <f t="shared" si="17"/>
        <v>1820500</v>
      </c>
      <c r="K154" s="58" t="str">
        <f t="shared" si="15"/>
        <v>374</v>
      </c>
      <c r="L154" s="58" t="str">
        <f t="shared" si="18"/>
        <v>37</v>
      </c>
      <c r="M154" s="268">
        <f t="shared" si="19"/>
        <v>3.641</v>
      </c>
      <c r="N154" s="268">
        <f t="shared" si="20"/>
        <v>3.641</v>
      </c>
      <c r="O154" s="140" t="s">
        <v>965</v>
      </c>
      <c r="P154">
        <f>VLOOKUP(B154,SAP!A:A,1,0)</f>
        <v>3743</v>
      </c>
    </row>
    <row r="155" spans="1:19">
      <c r="A155" s="276">
        <v>9915</v>
      </c>
      <c r="B155" s="266">
        <v>3743</v>
      </c>
      <c r="C155" s="276" t="s">
        <v>444</v>
      </c>
      <c r="D155" s="223">
        <v>150000</v>
      </c>
      <c r="E155" s="223">
        <v>545250</v>
      </c>
      <c r="F155" s="267"/>
      <c r="G155" s="224"/>
      <c r="H155" s="301">
        <f t="shared" si="16"/>
        <v>150000</v>
      </c>
      <c r="I155" s="224">
        <f>SUMIF(AE!$B$1:$B$1009,B155,AE!$G$1:$G$1009)-SUMIF(AE!$B$1:$B$1009,B155,AE!$F$1:$F$1009)</f>
        <v>0</v>
      </c>
      <c r="J155" s="301">
        <f t="shared" si="17"/>
        <v>545250</v>
      </c>
      <c r="K155" s="58" t="str">
        <f t="shared" si="15"/>
        <v>374</v>
      </c>
      <c r="L155" s="58" t="str">
        <f t="shared" si="18"/>
        <v>37</v>
      </c>
      <c r="M155" s="268">
        <f t="shared" si="19"/>
        <v>3.6349999999999998</v>
      </c>
      <c r="N155" s="268">
        <f t="shared" si="20"/>
        <v>3.6349999999999998</v>
      </c>
      <c r="O155" s="140" t="s">
        <v>966</v>
      </c>
      <c r="P155">
        <f>VLOOKUP(B155,SAP!A:A,1,0)</f>
        <v>3743</v>
      </c>
    </row>
    <row r="156" spans="1:19">
      <c r="A156" s="276">
        <v>9918</v>
      </c>
      <c r="B156" s="266">
        <v>3743</v>
      </c>
      <c r="C156" s="276" t="s">
        <v>1269</v>
      </c>
      <c r="D156" s="223">
        <v>-2979796</v>
      </c>
      <c r="E156" s="223">
        <v>-10447063</v>
      </c>
      <c r="F156" s="267"/>
      <c r="G156" s="224"/>
      <c r="H156" s="301">
        <f t="shared" si="16"/>
        <v>-2979796</v>
      </c>
      <c r="I156" s="224">
        <f>SUMIF(AE!$B$1:$B$1009,B156,AE!$G$1:$G$1009)-SUMIF(AE!$B$1:$B$1009,B156,AE!$F$1:$F$1009)</f>
        <v>0</v>
      </c>
      <c r="J156" s="301">
        <f t="shared" si="17"/>
        <v>-10447063</v>
      </c>
      <c r="K156" s="58" t="str">
        <f t="shared" si="15"/>
        <v>374</v>
      </c>
      <c r="L156" s="58" t="str">
        <f t="shared" si="18"/>
        <v>37</v>
      </c>
      <c r="M156" s="268">
        <f t="shared" si="19"/>
        <v>3.5059658446417137</v>
      </c>
      <c r="N156" s="268">
        <f t="shared" si="20"/>
        <v>3.5059658446417137</v>
      </c>
      <c r="O156" s="140" t="s">
        <v>967</v>
      </c>
      <c r="P156">
        <f>VLOOKUP(B156,SAP!A:A,1,0)</f>
        <v>3743</v>
      </c>
    </row>
    <row r="157" spans="1:19">
      <c r="A157" s="276">
        <v>9920</v>
      </c>
      <c r="B157" s="266">
        <v>3743</v>
      </c>
      <c r="C157" s="276" t="s">
        <v>704</v>
      </c>
      <c r="D157" s="223">
        <v>4999940</v>
      </c>
      <c r="E157" s="223">
        <v>17274767</v>
      </c>
      <c r="F157" s="267"/>
      <c r="G157" s="224"/>
      <c r="H157" s="301">
        <f t="shared" si="16"/>
        <v>4999940</v>
      </c>
      <c r="I157" s="224">
        <f>SUMIF(AE!$B$1:$B$1009,B157,AE!$G$1:$G$1009)-SUMIF(AE!$B$1:$B$1009,B157,AE!$F$1:$F$1009)</f>
        <v>0</v>
      </c>
      <c r="J157" s="301">
        <f t="shared" si="17"/>
        <v>17274767</v>
      </c>
      <c r="K157" s="58" t="str">
        <f t="shared" si="15"/>
        <v>374</v>
      </c>
      <c r="L157" s="58" t="str">
        <f t="shared" si="18"/>
        <v>37</v>
      </c>
      <c r="M157" s="268">
        <f t="shared" si="19"/>
        <v>3.4549948599383193</v>
      </c>
      <c r="N157" s="268">
        <f t="shared" si="20"/>
        <v>3.4549948599383193</v>
      </c>
      <c r="O157" s="140" t="s">
        <v>968</v>
      </c>
      <c r="P157">
        <f>VLOOKUP(B157,SAP!A:A,1,0)</f>
        <v>3743</v>
      </c>
    </row>
    <row r="158" spans="1:19">
      <c r="A158" s="276">
        <v>9923</v>
      </c>
      <c r="B158" s="266">
        <v>3743</v>
      </c>
      <c r="C158" s="276" t="s">
        <v>471</v>
      </c>
      <c r="D158" s="223">
        <v>-1630</v>
      </c>
      <c r="E158" s="223">
        <v>-5562</v>
      </c>
      <c r="F158" s="267"/>
      <c r="G158" s="224"/>
      <c r="H158" s="301">
        <f t="shared" si="16"/>
        <v>-1630</v>
      </c>
      <c r="I158" s="224">
        <f>SUMIF(AE!$B$1:$B$1009,B158,AE!$G$1:$G$1009)-SUMIF(AE!$B$1:$B$1009,B158,AE!$F$1:$F$1009)</f>
        <v>0</v>
      </c>
      <c r="J158" s="301">
        <f t="shared" si="17"/>
        <v>-5562</v>
      </c>
      <c r="K158" s="58" t="str">
        <f t="shared" si="15"/>
        <v>374</v>
      </c>
      <c r="L158" s="58" t="str">
        <f t="shared" si="18"/>
        <v>37</v>
      </c>
      <c r="M158" s="268">
        <f t="shared" si="19"/>
        <v>3.4122699386503066</v>
      </c>
      <c r="N158" s="268">
        <f t="shared" si="20"/>
        <v>3.4122699386503066</v>
      </c>
      <c r="O158" s="140" t="s">
        <v>969</v>
      </c>
      <c r="P158">
        <f>VLOOKUP(B158,SAP!A:A,1,0)</f>
        <v>3743</v>
      </c>
    </row>
    <row r="159" spans="1:19">
      <c r="A159" s="276">
        <v>9924</v>
      </c>
      <c r="B159" s="266">
        <v>3743</v>
      </c>
      <c r="C159" s="276" t="s">
        <v>705</v>
      </c>
      <c r="D159" s="223">
        <v>1999952</v>
      </c>
      <c r="E159" s="223">
        <v>6907809</v>
      </c>
      <c r="F159" s="267"/>
      <c r="G159" s="224"/>
      <c r="H159" s="301">
        <f t="shared" si="16"/>
        <v>1999952</v>
      </c>
      <c r="I159" s="224">
        <f>SUMIF(AE!$B$1:$B$1009,B159,AE!$G$1:$G$1009)-SUMIF(AE!$B$1:$B$1009,B159,AE!$F$1:$F$1009)</f>
        <v>0</v>
      </c>
      <c r="J159" s="301">
        <f t="shared" si="17"/>
        <v>6907809</v>
      </c>
      <c r="K159" s="58" t="str">
        <f t="shared" si="15"/>
        <v>374</v>
      </c>
      <c r="L159" s="58" t="str">
        <f t="shared" si="18"/>
        <v>37</v>
      </c>
      <c r="M159" s="268">
        <f t="shared" si="19"/>
        <v>3.4539873956974967</v>
      </c>
      <c r="N159" s="268">
        <f t="shared" si="20"/>
        <v>3.4539873956974967</v>
      </c>
      <c r="O159" s="140" t="s">
        <v>970</v>
      </c>
      <c r="P159">
        <f>VLOOKUP(B159,SAP!A:A,1,0)</f>
        <v>3743</v>
      </c>
    </row>
    <row r="160" spans="1:19">
      <c r="A160" s="276">
        <v>9925</v>
      </c>
      <c r="B160" s="266">
        <v>3743</v>
      </c>
      <c r="C160" s="276" t="s">
        <v>706</v>
      </c>
      <c r="D160" s="223">
        <v>5999976</v>
      </c>
      <c r="E160" s="223">
        <v>20729907</v>
      </c>
      <c r="F160" s="267"/>
      <c r="G160" s="224"/>
      <c r="H160" s="301">
        <f t="shared" si="16"/>
        <v>5999976</v>
      </c>
      <c r="I160" s="224">
        <f>SUMIF(AE!$B$1:$B$1009,B160,AE!$G$1:$G$1009)-SUMIF(AE!$B$1:$B$1009,B160,AE!$F$1:$F$1009)</f>
        <v>0</v>
      </c>
      <c r="J160" s="301">
        <f t="shared" si="17"/>
        <v>20729907</v>
      </c>
      <c r="K160" s="58" t="str">
        <f t="shared" si="15"/>
        <v>374</v>
      </c>
      <c r="L160" s="58" t="str">
        <f t="shared" si="18"/>
        <v>37</v>
      </c>
      <c r="M160" s="268">
        <f t="shared" si="19"/>
        <v>3.4549983199932801</v>
      </c>
      <c r="N160" s="268">
        <f t="shared" si="20"/>
        <v>3.4549983199932801</v>
      </c>
      <c r="O160" s="140" t="s">
        <v>971</v>
      </c>
      <c r="P160">
        <f>VLOOKUP(B160,SAP!A:A,1,0)</f>
        <v>3743</v>
      </c>
    </row>
    <row r="161" spans="1:16">
      <c r="A161" s="276">
        <v>9926</v>
      </c>
      <c r="B161" s="266">
        <v>3743</v>
      </c>
      <c r="C161" s="276" t="s">
        <v>707</v>
      </c>
      <c r="D161" s="223">
        <v>1000036</v>
      </c>
      <c r="E161" s="223">
        <v>3448000</v>
      </c>
      <c r="F161" s="267"/>
      <c r="G161" s="224"/>
      <c r="H161" s="301">
        <f t="shared" si="16"/>
        <v>1000036</v>
      </c>
      <c r="I161" s="224">
        <f>SUMIF(AE!$B$1:$B$1009,B161,AE!$G$1:$G$1009)-SUMIF(AE!$B$1:$B$1009,B161,AE!$F$1:$F$1009)</f>
        <v>0</v>
      </c>
      <c r="J161" s="301">
        <f t="shared" si="17"/>
        <v>3448000</v>
      </c>
      <c r="K161" s="58" t="str">
        <f t="shared" si="15"/>
        <v>374</v>
      </c>
      <c r="L161" s="58" t="str">
        <f t="shared" si="18"/>
        <v>37</v>
      </c>
      <c r="M161" s="268">
        <f t="shared" si="19"/>
        <v>3.447875876468447</v>
      </c>
      <c r="N161" s="268">
        <f t="shared" si="20"/>
        <v>3.447875876468447</v>
      </c>
      <c r="O161" s="140" t="s">
        <v>972</v>
      </c>
      <c r="P161">
        <f>VLOOKUP(B161,SAP!A:A,1,0)</f>
        <v>3743</v>
      </c>
    </row>
    <row r="162" spans="1:16">
      <c r="A162" s="276">
        <v>9927</v>
      </c>
      <c r="B162" s="266">
        <v>3743</v>
      </c>
      <c r="C162" s="276" t="s">
        <v>708</v>
      </c>
      <c r="D162" s="223">
        <v>5317646</v>
      </c>
      <c r="E162" s="223">
        <v>18313387</v>
      </c>
      <c r="F162" s="267"/>
      <c r="G162" s="224"/>
      <c r="H162" s="301">
        <f t="shared" si="16"/>
        <v>5317646</v>
      </c>
      <c r="I162" s="224">
        <f>SUMIF(AE!$B$1:$B$1009,B162,AE!$G$1:$G$1009)-SUMIF(AE!$B$1:$B$1009,B162,AE!$F$1:$F$1009)</f>
        <v>0</v>
      </c>
      <c r="J162" s="301">
        <f t="shared" si="17"/>
        <v>18313387</v>
      </c>
      <c r="K162" s="58" t="str">
        <f t="shared" si="15"/>
        <v>374</v>
      </c>
      <c r="L162" s="58" t="str">
        <f t="shared" si="18"/>
        <v>37</v>
      </c>
      <c r="M162" s="268">
        <f t="shared" si="19"/>
        <v>3.4438898339603652</v>
      </c>
      <c r="N162" s="268">
        <f t="shared" si="20"/>
        <v>3.4438898339603652</v>
      </c>
      <c r="O162" s="140" t="s">
        <v>973</v>
      </c>
      <c r="P162">
        <f>VLOOKUP(B162,SAP!A:A,1,0)</f>
        <v>3743</v>
      </c>
    </row>
    <row r="163" spans="1:16">
      <c r="A163" s="276">
        <v>9930</v>
      </c>
      <c r="B163" s="266">
        <v>3743</v>
      </c>
      <c r="C163" s="276" t="s">
        <v>1270</v>
      </c>
      <c r="D163" s="223">
        <v>-39920</v>
      </c>
      <c r="E163" s="223">
        <v>-138404</v>
      </c>
      <c r="F163" s="267"/>
      <c r="G163" s="224"/>
      <c r="H163" s="301">
        <f t="shared" si="16"/>
        <v>-39920</v>
      </c>
      <c r="I163" s="224">
        <f>SUMIF(AE!$B$1:$B$1009,B163,AE!$G$1:$G$1009)-SUMIF(AE!$B$1:$B$1009,B163,AE!$F$1:$F$1009)</f>
        <v>0</v>
      </c>
      <c r="J163" s="301">
        <f t="shared" si="17"/>
        <v>-138404</v>
      </c>
      <c r="K163" s="58" t="str">
        <f t="shared" si="15"/>
        <v>374</v>
      </c>
      <c r="L163" s="58" t="str">
        <f t="shared" si="18"/>
        <v>37</v>
      </c>
      <c r="M163" s="268">
        <f t="shared" si="19"/>
        <v>3.4670340681362726</v>
      </c>
      <c r="N163" s="268">
        <f t="shared" si="20"/>
        <v>3.4670340681362726</v>
      </c>
      <c r="O163" s="140" t="s">
        <v>974</v>
      </c>
      <c r="P163">
        <f>VLOOKUP(B163,SAP!A:A,1,0)</f>
        <v>3743</v>
      </c>
    </row>
    <row r="164" spans="1:16">
      <c r="A164" s="276">
        <v>9931</v>
      </c>
      <c r="B164" s="266">
        <v>3743</v>
      </c>
      <c r="C164" s="276" t="s">
        <v>756</v>
      </c>
      <c r="D164" s="223">
        <v>7500118</v>
      </c>
      <c r="E164" s="223">
        <v>25395399</v>
      </c>
      <c r="F164" s="267"/>
      <c r="G164" s="224"/>
      <c r="H164" s="301">
        <f t="shared" si="16"/>
        <v>7500118</v>
      </c>
      <c r="I164" s="224">
        <f>SUMIF(AE!$B$1:$B$1009,B164,AE!$G$1:$G$1009)-SUMIF(AE!$B$1:$B$1009,B164,AE!$F$1:$F$1009)</f>
        <v>0</v>
      </c>
      <c r="J164" s="301">
        <f t="shared" si="17"/>
        <v>25395399</v>
      </c>
      <c r="K164" s="58" t="str">
        <f t="shared" si="15"/>
        <v>374</v>
      </c>
      <c r="L164" s="58" t="str">
        <f t="shared" si="18"/>
        <v>37</v>
      </c>
      <c r="M164" s="268">
        <f t="shared" si="19"/>
        <v>3.3859999269344829</v>
      </c>
      <c r="N164" s="268">
        <f t="shared" si="20"/>
        <v>3.3859999269344829</v>
      </c>
      <c r="O164" s="140" t="s">
        <v>975</v>
      </c>
      <c r="P164">
        <f>VLOOKUP(B164,SAP!A:A,1,0)</f>
        <v>3743</v>
      </c>
    </row>
    <row r="165" spans="1:16">
      <c r="A165" s="276">
        <v>9932</v>
      </c>
      <c r="B165" s="266">
        <v>3743</v>
      </c>
      <c r="C165" s="276" t="s">
        <v>767</v>
      </c>
      <c r="D165" s="223">
        <v>1450093</v>
      </c>
      <c r="E165" s="223">
        <v>4883914</v>
      </c>
      <c r="F165" s="267"/>
      <c r="G165" s="224"/>
      <c r="H165" s="301">
        <f t="shared" si="16"/>
        <v>1450093</v>
      </c>
      <c r="I165" s="224">
        <f>SUMIF(AE!$B$1:$B$1009,B165,AE!$G$1:$G$1009)-SUMIF(AE!$B$1:$B$1009,B165,AE!$F$1:$F$1009)</f>
        <v>0</v>
      </c>
      <c r="J165" s="301">
        <f t="shared" si="17"/>
        <v>4883914</v>
      </c>
      <c r="K165" s="58" t="str">
        <f t="shared" si="15"/>
        <v>374</v>
      </c>
      <c r="L165" s="58" t="str">
        <f t="shared" si="18"/>
        <v>37</v>
      </c>
      <c r="M165" s="268">
        <f t="shared" si="19"/>
        <v>3.3680005351380911</v>
      </c>
      <c r="N165" s="268">
        <f t="shared" si="20"/>
        <v>3.3680005351380911</v>
      </c>
      <c r="O165" s="140" t="s">
        <v>976</v>
      </c>
      <c r="P165">
        <f>VLOOKUP(B165,SAP!A:A,1,0)</f>
        <v>3743</v>
      </c>
    </row>
    <row r="166" spans="1:16">
      <c r="A166" s="276">
        <v>9934</v>
      </c>
      <c r="B166" s="266">
        <v>3743</v>
      </c>
      <c r="C166" s="276" t="s">
        <v>1015</v>
      </c>
      <c r="D166" s="223">
        <v>3091288</v>
      </c>
      <c r="E166" s="223">
        <v>10535476</v>
      </c>
      <c r="F166" s="267"/>
      <c r="G166" s="224"/>
      <c r="H166" s="301"/>
      <c r="I166" s="224"/>
      <c r="J166" s="301"/>
      <c r="K166" s="58" t="str">
        <f t="shared" si="15"/>
        <v>374</v>
      </c>
      <c r="L166" s="58" t="str">
        <f t="shared" si="18"/>
        <v>37</v>
      </c>
      <c r="M166" s="268">
        <f t="shared" si="19"/>
        <v>3.4081185577015147</v>
      </c>
      <c r="N166" s="268" t="e">
        <f t="shared" si="20"/>
        <v>#DIV/0!</v>
      </c>
      <c r="O166" s="140" t="s">
        <v>977</v>
      </c>
      <c r="P166">
        <f>VLOOKUP(B166,SAP!A:A,1,0)</f>
        <v>3743</v>
      </c>
    </row>
    <row r="167" spans="1:16">
      <c r="A167" s="276">
        <v>9935</v>
      </c>
      <c r="B167" s="266">
        <v>3743</v>
      </c>
      <c r="C167" s="276" t="s">
        <v>1271</v>
      </c>
      <c r="D167" s="223">
        <v>19336</v>
      </c>
      <c r="E167" s="223">
        <v>62687</v>
      </c>
      <c r="F167" s="267"/>
      <c r="G167" s="224"/>
      <c r="H167" s="301"/>
      <c r="I167" s="224"/>
      <c r="J167" s="301"/>
      <c r="K167" s="58" t="str">
        <f t="shared" si="15"/>
        <v>374</v>
      </c>
      <c r="L167" s="58" t="str">
        <f t="shared" si="18"/>
        <v>37</v>
      </c>
      <c r="M167" s="268">
        <f t="shared" si="19"/>
        <v>3.2419838642945802</v>
      </c>
      <c r="N167" s="268" t="e">
        <f t="shared" si="20"/>
        <v>#DIV/0!</v>
      </c>
      <c r="O167" s="140" t="s">
        <v>978</v>
      </c>
      <c r="P167">
        <f>VLOOKUP(B167,SAP!A:A,1,0)</f>
        <v>3743</v>
      </c>
    </row>
    <row r="168" spans="1:16">
      <c r="A168" s="276">
        <v>9936</v>
      </c>
      <c r="B168" s="266">
        <v>3743</v>
      </c>
      <c r="C168" s="276" t="s">
        <v>1272</v>
      </c>
      <c r="D168" s="223">
        <v>14636</v>
      </c>
      <c r="E168" s="223">
        <v>47214</v>
      </c>
      <c r="F168" s="267"/>
      <c r="G168" s="224"/>
      <c r="H168" s="301"/>
      <c r="I168" s="224"/>
      <c r="J168" s="301"/>
      <c r="K168" s="58" t="str">
        <f t="shared" si="15"/>
        <v>374</v>
      </c>
      <c r="L168" s="58" t="str">
        <f t="shared" si="18"/>
        <v>37</v>
      </c>
      <c r="M168" s="268">
        <f t="shared" si="19"/>
        <v>3.2258813883574748</v>
      </c>
      <c r="N168" s="268" t="e">
        <f t="shared" si="20"/>
        <v>#DIV/0!</v>
      </c>
      <c r="O168" s="140" t="s">
        <v>979</v>
      </c>
      <c r="P168">
        <f>VLOOKUP(B168,SAP!A:A,1,0)</f>
        <v>3743</v>
      </c>
    </row>
    <row r="169" spans="1:16">
      <c r="A169" s="276">
        <v>9937</v>
      </c>
      <c r="B169" s="266">
        <v>3743</v>
      </c>
      <c r="C169" s="276" t="s">
        <v>1094</v>
      </c>
      <c r="D169" s="223">
        <v>40000163</v>
      </c>
      <c r="E169" s="223">
        <v>133600544</v>
      </c>
      <c r="F169" s="267"/>
      <c r="G169" s="224"/>
      <c r="H169" s="301"/>
      <c r="I169" s="224"/>
      <c r="J169" s="301"/>
      <c r="K169" s="58" t="str">
        <f t="shared" si="15"/>
        <v>374</v>
      </c>
      <c r="L169" s="58" t="str">
        <f t="shared" si="18"/>
        <v>37</v>
      </c>
      <c r="M169" s="268">
        <f t="shared" si="19"/>
        <v>3.339999989500043</v>
      </c>
      <c r="N169" s="268" t="e">
        <f t="shared" si="20"/>
        <v>#DIV/0!</v>
      </c>
      <c r="O169" s="140" t="s">
        <v>980</v>
      </c>
      <c r="P169">
        <f>VLOOKUP(B169,SAP!A:A,1,0)</f>
        <v>3743</v>
      </c>
    </row>
    <row r="170" spans="1:16">
      <c r="A170" s="276">
        <v>9938</v>
      </c>
      <c r="B170" s="266">
        <v>3743</v>
      </c>
      <c r="C170" s="276" t="s">
        <v>1095</v>
      </c>
      <c r="D170" s="223">
        <v>7000124</v>
      </c>
      <c r="E170" s="223">
        <v>23373406</v>
      </c>
      <c r="F170" s="267"/>
      <c r="G170" s="224"/>
      <c r="H170" s="301"/>
      <c r="I170" s="224"/>
      <c r="J170" s="301"/>
      <c r="K170" s="58" t="str">
        <f t="shared" si="15"/>
        <v>374</v>
      </c>
      <c r="L170" s="58" t="str">
        <f t="shared" si="18"/>
        <v>37</v>
      </c>
      <c r="M170" s="268">
        <f t="shared" si="19"/>
        <v>3.3389988520203358</v>
      </c>
      <c r="N170" s="268" t="e">
        <f t="shared" si="20"/>
        <v>#DIV/0!</v>
      </c>
      <c r="O170" s="140" t="s">
        <v>981</v>
      </c>
      <c r="P170">
        <f>VLOOKUP(B170,SAP!A:A,1,0)</f>
        <v>3743</v>
      </c>
    </row>
    <row r="171" spans="1:16">
      <c r="A171" s="276">
        <v>9939</v>
      </c>
      <c r="B171" s="266">
        <v>3743</v>
      </c>
      <c r="C171" s="276" t="s">
        <v>1096</v>
      </c>
      <c r="D171" s="223">
        <v>1500027</v>
      </c>
      <c r="E171" s="223">
        <v>5007089</v>
      </c>
      <c r="F171" s="267"/>
      <c r="G171" s="224"/>
      <c r="H171" s="301"/>
      <c r="I171" s="224"/>
      <c r="J171" s="301"/>
      <c r="K171" s="58" t="str">
        <f t="shared" si="15"/>
        <v>374</v>
      </c>
      <c r="L171" s="58" t="str">
        <f t="shared" si="18"/>
        <v>37</v>
      </c>
      <c r="M171" s="268">
        <f t="shared" si="19"/>
        <v>3.3379992493468449</v>
      </c>
      <c r="N171" s="268" t="e">
        <f t="shared" si="20"/>
        <v>#DIV/0!</v>
      </c>
      <c r="O171" s="140" t="s">
        <v>982</v>
      </c>
      <c r="P171">
        <f>VLOOKUP(B171,SAP!A:A,1,0)</f>
        <v>3743</v>
      </c>
    </row>
    <row r="172" spans="1:16">
      <c r="A172" s="276">
        <v>9942</v>
      </c>
      <c r="B172" s="266">
        <v>3743</v>
      </c>
      <c r="C172" s="276" t="s">
        <v>1273</v>
      </c>
      <c r="D172" s="223">
        <v>5000089</v>
      </c>
      <c r="E172" s="223">
        <v>16690297</v>
      </c>
      <c r="F172" s="267"/>
      <c r="G172" s="224"/>
      <c r="H172" s="301"/>
      <c r="I172" s="224"/>
      <c r="J172" s="301"/>
      <c r="K172" s="58" t="str">
        <f t="shared" ref="K172:K235" si="21">LEFT(B172,3)</f>
        <v>374</v>
      </c>
      <c r="L172" s="58" t="str">
        <f t="shared" si="18"/>
        <v>37</v>
      </c>
      <c r="M172" s="268">
        <f t="shared" si="19"/>
        <v>3.3379999836002918</v>
      </c>
      <c r="N172" s="268" t="e">
        <f t="shared" si="20"/>
        <v>#DIV/0!</v>
      </c>
      <c r="O172" s="140" t="s">
        <v>983</v>
      </c>
      <c r="P172">
        <f>VLOOKUP(B172,SAP!A:A,1,0)</f>
        <v>3743</v>
      </c>
    </row>
    <row r="173" spans="1:16">
      <c r="A173" s="276">
        <v>9943</v>
      </c>
      <c r="B173" s="266">
        <v>3743</v>
      </c>
      <c r="C173" s="276" t="s">
        <v>1274</v>
      </c>
      <c r="D173" s="223">
        <v>1</v>
      </c>
      <c r="E173" s="223">
        <v>4</v>
      </c>
      <c r="F173" s="267"/>
      <c r="G173" s="224"/>
      <c r="H173" s="301"/>
      <c r="I173" s="224"/>
      <c r="J173" s="301"/>
      <c r="K173" s="58" t="str">
        <f t="shared" si="21"/>
        <v>374</v>
      </c>
      <c r="L173" s="58" t="str">
        <f t="shared" si="18"/>
        <v>37</v>
      </c>
      <c r="M173" s="268">
        <f t="shared" si="19"/>
        <v>4</v>
      </c>
      <c r="N173" s="268" t="e">
        <f t="shared" si="20"/>
        <v>#DIV/0!</v>
      </c>
      <c r="O173" s="140" t="s">
        <v>984</v>
      </c>
      <c r="P173">
        <f>VLOOKUP(B173,SAP!A:A,1,0)</f>
        <v>3743</v>
      </c>
    </row>
    <row r="174" spans="1:16" ht="15" customHeight="1">
      <c r="A174" s="276">
        <v>7001</v>
      </c>
      <c r="B174" s="266">
        <v>4200</v>
      </c>
      <c r="C174" s="276" t="s">
        <v>1275</v>
      </c>
      <c r="D174" s="223">
        <v>1219917</v>
      </c>
      <c r="E174" s="223">
        <v>4120082</v>
      </c>
      <c r="F174" s="267"/>
      <c r="G174" s="224"/>
      <c r="H174" s="301"/>
      <c r="I174" s="224"/>
      <c r="J174" s="301"/>
      <c r="K174" s="58" t="str">
        <f t="shared" si="21"/>
        <v>420</v>
      </c>
      <c r="L174" s="58" t="str">
        <f t="shared" si="18"/>
        <v>42</v>
      </c>
      <c r="M174" s="268">
        <f t="shared" si="19"/>
        <v>3.3773461637144164</v>
      </c>
      <c r="N174" s="268" t="e">
        <f t="shared" si="20"/>
        <v>#DIV/0!</v>
      </c>
      <c r="O174" s="140" t="s">
        <v>985</v>
      </c>
      <c r="P174">
        <f>VLOOKUP(B174,SAP!A:A,1,0)</f>
        <v>4200</v>
      </c>
    </row>
    <row r="175" spans="1:16">
      <c r="A175" s="276">
        <v>7010</v>
      </c>
      <c r="B175" s="266">
        <v>4200</v>
      </c>
      <c r="C175" s="276" t="s">
        <v>1276</v>
      </c>
      <c r="D175" s="223">
        <v>5200257</v>
      </c>
      <c r="E175" s="223">
        <v>17407820</v>
      </c>
      <c r="F175" s="267"/>
      <c r="G175" s="224"/>
      <c r="H175" s="301"/>
      <c r="I175" s="224"/>
      <c r="J175" s="301"/>
      <c r="K175" s="58" t="str">
        <f t="shared" si="21"/>
        <v>420</v>
      </c>
      <c r="L175" s="58" t="str">
        <f t="shared" si="18"/>
        <v>42</v>
      </c>
      <c r="M175" s="268">
        <f t="shared" si="19"/>
        <v>3.3474922489407737</v>
      </c>
      <c r="N175" s="268" t="e">
        <f t="shared" si="20"/>
        <v>#DIV/0!</v>
      </c>
      <c r="O175" s="140" t="s">
        <v>986</v>
      </c>
      <c r="P175">
        <f>VLOOKUP(B175,SAP!A:A,1,0)</f>
        <v>4200</v>
      </c>
    </row>
    <row r="176" spans="1:16">
      <c r="A176" s="276">
        <v>7011</v>
      </c>
      <c r="B176" s="266">
        <v>4200</v>
      </c>
      <c r="C176" s="276" t="s">
        <v>1277</v>
      </c>
      <c r="D176" s="223">
        <v>-5200257</v>
      </c>
      <c r="E176" s="223">
        <v>-17407820</v>
      </c>
      <c r="F176" s="267"/>
      <c r="G176" s="224"/>
      <c r="H176" s="301"/>
      <c r="I176" s="224"/>
      <c r="J176" s="301"/>
      <c r="K176" s="58" t="str">
        <f t="shared" si="21"/>
        <v>420</v>
      </c>
      <c r="L176" s="58" t="str">
        <f t="shared" si="18"/>
        <v>42</v>
      </c>
      <c r="M176" s="268">
        <f t="shared" si="19"/>
        <v>3.3474922489407737</v>
      </c>
      <c r="N176" s="268" t="e">
        <f t="shared" si="20"/>
        <v>#DIV/0!</v>
      </c>
      <c r="O176" s="140" t="s">
        <v>987</v>
      </c>
      <c r="P176">
        <f>VLOOKUP(B176,SAP!A:A,1,0)</f>
        <v>4200</v>
      </c>
    </row>
    <row r="177" spans="1:16">
      <c r="A177" s="276">
        <v>8047</v>
      </c>
      <c r="B177" s="266">
        <v>4200</v>
      </c>
      <c r="C177" s="276" t="s">
        <v>1278</v>
      </c>
      <c r="D177" s="223">
        <v>0</v>
      </c>
      <c r="E177" s="223">
        <v>0</v>
      </c>
      <c r="F177" s="267"/>
      <c r="G177" s="224"/>
      <c r="H177" s="301"/>
      <c r="I177" s="224"/>
      <c r="J177" s="301"/>
      <c r="K177" s="58" t="str">
        <f t="shared" si="21"/>
        <v>420</v>
      </c>
      <c r="L177" s="58" t="str">
        <f t="shared" si="18"/>
        <v>42</v>
      </c>
      <c r="M177" s="268" t="e">
        <f t="shared" ref="M177:M182" si="22">+E177/D177</f>
        <v>#DIV/0!</v>
      </c>
      <c r="N177" s="268" t="e">
        <f t="shared" ref="N177:N182" si="23">+J177/H177</f>
        <v>#DIV/0!</v>
      </c>
      <c r="O177" s="140" t="s">
        <v>988</v>
      </c>
      <c r="P177">
        <f>VLOOKUP(B177,SAP!A:A,1,0)</f>
        <v>4200</v>
      </c>
    </row>
    <row r="178" spans="1:16">
      <c r="A178" s="276">
        <v>8017</v>
      </c>
      <c r="B178" s="266">
        <v>7000</v>
      </c>
      <c r="C178" s="276" t="s">
        <v>409</v>
      </c>
      <c r="D178" s="223">
        <v>-90146</v>
      </c>
      <c r="E178" s="223">
        <v>-296077</v>
      </c>
      <c r="F178" s="267"/>
      <c r="G178" s="224"/>
      <c r="H178" s="301"/>
      <c r="I178" s="224"/>
      <c r="J178" s="301"/>
      <c r="K178" s="58" t="str">
        <f t="shared" si="21"/>
        <v>700</v>
      </c>
      <c r="L178" s="58" t="str">
        <f t="shared" si="18"/>
        <v>70</v>
      </c>
      <c r="M178" s="268">
        <f t="shared" si="22"/>
        <v>3.2844163911876287</v>
      </c>
      <c r="N178" s="268" t="e">
        <f t="shared" si="23"/>
        <v>#DIV/0!</v>
      </c>
      <c r="O178" s="140" t="s">
        <v>989</v>
      </c>
      <c r="P178">
        <f>VLOOKUP(B178,SAP!A:A,1,0)</f>
        <v>7000</v>
      </c>
    </row>
    <row r="179" spans="1:16">
      <c r="A179" s="276">
        <v>8031</v>
      </c>
      <c r="B179" s="266">
        <v>7000</v>
      </c>
      <c r="C179" s="276" t="s">
        <v>1279</v>
      </c>
      <c r="D179" s="223">
        <v>7515</v>
      </c>
      <c r="E179" s="223">
        <v>33760</v>
      </c>
      <c r="F179" s="267"/>
      <c r="G179" s="224"/>
      <c r="H179" s="301"/>
      <c r="I179" s="224"/>
      <c r="J179" s="301"/>
      <c r="K179" s="58" t="str">
        <f t="shared" si="21"/>
        <v>700</v>
      </c>
      <c r="L179" s="58" t="str">
        <f t="shared" si="18"/>
        <v>70</v>
      </c>
      <c r="M179" s="268">
        <f t="shared" si="22"/>
        <v>4.4923486360612106</v>
      </c>
      <c r="N179" s="268" t="e">
        <f t="shared" si="23"/>
        <v>#DIV/0!</v>
      </c>
      <c r="O179" s="140" t="s">
        <v>990</v>
      </c>
      <c r="P179">
        <f>VLOOKUP(B179,SAP!A:A,1,0)</f>
        <v>7000</v>
      </c>
    </row>
    <row r="180" spans="1:16">
      <c r="A180" s="276">
        <v>8038</v>
      </c>
      <c r="B180" s="266">
        <v>7000</v>
      </c>
      <c r="C180" s="276" t="s">
        <v>1280</v>
      </c>
      <c r="D180" s="223">
        <v>-633</v>
      </c>
      <c r="E180" s="223">
        <v>-1163</v>
      </c>
      <c r="F180" s="267"/>
      <c r="G180" s="224"/>
      <c r="H180" s="301"/>
      <c r="I180" s="224"/>
      <c r="J180" s="301"/>
      <c r="K180" s="58" t="str">
        <f t="shared" si="21"/>
        <v>700</v>
      </c>
      <c r="L180" s="58" t="str">
        <f t="shared" si="18"/>
        <v>70</v>
      </c>
      <c r="M180" s="268">
        <f t="shared" si="22"/>
        <v>1.8372827804107426</v>
      </c>
      <c r="N180" s="268" t="e">
        <f t="shared" si="23"/>
        <v>#DIV/0!</v>
      </c>
      <c r="O180" s="140" t="s">
        <v>991</v>
      </c>
      <c r="P180">
        <f>VLOOKUP(B180,SAP!A:A,1,0)</f>
        <v>7000</v>
      </c>
    </row>
    <row r="181" spans="1:16">
      <c r="A181" s="276">
        <v>8048</v>
      </c>
      <c r="B181" s="266">
        <v>7000</v>
      </c>
      <c r="C181" s="276" t="s">
        <v>1281</v>
      </c>
      <c r="D181" s="223">
        <v>-7395</v>
      </c>
      <c r="E181" s="223">
        <v>-24958</v>
      </c>
      <c r="F181" s="267"/>
      <c r="G181" s="224"/>
      <c r="H181" s="301"/>
      <c r="I181" s="224"/>
      <c r="J181" s="301"/>
      <c r="K181" s="58" t="str">
        <f t="shared" si="21"/>
        <v>700</v>
      </c>
      <c r="L181" s="58" t="str">
        <f t="shared" si="18"/>
        <v>70</v>
      </c>
      <c r="M181" s="268">
        <f t="shared" si="22"/>
        <v>3.3749830966869507</v>
      </c>
      <c r="N181" s="268" t="e">
        <f t="shared" si="23"/>
        <v>#DIV/0!</v>
      </c>
      <c r="O181" s="140" t="s">
        <v>992</v>
      </c>
      <c r="P181">
        <f>VLOOKUP(B181,SAP!A:A,1,0)</f>
        <v>7000</v>
      </c>
    </row>
    <row r="182" spans="1:16">
      <c r="A182" s="276">
        <v>8088</v>
      </c>
      <c r="B182" s="266">
        <v>7000</v>
      </c>
      <c r="C182" s="276" t="s">
        <v>1087</v>
      </c>
      <c r="D182" s="223">
        <v>-1504298</v>
      </c>
      <c r="E182" s="223">
        <v>-5293624</v>
      </c>
      <c r="F182" s="267"/>
      <c r="G182" s="224"/>
      <c r="H182" s="301"/>
      <c r="I182" s="224"/>
      <c r="J182" s="301"/>
      <c r="K182" s="58" t="str">
        <f t="shared" si="21"/>
        <v>700</v>
      </c>
      <c r="L182" s="58" t="str">
        <f t="shared" si="18"/>
        <v>70</v>
      </c>
      <c r="M182" s="268">
        <f t="shared" si="22"/>
        <v>3.5189995599276207</v>
      </c>
      <c r="N182" s="268" t="e">
        <f t="shared" si="23"/>
        <v>#DIV/0!</v>
      </c>
      <c r="O182" s="140" t="s">
        <v>993</v>
      </c>
      <c r="P182">
        <f>VLOOKUP(B182,SAP!A:A,1,0)</f>
        <v>7000</v>
      </c>
    </row>
    <row r="183" spans="1:16">
      <c r="A183" s="276">
        <v>8089</v>
      </c>
      <c r="B183" s="266">
        <v>7000</v>
      </c>
      <c r="C183" s="276" t="s">
        <v>1282</v>
      </c>
      <c r="D183" s="223">
        <v>485</v>
      </c>
      <c r="E183" s="223">
        <v>1562</v>
      </c>
      <c r="F183" s="267"/>
      <c r="G183" s="224"/>
      <c r="H183" s="301"/>
      <c r="I183" s="224"/>
      <c r="J183" s="301"/>
      <c r="K183" s="58" t="str">
        <f t="shared" si="21"/>
        <v>700</v>
      </c>
      <c r="L183" s="58" t="str">
        <f t="shared" si="18"/>
        <v>70</v>
      </c>
      <c r="M183" s="268">
        <f t="shared" ref="M183:M197" si="24">+E183/D183</f>
        <v>3.220618556701031</v>
      </c>
      <c r="N183" s="268" t="e">
        <f t="shared" ref="N183:N197" si="25">+J183/H183</f>
        <v>#DIV/0!</v>
      </c>
      <c r="O183" s="140" t="s">
        <v>994</v>
      </c>
      <c r="P183">
        <f>VLOOKUP(B183,SAP!A:A,1,0)</f>
        <v>7000</v>
      </c>
    </row>
    <row r="184" spans="1:16">
      <c r="A184" s="276">
        <v>8090</v>
      </c>
      <c r="B184" s="266">
        <v>7000</v>
      </c>
      <c r="C184" s="276" t="s">
        <v>1377</v>
      </c>
      <c r="D184" s="223">
        <v>-27</v>
      </c>
      <c r="E184" s="223">
        <v>-93</v>
      </c>
      <c r="F184" s="267"/>
      <c r="G184" s="224"/>
      <c r="H184" s="301"/>
      <c r="I184" s="224"/>
      <c r="J184" s="301"/>
      <c r="K184" s="58" t="str">
        <f t="shared" si="21"/>
        <v>700</v>
      </c>
      <c r="L184" s="58" t="str">
        <f t="shared" si="18"/>
        <v>70</v>
      </c>
      <c r="M184" s="268">
        <f t="shared" si="24"/>
        <v>3.4444444444444446</v>
      </c>
      <c r="N184" s="268" t="e">
        <f t="shared" si="25"/>
        <v>#DIV/0!</v>
      </c>
      <c r="O184" s="140" t="s">
        <v>995</v>
      </c>
      <c r="P184">
        <f>VLOOKUP(B184,SAP!A:A,1,0)</f>
        <v>7000</v>
      </c>
    </row>
    <row r="185" spans="1:16">
      <c r="A185" s="276">
        <v>8200</v>
      </c>
      <c r="B185" s="266">
        <v>7000</v>
      </c>
      <c r="C185" s="276" t="s">
        <v>1283</v>
      </c>
      <c r="D185" s="223">
        <v>-5798642</v>
      </c>
      <c r="E185" s="223">
        <v>-19612681</v>
      </c>
      <c r="F185" s="267"/>
      <c r="G185" s="224"/>
      <c r="H185" s="301"/>
      <c r="I185" s="224"/>
      <c r="J185" s="301"/>
      <c r="K185" s="58" t="str">
        <f t="shared" si="21"/>
        <v>700</v>
      </c>
      <c r="L185" s="58" t="str">
        <f t="shared" si="18"/>
        <v>70</v>
      </c>
      <c r="M185" s="268">
        <f t="shared" si="24"/>
        <v>3.3822886462037145</v>
      </c>
      <c r="N185" s="268" t="e">
        <f t="shared" si="25"/>
        <v>#DIV/0!</v>
      </c>
      <c r="O185" s="140" t="s">
        <v>996</v>
      </c>
      <c r="P185">
        <f>VLOOKUP(B185,SAP!A:A,1,0)</f>
        <v>7000</v>
      </c>
    </row>
    <row r="186" spans="1:16">
      <c r="A186" s="276">
        <v>8201</v>
      </c>
      <c r="B186" s="266">
        <v>7000</v>
      </c>
      <c r="C186" s="276" t="s">
        <v>1284</v>
      </c>
      <c r="D186" s="223">
        <v>-396634</v>
      </c>
      <c r="E186" s="223">
        <v>-1341339</v>
      </c>
      <c r="F186" s="267"/>
      <c r="G186" s="224"/>
      <c r="H186" s="301"/>
      <c r="I186" s="224"/>
      <c r="J186" s="301"/>
      <c r="K186" s="58" t="str">
        <f t="shared" si="21"/>
        <v>700</v>
      </c>
      <c r="L186" s="58" t="str">
        <f t="shared" si="18"/>
        <v>70</v>
      </c>
      <c r="M186" s="268">
        <f t="shared" si="24"/>
        <v>3.3818053923768514</v>
      </c>
      <c r="N186" s="268" t="e">
        <f t="shared" si="25"/>
        <v>#DIV/0!</v>
      </c>
      <c r="O186" s="140" t="s">
        <v>997</v>
      </c>
      <c r="P186">
        <f>VLOOKUP(B186,SAP!A:A,1,0)</f>
        <v>7000</v>
      </c>
    </row>
    <row r="187" spans="1:16">
      <c r="A187" s="276">
        <v>8202</v>
      </c>
      <c r="B187" s="266">
        <v>7000</v>
      </c>
      <c r="C187" s="276" t="s">
        <v>1285</v>
      </c>
      <c r="D187" s="223">
        <v>-123345</v>
      </c>
      <c r="E187" s="223">
        <v>-414332</v>
      </c>
      <c r="F187" s="267"/>
      <c r="G187" s="224"/>
      <c r="H187" s="301"/>
      <c r="I187" s="224"/>
      <c r="J187" s="301"/>
      <c r="K187" s="58" t="str">
        <f t="shared" si="21"/>
        <v>700</v>
      </c>
      <c r="L187" s="58" t="str">
        <f t="shared" si="18"/>
        <v>70</v>
      </c>
      <c r="M187" s="268">
        <f t="shared" si="24"/>
        <v>3.3591308930236328</v>
      </c>
      <c r="N187" s="268" t="e">
        <f t="shared" si="25"/>
        <v>#DIV/0!</v>
      </c>
      <c r="O187" s="140" t="s">
        <v>998</v>
      </c>
      <c r="P187">
        <f>VLOOKUP(B187,SAP!A:A,1,0)</f>
        <v>7000</v>
      </c>
    </row>
    <row r="188" spans="1:16">
      <c r="A188" s="276">
        <v>8203</v>
      </c>
      <c r="B188" s="266">
        <v>7000</v>
      </c>
      <c r="C188" s="276" t="s">
        <v>1286</v>
      </c>
      <c r="D188" s="223">
        <v>123345</v>
      </c>
      <c r="E188" s="223">
        <v>414332</v>
      </c>
      <c r="F188" s="267"/>
      <c r="G188" s="224"/>
      <c r="H188" s="301"/>
      <c r="I188" s="224"/>
      <c r="J188" s="301"/>
      <c r="K188" s="58" t="str">
        <f t="shared" si="21"/>
        <v>700</v>
      </c>
      <c r="L188" s="58" t="str">
        <f t="shared" si="18"/>
        <v>70</v>
      </c>
      <c r="M188" s="268">
        <f t="shared" si="24"/>
        <v>3.3591308930236328</v>
      </c>
      <c r="N188" s="268" t="e">
        <f t="shared" si="25"/>
        <v>#DIV/0!</v>
      </c>
      <c r="O188" s="140" t="s">
        <v>999</v>
      </c>
      <c r="P188">
        <f>VLOOKUP(B188,SAP!A:A,1,0)</f>
        <v>7000</v>
      </c>
    </row>
    <row r="189" spans="1:16">
      <c r="A189" s="276">
        <v>8204</v>
      </c>
      <c r="B189" s="266">
        <v>7000</v>
      </c>
      <c r="C189" s="276" t="s">
        <v>1287</v>
      </c>
      <c r="D189" s="223">
        <v>-326646</v>
      </c>
      <c r="E189" s="223">
        <v>-1105238</v>
      </c>
      <c r="F189" s="267"/>
      <c r="G189" s="224"/>
      <c r="H189" s="301"/>
      <c r="I189" s="224"/>
      <c r="J189" s="301"/>
      <c r="K189" s="58" t="str">
        <f t="shared" si="21"/>
        <v>700</v>
      </c>
      <c r="L189" s="58" t="str">
        <f t="shared" si="18"/>
        <v>70</v>
      </c>
      <c r="M189" s="268">
        <f t="shared" si="24"/>
        <v>3.3835956968706182</v>
      </c>
      <c r="N189" s="268" t="e">
        <f t="shared" si="25"/>
        <v>#DIV/0!</v>
      </c>
      <c r="O189" s="140" t="s">
        <v>1000</v>
      </c>
      <c r="P189">
        <f>VLOOKUP(B189,SAP!A:A,1,0)</f>
        <v>7000</v>
      </c>
    </row>
    <row r="190" spans="1:16">
      <c r="A190" s="276">
        <v>8205</v>
      </c>
      <c r="B190" s="266">
        <v>7000</v>
      </c>
      <c r="C190" s="276" t="s">
        <v>1288</v>
      </c>
      <c r="D190" s="223">
        <v>-194705</v>
      </c>
      <c r="E190" s="223">
        <v>-658914</v>
      </c>
      <c r="F190" s="267"/>
      <c r="G190" s="224"/>
      <c r="H190" s="301"/>
      <c r="I190" s="224"/>
      <c r="J190" s="301"/>
      <c r="K190" s="58" t="str">
        <f t="shared" si="21"/>
        <v>700</v>
      </c>
      <c r="L190" s="58" t="str">
        <f t="shared" si="18"/>
        <v>70</v>
      </c>
      <c r="M190" s="268">
        <f t="shared" si="24"/>
        <v>3.3841657892709485</v>
      </c>
      <c r="N190" s="268" t="e">
        <f t="shared" si="25"/>
        <v>#DIV/0!</v>
      </c>
      <c r="O190" s="140" t="s">
        <v>1001</v>
      </c>
      <c r="P190">
        <f>VLOOKUP(B190,SAP!A:A,1,0)</f>
        <v>7000</v>
      </c>
    </row>
    <row r="191" spans="1:16">
      <c r="A191" s="276">
        <v>8206</v>
      </c>
      <c r="B191" s="266">
        <v>7000</v>
      </c>
      <c r="C191" s="276" t="s">
        <v>1289</v>
      </c>
      <c r="D191" s="223">
        <v>-455689</v>
      </c>
      <c r="E191" s="223">
        <v>-1541706</v>
      </c>
      <c r="F191" s="267"/>
      <c r="G191" s="224"/>
      <c r="H191" s="301"/>
      <c r="I191" s="224"/>
      <c r="J191" s="301"/>
      <c r="K191" s="58" t="str">
        <f t="shared" si="21"/>
        <v>700</v>
      </c>
      <c r="L191" s="58" t="str">
        <f t="shared" si="18"/>
        <v>70</v>
      </c>
      <c r="M191" s="268">
        <f t="shared" si="24"/>
        <v>3.3832416406803762</v>
      </c>
      <c r="N191" s="268" t="e">
        <f t="shared" si="25"/>
        <v>#DIV/0!</v>
      </c>
      <c r="O191" s="140" t="s">
        <v>1002</v>
      </c>
      <c r="P191">
        <f>VLOOKUP(B191,SAP!A:A,1,0)</f>
        <v>7000</v>
      </c>
    </row>
    <row r="192" spans="1:16">
      <c r="A192" s="276">
        <v>8207</v>
      </c>
      <c r="B192" s="266">
        <v>7000</v>
      </c>
      <c r="C192" s="276" t="s">
        <v>1290</v>
      </c>
      <c r="D192" s="223">
        <v>-40187</v>
      </c>
      <c r="E192" s="223">
        <v>-135909</v>
      </c>
      <c r="F192" s="267"/>
      <c r="G192" s="224"/>
      <c r="H192" s="301"/>
      <c r="I192" s="224"/>
      <c r="J192" s="301"/>
      <c r="K192" s="58" t="str">
        <f t="shared" si="21"/>
        <v>700</v>
      </c>
      <c r="L192" s="58" t="str">
        <f t="shared" si="18"/>
        <v>70</v>
      </c>
      <c r="M192" s="268">
        <f t="shared" si="24"/>
        <v>3.3819145494811753</v>
      </c>
      <c r="N192" s="268" t="e">
        <f t="shared" si="25"/>
        <v>#DIV/0!</v>
      </c>
      <c r="O192" s="140" t="s">
        <v>1003</v>
      </c>
      <c r="P192">
        <f>VLOOKUP(B192,SAP!A:A,1,0)</f>
        <v>7000</v>
      </c>
    </row>
    <row r="193" spans="1:16">
      <c r="A193" s="276">
        <v>8208</v>
      </c>
      <c r="B193" s="266">
        <v>7000</v>
      </c>
      <c r="C193" s="276" t="s">
        <v>1291</v>
      </c>
      <c r="D193" s="223">
        <v>7320</v>
      </c>
      <c r="E193" s="223">
        <v>24071</v>
      </c>
      <c r="F193" s="267"/>
      <c r="G193" s="224"/>
      <c r="H193" s="301"/>
      <c r="I193" s="224"/>
      <c r="J193" s="301"/>
      <c r="K193" s="58" t="str">
        <f t="shared" si="21"/>
        <v>700</v>
      </c>
      <c r="L193" s="58" t="str">
        <f t="shared" si="18"/>
        <v>70</v>
      </c>
      <c r="M193" s="268">
        <f t="shared" si="24"/>
        <v>3.2883879781420764</v>
      </c>
      <c r="N193" s="268" t="e">
        <f t="shared" si="25"/>
        <v>#DIV/0!</v>
      </c>
      <c r="O193" s="140" t="s">
        <v>1004</v>
      </c>
      <c r="P193">
        <f>VLOOKUP(B193,SAP!A:A,1,0)</f>
        <v>7000</v>
      </c>
    </row>
    <row r="194" spans="1:16">
      <c r="A194" s="276">
        <v>8013</v>
      </c>
      <c r="B194" s="266">
        <v>7001</v>
      </c>
      <c r="C194" s="276" t="s">
        <v>1292</v>
      </c>
      <c r="D194" s="223">
        <v>-912347</v>
      </c>
      <c r="E194" s="223">
        <v>-3069629</v>
      </c>
      <c r="F194" s="267"/>
      <c r="G194" s="224"/>
      <c r="H194" s="301"/>
      <c r="I194" s="224"/>
      <c r="J194" s="301"/>
      <c r="K194" s="58" t="str">
        <f t="shared" si="21"/>
        <v>700</v>
      </c>
      <c r="L194" s="58" t="str">
        <f t="shared" si="18"/>
        <v>70</v>
      </c>
      <c r="M194" s="268">
        <f t="shared" si="24"/>
        <v>3.3645411230595377</v>
      </c>
      <c r="N194" s="268" t="e">
        <f t="shared" si="25"/>
        <v>#DIV/0!</v>
      </c>
      <c r="O194" s="140" t="s">
        <v>1005</v>
      </c>
      <c r="P194">
        <f>VLOOKUP(B194,SAP!A:A,1,0)</f>
        <v>7001</v>
      </c>
    </row>
    <row r="195" spans="1:16">
      <c r="A195" s="276">
        <v>8036</v>
      </c>
      <c r="B195" s="266">
        <v>7001</v>
      </c>
      <c r="C195" s="276" t="s">
        <v>1293</v>
      </c>
      <c r="D195" s="223">
        <v>-355250</v>
      </c>
      <c r="E195" s="223">
        <v>-1183969</v>
      </c>
      <c r="F195" s="267"/>
      <c r="G195" s="224"/>
      <c r="H195" s="301"/>
      <c r="I195" s="224"/>
      <c r="J195" s="301"/>
      <c r="K195" s="58" t="str">
        <f t="shared" si="21"/>
        <v>700</v>
      </c>
      <c r="L195" s="58" t="str">
        <f t="shared" ref="L195:L258" si="26">LEFT(B195,2)</f>
        <v>70</v>
      </c>
      <c r="M195" s="268">
        <f t="shared" si="24"/>
        <v>3.3327769176636171</v>
      </c>
      <c r="N195" s="268" t="e">
        <f t="shared" si="25"/>
        <v>#DIV/0!</v>
      </c>
      <c r="O195" s="140" t="s">
        <v>1006</v>
      </c>
      <c r="P195">
        <f>VLOOKUP(B195,SAP!A:A,1,0)</f>
        <v>7001</v>
      </c>
    </row>
    <row r="196" spans="1:16">
      <c r="A196" s="276">
        <v>8019</v>
      </c>
      <c r="B196" s="266">
        <v>7002</v>
      </c>
      <c r="C196" s="276" t="s">
        <v>1294</v>
      </c>
      <c r="D196" s="223">
        <v>-512228</v>
      </c>
      <c r="E196" s="223">
        <v>-1732942</v>
      </c>
      <c r="F196" s="267"/>
      <c r="G196" s="224"/>
      <c r="H196" s="301"/>
      <c r="I196" s="224"/>
      <c r="J196" s="301"/>
      <c r="K196" s="58" t="str">
        <f t="shared" si="21"/>
        <v>700</v>
      </c>
      <c r="L196" s="58" t="str">
        <f t="shared" si="26"/>
        <v>70</v>
      </c>
      <c r="M196" s="268">
        <f t="shared" si="24"/>
        <v>3.3831457866418861</v>
      </c>
      <c r="N196" s="268" t="e">
        <f t="shared" si="25"/>
        <v>#DIV/0!</v>
      </c>
      <c r="O196" s="140" t="s">
        <v>1007</v>
      </c>
      <c r="P196">
        <f>VLOOKUP(B196,SAP!A:A,1,0)</f>
        <v>7002</v>
      </c>
    </row>
    <row r="197" spans="1:16">
      <c r="A197" s="276">
        <v>8077</v>
      </c>
      <c r="B197" s="266">
        <v>7020</v>
      </c>
      <c r="C197" s="276" t="s">
        <v>1295</v>
      </c>
      <c r="D197" s="223">
        <v>829</v>
      </c>
      <c r="E197" s="223">
        <v>2650</v>
      </c>
      <c r="F197" s="267"/>
      <c r="G197" s="224"/>
      <c r="H197" s="301"/>
      <c r="I197" s="224"/>
      <c r="J197" s="301"/>
      <c r="K197" s="58" t="str">
        <f t="shared" si="21"/>
        <v>702</v>
      </c>
      <c r="L197" s="58" t="str">
        <f t="shared" si="26"/>
        <v>70</v>
      </c>
      <c r="M197" s="268">
        <f t="shared" si="24"/>
        <v>3.1966224366706877</v>
      </c>
      <c r="N197" s="268" t="e">
        <f t="shared" si="25"/>
        <v>#DIV/0!</v>
      </c>
      <c r="O197" s="140" t="s">
        <v>1008</v>
      </c>
      <c r="P197">
        <f>VLOOKUP(B197,SAP!A:A,1,0)</f>
        <v>7020</v>
      </c>
    </row>
    <row r="198" spans="1:16">
      <c r="A198" s="276">
        <v>8159</v>
      </c>
      <c r="B198" s="266">
        <v>7020</v>
      </c>
      <c r="C198" s="276" t="s">
        <v>1296</v>
      </c>
      <c r="D198" s="223">
        <v>-4779</v>
      </c>
      <c r="E198" s="223">
        <v>-17351</v>
      </c>
      <c r="F198" s="267"/>
      <c r="G198" s="224"/>
      <c r="H198" s="301"/>
      <c r="I198" s="224"/>
      <c r="J198" s="301"/>
      <c r="K198" s="58" t="str">
        <f t="shared" si="21"/>
        <v>702</v>
      </c>
      <c r="L198" s="58" t="str">
        <f t="shared" si="26"/>
        <v>70</v>
      </c>
      <c r="M198" s="268">
        <f t="shared" ref="M198:M204" si="27">+E198/D198</f>
        <v>3.6306758736137268</v>
      </c>
      <c r="N198" s="268" t="e">
        <f t="shared" ref="N198:N204" si="28">+J198/H198</f>
        <v>#DIV/0!</v>
      </c>
      <c r="O198" s="140" t="s">
        <v>1009</v>
      </c>
      <c r="P198">
        <f>VLOOKUP(B198,SAP!A:A,1,0)</f>
        <v>7020</v>
      </c>
    </row>
    <row r="199" spans="1:16">
      <c r="A199" s="276">
        <v>8300</v>
      </c>
      <c r="B199" s="266">
        <v>7020</v>
      </c>
      <c r="C199" s="276" t="s">
        <v>1297</v>
      </c>
      <c r="D199" s="223">
        <v>-426606</v>
      </c>
      <c r="E199" s="223">
        <v>-1443295</v>
      </c>
      <c r="F199" s="267"/>
      <c r="G199" s="224"/>
      <c r="H199" s="301"/>
      <c r="I199" s="224"/>
      <c r="J199" s="301"/>
      <c r="K199" s="58" t="str">
        <f t="shared" si="21"/>
        <v>702</v>
      </c>
      <c r="L199" s="58" t="str">
        <f t="shared" si="26"/>
        <v>70</v>
      </c>
      <c r="M199" s="268">
        <f t="shared" si="27"/>
        <v>3.3832037055268795</v>
      </c>
      <c r="N199" s="268" t="e">
        <f t="shared" si="28"/>
        <v>#DIV/0!</v>
      </c>
      <c r="O199" s="140" t="s">
        <v>1010</v>
      </c>
      <c r="P199">
        <f>VLOOKUP(B199,SAP!A:A,1,0)</f>
        <v>7020</v>
      </c>
    </row>
    <row r="200" spans="1:16">
      <c r="A200" s="276">
        <v>8301</v>
      </c>
      <c r="B200" s="266">
        <v>7020</v>
      </c>
      <c r="C200" s="276" t="s">
        <v>1298</v>
      </c>
      <c r="D200" s="223">
        <v>-27617</v>
      </c>
      <c r="E200" s="223">
        <v>-93455</v>
      </c>
      <c r="F200" s="267"/>
      <c r="G200" s="224"/>
      <c r="H200" s="301"/>
      <c r="I200" s="224"/>
      <c r="J200" s="301"/>
      <c r="K200" s="58" t="str">
        <f t="shared" si="21"/>
        <v>702</v>
      </c>
      <c r="L200" s="58" t="str">
        <f t="shared" si="26"/>
        <v>70</v>
      </c>
      <c r="M200" s="268">
        <f t="shared" si="27"/>
        <v>3.383966397508781</v>
      </c>
      <c r="N200" s="268" t="e">
        <f t="shared" si="28"/>
        <v>#DIV/0!</v>
      </c>
      <c r="O200" s="140" t="s">
        <v>1011</v>
      </c>
      <c r="P200">
        <f>VLOOKUP(B200,SAP!A:A,1,0)</f>
        <v>7020</v>
      </c>
    </row>
    <row r="201" spans="1:16">
      <c r="A201" s="276">
        <v>8302</v>
      </c>
      <c r="B201" s="266">
        <v>7020</v>
      </c>
      <c r="C201" s="276" t="s">
        <v>1299</v>
      </c>
      <c r="D201" s="223">
        <v>-21041</v>
      </c>
      <c r="E201" s="223">
        <v>-71211</v>
      </c>
      <c r="F201" s="267"/>
      <c r="G201" s="224"/>
      <c r="H201" s="301"/>
      <c r="I201" s="224"/>
      <c r="J201" s="301"/>
      <c r="K201" s="58" t="str">
        <f t="shared" si="21"/>
        <v>702</v>
      </c>
      <c r="L201" s="58" t="str">
        <f t="shared" si="26"/>
        <v>70</v>
      </c>
      <c r="M201" s="268">
        <f t="shared" si="27"/>
        <v>3.3843923767881754</v>
      </c>
      <c r="N201" s="268" t="e">
        <f t="shared" si="28"/>
        <v>#DIV/0!</v>
      </c>
      <c r="O201" s="140" t="s">
        <v>1012</v>
      </c>
      <c r="P201">
        <f>VLOOKUP(B201,SAP!A:A,1,0)</f>
        <v>7020</v>
      </c>
    </row>
    <row r="202" spans="1:16">
      <c r="A202" s="276">
        <v>8303</v>
      </c>
      <c r="B202" s="266">
        <v>7020</v>
      </c>
      <c r="C202" s="276" t="s">
        <v>1300</v>
      </c>
      <c r="D202" s="223">
        <v>21041</v>
      </c>
      <c r="E202" s="223">
        <v>71211</v>
      </c>
      <c r="F202" s="267"/>
      <c r="G202" s="224"/>
      <c r="H202" s="301"/>
      <c r="I202" s="224"/>
      <c r="J202" s="301"/>
      <c r="K202" s="58" t="str">
        <f t="shared" si="21"/>
        <v>702</v>
      </c>
      <c r="L202" s="58" t="str">
        <f t="shared" si="26"/>
        <v>70</v>
      </c>
      <c r="M202" s="268">
        <f t="shared" si="27"/>
        <v>3.3843923767881754</v>
      </c>
      <c r="N202" s="268" t="e">
        <f t="shared" si="28"/>
        <v>#DIV/0!</v>
      </c>
      <c r="O202" s="140" t="s">
        <v>1013</v>
      </c>
      <c r="P202">
        <f>VLOOKUP(B202,SAP!A:A,1,0)</f>
        <v>7020</v>
      </c>
    </row>
    <row r="203" spans="1:16">
      <c r="A203" s="276">
        <v>8304</v>
      </c>
      <c r="B203" s="266">
        <v>7020</v>
      </c>
      <c r="C203" s="276" t="s">
        <v>1301</v>
      </c>
      <c r="D203" s="223">
        <v>-24580</v>
      </c>
      <c r="E203" s="223">
        <v>-83181</v>
      </c>
      <c r="F203" s="267"/>
      <c r="G203" s="224"/>
      <c r="H203" s="301"/>
      <c r="I203" s="224"/>
      <c r="J203" s="301"/>
      <c r="K203" s="58" t="str">
        <f t="shared" si="21"/>
        <v>702</v>
      </c>
      <c r="L203" s="58" t="str">
        <f t="shared" si="26"/>
        <v>70</v>
      </c>
      <c r="M203" s="268">
        <f t="shared" si="27"/>
        <v>3.3840927583401137</v>
      </c>
      <c r="N203" s="268" t="e">
        <f t="shared" si="28"/>
        <v>#DIV/0!</v>
      </c>
      <c r="O203" s="140" t="s">
        <v>1016</v>
      </c>
      <c r="P203">
        <f>VLOOKUP(B203,SAP!A:A,1,0)</f>
        <v>7020</v>
      </c>
    </row>
    <row r="204" spans="1:16">
      <c r="A204" s="276">
        <v>8305</v>
      </c>
      <c r="B204" s="266">
        <v>7020</v>
      </c>
      <c r="C204" s="276" t="s">
        <v>1302</v>
      </c>
      <c r="D204" s="223">
        <v>-13063</v>
      </c>
      <c r="E204" s="223">
        <v>-44236</v>
      </c>
      <c r="F204" s="267"/>
      <c r="G204" s="224"/>
      <c r="H204" s="301"/>
      <c r="I204" s="224"/>
      <c r="J204" s="301"/>
      <c r="K204" s="58" t="str">
        <f t="shared" si="21"/>
        <v>702</v>
      </c>
      <c r="L204" s="58" t="str">
        <f t="shared" si="26"/>
        <v>70</v>
      </c>
      <c r="M204" s="268">
        <f t="shared" si="27"/>
        <v>3.3863584169027021</v>
      </c>
      <c r="N204" s="268" t="e">
        <f t="shared" si="28"/>
        <v>#DIV/0!</v>
      </c>
      <c r="O204" s="140" t="s">
        <v>1017</v>
      </c>
      <c r="P204">
        <f>VLOOKUP(B204,SAP!A:A,1,0)</f>
        <v>7020</v>
      </c>
    </row>
    <row r="205" spans="1:16">
      <c r="A205" s="276">
        <v>8306</v>
      </c>
      <c r="B205" s="266">
        <v>7020</v>
      </c>
      <c r="C205" s="276" t="s">
        <v>1303</v>
      </c>
      <c r="D205" s="223">
        <v>-35261</v>
      </c>
      <c r="E205" s="223">
        <v>-119381</v>
      </c>
      <c r="F205" s="267"/>
      <c r="G205" s="224"/>
      <c r="H205" s="301"/>
      <c r="I205" s="224"/>
      <c r="J205" s="301"/>
      <c r="K205" s="58" t="str">
        <f t="shared" si="21"/>
        <v>702</v>
      </c>
      <c r="L205" s="58" t="str">
        <f t="shared" si="26"/>
        <v>70</v>
      </c>
      <c r="M205" s="268"/>
      <c r="N205" s="268"/>
      <c r="O205" s="140"/>
      <c r="P205">
        <f>VLOOKUP(B205,SAP!A:A,1,0)</f>
        <v>7020</v>
      </c>
    </row>
    <row r="206" spans="1:16">
      <c r="A206" s="276">
        <v>8307</v>
      </c>
      <c r="B206" s="266">
        <v>7020</v>
      </c>
      <c r="C206" s="276" t="s">
        <v>1304</v>
      </c>
      <c r="D206" s="223">
        <v>-3554</v>
      </c>
      <c r="E206" s="223">
        <v>-12108</v>
      </c>
      <c r="F206" s="267"/>
      <c r="G206" s="224"/>
      <c r="H206" s="301"/>
      <c r="I206" s="224"/>
      <c r="J206" s="301"/>
      <c r="K206" s="58" t="str">
        <f t="shared" si="21"/>
        <v>702</v>
      </c>
      <c r="L206" s="58" t="str">
        <f t="shared" si="26"/>
        <v>70</v>
      </c>
      <c r="M206" s="268"/>
      <c r="N206" s="268"/>
      <c r="O206" s="140"/>
      <c r="P206">
        <f>VLOOKUP(B206,SAP!A:A,1,0)</f>
        <v>7020</v>
      </c>
    </row>
    <row r="207" spans="1:16">
      <c r="A207" s="276">
        <v>8309</v>
      </c>
      <c r="B207" s="266">
        <v>7020</v>
      </c>
      <c r="C207" s="276" t="s">
        <v>1305</v>
      </c>
      <c r="D207" s="223">
        <v>361</v>
      </c>
      <c r="E207" s="223">
        <v>1196</v>
      </c>
      <c r="F207" s="267"/>
      <c r="G207" s="224"/>
      <c r="H207" s="301"/>
      <c r="I207" s="224"/>
      <c r="J207" s="301"/>
      <c r="K207" s="58" t="str">
        <f t="shared" si="21"/>
        <v>702</v>
      </c>
      <c r="L207" s="58" t="str">
        <f t="shared" si="26"/>
        <v>70</v>
      </c>
      <c r="M207" s="268"/>
      <c r="N207" s="268"/>
      <c r="O207" s="140"/>
      <c r="P207">
        <f>VLOOKUP(B207,SAP!A:A,1,0)</f>
        <v>7020</v>
      </c>
    </row>
    <row r="208" spans="1:16">
      <c r="A208" s="276">
        <v>8311</v>
      </c>
      <c r="B208" s="266">
        <v>7020</v>
      </c>
      <c r="C208" s="276" t="s">
        <v>1088</v>
      </c>
      <c r="D208" s="223">
        <v>-93116</v>
      </c>
      <c r="E208" s="223">
        <v>-327675</v>
      </c>
      <c r="F208" s="267"/>
      <c r="G208" s="224"/>
      <c r="H208" s="301"/>
      <c r="I208" s="224"/>
      <c r="J208" s="301"/>
      <c r="K208" s="58" t="str">
        <f t="shared" si="21"/>
        <v>702</v>
      </c>
      <c r="L208" s="58" t="str">
        <f t="shared" si="26"/>
        <v>70</v>
      </c>
      <c r="M208" s="268"/>
      <c r="N208" s="268"/>
      <c r="O208" s="140"/>
      <c r="P208">
        <f>VLOOKUP(B208,SAP!A:A,1,0)</f>
        <v>7020</v>
      </c>
    </row>
    <row r="209" spans="1:16">
      <c r="A209" s="276">
        <v>8025</v>
      </c>
      <c r="B209" s="266">
        <v>7021</v>
      </c>
      <c r="C209" s="276" t="s">
        <v>1306</v>
      </c>
      <c r="D209" s="223">
        <v>-324156</v>
      </c>
      <c r="E209" s="223">
        <v>-1096261</v>
      </c>
      <c r="F209" s="267"/>
      <c r="G209" s="224"/>
      <c r="H209" s="301"/>
      <c r="I209" s="224"/>
      <c r="J209" s="301"/>
      <c r="K209" s="58" t="str">
        <f t="shared" si="21"/>
        <v>702</v>
      </c>
      <c r="L209" s="58" t="str">
        <f t="shared" si="26"/>
        <v>70</v>
      </c>
      <c r="M209" s="268"/>
      <c r="N209" s="268"/>
      <c r="O209" s="140"/>
      <c r="P209">
        <f>VLOOKUP(B209,SAP!A:A,1,0)</f>
        <v>7021</v>
      </c>
    </row>
    <row r="210" spans="1:16">
      <c r="A210" s="276">
        <v>8080</v>
      </c>
      <c r="B210" s="266">
        <v>7021</v>
      </c>
      <c r="C210" s="276" t="s">
        <v>1307</v>
      </c>
      <c r="D210" s="223">
        <v>-134442</v>
      </c>
      <c r="E210" s="223">
        <v>-452827</v>
      </c>
      <c r="F210" s="267"/>
      <c r="G210" s="224"/>
      <c r="H210" s="301"/>
      <c r="I210" s="224"/>
      <c r="J210" s="301"/>
      <c r="K210" s="58" t="str">
        <f t="shared" si="21"/>
        <v>702</v>
      </c>
      <c r="L210" s="58" t="str">
        <f t="shared" si="26"/>
        <v>70</v>
      </c>
      <c r="M210" s="268"/>
      <c r="N210" s="268"/>
      <c r="O210" s="140"/>
      <c r="P210">
        <f>VLOOKUP(B210,SAP!A:A,1,0)</f>
        <v>7021</v>
      </c>
    </row>
    <row r="211" spans="1:16">
      <c r="A211" s="276">
        <v>8024</v>
      </c>
      <c r="B211" s="266">
        <v>7022</v>
      </c>
      <c r="C211" s="276" t="s">
        <v>1308</v>
      </c>
      <c r="D211" s="223">
        <v>-75712</v>
      </c>
      <c r="E211" s="223">
        <v>-259728</v>
      </c>
      <c r="F211" s="267"/>
      <c r="G211" s="224"/>
      <c r="H211" s="301"/>
      <c r="I211" s="224"/>
      <c r="J211" s="301"/>
      <c r="K211" s="58" t="str">
        <f t="shared" si="21"/>
        <v>702</v>
      </c>
      <c r="L211" s="58" t="str">
        <f t="shared" si="26"/>
        <v>70</v>
      </c>
      <c r="M211" s="268"/>
      <c r="N211" s="268"/>
      <c r="O211" s="140"/>
      <c r="P211">
        <f>VLOOKUP(B211,SAP!A:A,1,0)</f>
        <v>7022</v>
      </c>
    </row>
    <row r="212" spans="1:16">
      <c r="A212" s="276">
        <v>8219</v>
      </c>
      <c r="B212" s="266">
        <v>7023</v>
      </c>
      <c r="C212" s="276" t="s">
        <v>559</v>
      </c>
      <c r="D212" s="223">
        <v>-466078</v>
      </c>
      <c r="E212" s="223">
        <v>-1594663</v>
      </c>
      <c r="F212" s="267"/>
      <c r="G212" s="224"/>
      <c r="H212" s="301"/>
      <c r="I212" s="224"/>
      <c r="J212" s="301"/>
      <c r="K212" s="58" t="str">
        <f t="shared" si="21"/>
        <v>702</v>
      </c>
      <c r="L212" s="58" t="str">
        <f t="shared" si="26"/>
        <v>70</v>
      </c>
      <c r="M212" s="268"/>
      <c r="N212" s="268"/>
      <c r="O212" s="140"/>
      <c r="P212">
        <f>VLOOKUP(B212,SAP!A:A,1,0)</f>
        <v>7023</v>
      </c>
    </row>
    <row r="213" spans="1:16">
      <c r="A213" s="276">
        <v>8021</v>
      </c>
      <c r="B213" s="266">
        <v>7026</v>
      </c>
      <c r="C213" s="276" t="s">
        <v>1309</v>
      </c>
      <c r="D213" s="223">
        <v>-77929</v>
      </c>
      <c r="E213" s="223">
        <v>-257366</v>
      </c>
      <c r="F213" s="267"/>
      <c r="G213" s="224"/>
      <c r="H213" s="301"/>
      <c r="I213" s="224"/>
      <c r="J213" s="301"/>
      <c r="K213" s="58" t="str">
        <f t="shared" si="21"/>
        <v>702</v>
      </c>
      <c r="L213" s="58" t="str">
        <f t="shared" si="26"/>
        <v>70</v>
      </c>
      <c r="M213" s="268"/>
      <c r="N213" s="268"/>
      <c r="O213" s="140"/>
      <c r="P213">
        <f>VLOOKUP(B213,SAP!A:A,1,0)</f>
        <v>7026</v>
      </c>
    </row>
    <row r="214" spans="1:16">
      <c r="A214" s="276">
        <v>8076</v>
      </c>
      <c r="B214" s="266">
        <v>7026</v>
      </c>
      <c r="C214" s="276" t="s">
        <v>1310</v>
      </c>
      <c r="D214" s="223">
        <v>-124396</v>
      </c>
      <c r="E214" s="223">
        <v>-418958</v>
      </c>
      <c r="F214" s="267"/>
      <c r="G214" s="224"/>
      <c r="H214" s="301"/>
      <c r="I214" s="224"/>
      <c r="J214" s="301"/>
      <c r="K214" s="58" t="str">
        <f t="shared" si="21"/>
        <v>702</v>
      </c>
      <c r="L214" s="58" t="str">
        <f t="shared" si="26"/>
        <v>70</v>
      </c>
      <c r="M214" s="268"/>
      <c r="N214" s="268"/>
      <c r="O214" s="140"/>
      <c r="P214">
        <f>VLOOKUP(B214,SAP!A:A,1,0)</f>
        <v>7026</v>
      </c>
    </row>
    <row r="215" spans="1:16">
      <c r="A215" s="276">
        <v>8032</v>
      </c>
      <c r="B215" s="266">
        <v>7050</v>
      </c>
      <c r="C215" s="276" t="s">
        <v>1311</v>
      </c>
      <c r="D215" s="223">
        <v>-38</v>
      </c>
      <c r="E215" s="223">
        <v>-156</v>
      </c>
      <c r="F215" s="267"/>
      <c r="G215" s="224"/>
      <c r="H215" s="301"/>
      <c r="I215" s="224"/>
      <c r="J215" s="301"/>
      <c r="K215" s="58" t="str">
        <f t="shared" si="21"/>
        <v>705</v>
      </c>
      <c r="L215" s="58" t="str">
        <f t="shared" si="26"/>
        <v>70</v>
      </c>
      <c r="M215" s="268"/>
      <c r="N215" s="268"/>
      <c r="O215" s="140"/>
      <c r="P215">
        <f>VLOOKUP(B215,SAP!A:A,1,0)</f>
        <v>7050</v>
      </c>
    </row>
    <row r="216" spans="1:16">
      <c r="A216" s="276">
        <v>8050</v>
      </c>
      <c r="B216" s="266">
        <v>7050</v>
      </c>
      <c r="C216" s="276" t="s">
        <v>1312</v>
      </c>
      <c r="D216" s="223">
        <v>-744139</v>
      </c>
      <c r="E216" s="223">
        <v>-2510979</v>
      </c>
      <c r="F216" s="267"/>
      <c r="G216" s="224"/>
      <c r="H216" s="301"/>
      <c r="I216" s="224"/>
      <c r="J216" s="301"/>
      <c r="K216" s="58" t="str">
        <f t="shared" si="21"/>
        <v>705</v>
      </c>
      <c r="L216" s="58" t="str">
        <f t="shared" si="26"/>
        <v>70</v>
      </c>
      <c r="M216" s="268"/>
      <c r="N216" s="268"/>
      <c r="O216" s="140"/>
      <c r="P216">
        <f>VLOOKUP(B216,SAP!A:A,1,0)</f>
        <v>7050</v>
      </c>
    </row>
    <row r="217" spans="1:16">
      <c r="A217" s="276">
        <v>8051</v>
      </c>
      <c r="B217" s="266">
        <v>7050</v>
      </c>
      <c r="C217" s="276" t="s">
        <v>1313</v>
      </c>
      <c r="D217" s="223">
        <v>-42428</v>
      </c>
      <c r="E217" s="223">
        <v>-143219</v>
      </c>
      <c r="F217" s="267"/>
      <c r="G217" s="224"/>
      <c r="H217" s="301"/>
      <c r="I217" s="224"/>
      <c r="J217" s="301"/>
      <c r="K217" s="58" t="str">
        <f t="shared" si="21"/>
        <v>705</v>
      </c>
      <c r="L217" s="58" t="str">
        <f t="shared" si="26"/>
        <v>70</v>
      </c>
      <c r="M217" s="268"/>
      <c r="N217" s="268"/>
      <c r="O217" s="140"/>
      <c r="P217">
        <f>VLOOKUP(B217,SAP!A:A,1,0)</f>
        <v>7050</v>
      </c>
    </row>
    <row r="218" spans="1:16">
      <c r="A218" s="276">
        <v>8052</v>
      </c>
      <c r="B218" s="266">
        <v>7050</v>
      </c>
      <c r="C218" s="276" t="s">
        <v>1314</v>
      </c>
      <c r="D218" s="223">
        <v>-31124</v>
      </c>
      <c r="E218" s="223">
        <v>-104573</v>
      </c>
      <c r="F218" s="267"/>
      <c r="G218" s="224"/>
      <c r="H218" s="301"/>
      <c r="I218" s="224"/>
      <c r="J218" s="301"/>
      <c r="K218" s="58" t="str">
        <f t="shared" si="21"/>
        <v>705</v>
      </c>
      <c r="L218" s="58" t="str">
        <f t="shared" si="26"/>
        <v>70</v>
      </c>
      <c r="M218" s="268"/>
      <c r="N218" s="268"/>
      <c r="O218" s="140"/>
      <c r="P218">
        <f>VLOOKUP(B218,SAP!A:A,1,0)</f>
        <v>7050</v>
      </c>
    </row>
    <row r="219" spans="1:16">
      <c r="A219" s="276">
        <v>8053</v>
      </c>
      <c r="B219" s="266">
        <v>7050</v>
      </c>
      <c r="C219" s="276" t="s">
        <v>1315</v>
      </c>
      <c r="D219" s="223">
        <v>31124</v>
      </c>
      <c r="E219" s="223">
        <v>104573</v>
      </c>
      <c r="F219" s="267"/>
      <c r="G219" s="224"/>
      <c r="H219" s="301"/>
      <c r="I219" s="224"/>
      <c r="J219" s="301"/>
      <c r="K219" s="58" t="str">
        <f t="shared" si="21"/>
        <v>705</v>
      </c>
      <c r="L219" s="58" t="str">
        <f t="shared" si="26"/>
        <v>70</v>
      </c>
      <c r="M219" s="268"/>
      <c r="N219" s="268"/>
      <c r="O219" s="140"/>
      <c r="P219">
        <f>VLOOKUP(B219,SAP!A:A,1,0)</f>
        <v>7050</v>
      </c>
    </row>
    <row r="220" spans="1:16">
      <c r="A220" s="276">
        <v>8061</v>
      </c>
      <c r="B220" s="266">
        <v>7050</v>
      </c>
      <c r="C220" s="276" t="s">
        <v>1316</v>
      </c>
      <c r="D220" s="223">
        <v>-30316</v>
      </c>
      <c r="E220" s="223">
        <v>-102307</v>
      </c>
      <c r="F220" s="223"/>
      <c r="G220" s="224"/>
      <c r="H220" s="301"/>
      <c r="I220" s="224"/>
      <c r="J220" s="301"/>
      <c r="K220" s="58" t="str">
        <f t="shared" si="21"/>
        <v>705</v>
      </c>
      <c r="L220" s="58" t="str">
        <f t="shared" si="26"/>
        <v>70</v>
      </c>
      <c r="M220" s="268"/>
      <c r="N220" s="268"/>
      <c r="O220" s="140"/>
      <c r="P220">
        <f>VLOOKUP(B220,SAP!A:A,1,0)</f>
        <v>7050</v>
      </c>
    </row>
    <row r="221" spans="1:16">
      <c r="A221" s="276">
        <v>8062</v>
      </c>
      <c r="B221" s="266">
        <v>7050</v>
      </c>
      <c r="C221" s="276" t="s">
        <v>1317</v>
      </c>
      <c r="D221" s="223">
        <v>-20427</v>
      </c>
      <c r="E221" s="223">
        <v>-68969</v>
      </c>
      <c r="F221" s="223"/>
      <c r="G221" s="224"/>
      <c r="H221" s="301"/>
      <c r="I221" s="224"/>
      <c r="J221" s="301"/>
      <c r="K221" s="58" t="str">
        <f t="shared" si="21"/>
        <v>705</v>
      </c>
      <c r="L221" s="58" t="str">
        <f t="shared" si="26"/>
        <v>70</v>
      </c>
      <c r="M221" s="268"/>
      <c r="N221" s="268"/>
      <c r="O221" s="140"/>
      <c r="P221">
        <f>VLOOKUP(B221,SAP!A:A,1,0)</f>
        <v>7050</v>
      </c>
    </row>
    <row r="222" spans="1:16">
      <c r="A222" s="276">
        <v>8063</v>
      </c>
      <c r="B222" s="266">
        <v>7050</v>
      </c>
      <c r="C222" s="276" t="s">
        <v>1318</v>
      </c>
      <c r="D222" s="223">
        <v>-53517</v>
      </c>
      <c r="E222" s="223">
        <v>-180594</v>
      </c>
      <c r="F222" s="223"/>
      <c r="G222" s="224"/>
      <c r="H222" s="301"/>
      <c r="I222" s="224"/>
      <c r="J222" s="301"/>
      <c r="K222" s="58" t="str">
        <f t="shared" si="21"/>
        <v>705</v>
      </c>
      <c r="L222" s="58" t="str">
        <f t="shared" si="26"/>
        <v>70</v>
      </c>
      <c r="M222" s="268"/>
      <c r="N222" s="268"/>
      <c r="O222" s="140"/>
      <c r="P222">
        <f>VLOOKUP(B222,SAP!A:A,1,0)</f>
        <v>7050</v>
      </c>
    </row>
    <row r="223" spans="1:16">
      <c r="A223" s="276">
        <v>8064</v>
      </c>
      <c r="B223" s="266">
        <v>7050</v>
      </c>
      <c r="C223" s="276" t="s">
        <v>1319</v>
      </c>
      <c r="D223" s="223">
        <v>-3728</v>
      </c>
      <c r="E223" s="223">
        <v>-12589</v>
      </c>
      <c r="F223" s="223"/>
      <c r="G223" s="224"/>
      <c r="H223" s="301"/>
      <c r="I223" s="224"/>
      <c r="J223" s="301"/>
      <c r="K223" s="58" t="str">
        <f t="shared" si="21"/>
        <v>705</v>
      </c>
      <c r="L223" s="58" t="str">
        <f t="shared" si="26"/>
        <v>70</v>
      </c>
      <c r="M223" s="268"/>
      <c r="N223" s="268"/>
      <c r="O223" s="140"/>
      <c r="P223">
        <f>VLOOKUP(B223,SAP!A:A,1,0)</f>
        <v>7050</v>
      </c>
    </row>
    <row r="224" spans="1:16">
      <c r="A224" s="276">
        <v>8073</v>
      </c>
      <c r="B224" s="266">
        <v>7050</v>
      </c>
      <c r="C224" s="276" t="s">
        <v>1089</v>
      </c>
      <c r="D224" s="223">
        <v>-22633</v>
      </c>
      <c r="E224" s="223">
        <v>-79646</v>
      </c>
      <c r="F224" s="223"/>
      <c r="G224" s="224"/>
      <c r="H224" s="301"/>
      <c r="I224" s="224"/>
      <c r="J224" s="301"/>
      <c r="K224" s="58" t="str">
        <f t="shared" si="21"/>
        <v>705</v>
      </c>
      <c r="L224" s="58" t="str">
        <f t="shared" si="26"/>
        <v>70</v>
      </c>
      <c r="M224" s="268"/>
      <c r="N224" s="268"/>
      <c r="O224" s="140"/>
      <c r="P224">
        <f>VLOOKUP(B224,SAP!A:A,1,0)</f>
        <v>7050</v>
      </c>
    </row>
    <row r="225" spans="1:16">
      <c r="A225" s="276">
        <v>8209</v>
      </c>
      <c r="B225" s="266">
        <v>7050</v>
      </c>
      <c r="C225" s="276" t="s">
        <v>1320</v>
      </c>
      <c r="D225" s="223">
        <v>-16209</v>
      </c>
      <c r="E225" s="223">
        <v>-54349</v>
      </c>
      <c r="F225" s="223"/>
      <c r="G225" s="224"/>
      <c r="H225" s="301"/>
      <c r="I225" s="224"/>
      <c r="J225" s="301"/>
      <c r="K225" s="58" t="str">
        <f t="shared" si="21"/>
        <v>705</v>
      </c>
      <c r="L225" s="58" t="str">
        <f t="shared" si="26"/>
        <v>70</v>
      </c>
      <c r="M225" s="268"/>
      <c r="N225" s="268"/>
      <c r="O225" s="140"/>
      <c r="P225">
        <f>VLOOKUP(B225,SAP!A:A,1,0)</f>
        <v>7050</v>
      </c>
    </row>
    <row r="226" spans="1:16">
      <c r="A226" s="276">
        <v>8009</v>
      </c>
      <c r="B226" s="266">
        <v>7051</v>
      </c>
      <c r="C226" s="276" t="s">
        <v>1321</v>
      </c>
      <c r="D226" s="223">
        <v>-54359</v>
      </c>
      <c r="E226" s="223">
        <v>-180065</v>
      </c>
      <c r="F226" s="223"/>
      <c r="G226" s="224"/>
      <c r="H226" s="301"/>
      <c r="I226" s="224"/>
      <c r="J226" s="301"/>
      <c r="K226" s="58" t="str">
        <f t="shared" si="21"/>
        <v>705</v>
      </c>
      <c r="L226" s="58" t="str">
        <f t="shared" si="26"/>
        <v>70</v>
      </c>
      <c r="M226" s="268"/>
      <c r="N226" s="268"/>
      <c r="O226" s="140"/>
      <c r="P226">
        <f>VLOOKUP(B226,SAP!A:A,1,0)</f>
        <v>7051</v>
      </c>
    </row>
    <row r="227" spans="1:16">
      <c r="A227" s="276">
        <v>8010</v>
      </c>
      <c r="B227" s="266">
        <v>7051</v>
      </c>
      <c r="C227" s="276" t="s">
        <v>1322</v>
      </c>
      <c r="D227" s="223">
        <v>-102707</v>
      </c>
      <c r="E227" s="223">
        <v>-342141</v>
      </c>
      <c r="F227" s="223"/>
      <c r="G227" s="224"/>
      <c r="H227" s="301"/>
      <c r="I227" s="224"/>
      <c r="J227" s="301"/>
      <c r="K227" s="58" t="str">
        <f t="shared" si="21"/>
        <v>705</v>
      </c>
      <c r="L227" s="58" t="str">
        <f t="shared" si="26"/>
        <v>70</v>
      </c>
      <c r="M227" s="268"/>
      <c r="N227" s="268"/>
      <c r="O227" s="140"/>
      <c r="P227">
        <f>VLOOKUP(B227,SAP!A:A,1,0)</f>
        <v>7051</v>
      </c>
    </row>
    <row r="228" spans="1:16">
      <c r="A228" s="276">
        <v>8011</v>
      </c>
      <c r="B228" s="266">
        <v>7051</v>
      </c>
      <c r="C228" s="276" t="s">
        <v>1323</v>
      </c>
      <c r="D228" s="223">
        <v>-19748</v>
      </c>
      <c r="E228" s="223">
        <v>-67320</v>
      </c>
      <c r="F228" s="223"/>
      <c r="G228" s="224"/>
      <c r="H228" s="301"/>
      <c r="I228" s="224"/>
      <c r="J228" s="301"/>
      <c r="K228" s="58" t="str">
        <f t="shared" si="21"/>
        <v>705</v>
      </c>
      <c r="L228" s="58" t="str">
        <f t="shared" si="26"/>
        <v>70</v>
      </c>
      <c r="M228" s="268"/>
      <c r="N228" s="268"/>
      <c r="O228" s="140"/>
      <c r="P228">
        <f>VLOOKUP(B228,SAP!A:A,1,0)</f>
        <v>7051</v>
      </c>
    </row>
    <row r="229" spans="1:16">
      <c r="A229" s="276">
        <v>8079</v>
      </c>
      <c r="B229" s="266">
        <v>7051</v>
      </c>
      <c r="C229" s="276" t="s">
        <v>1324</v>
      </c>
      <c r="D229" s="223">
        <v>-4199</v>
      </c>
      <c r="E229" s="223">
        <v>-15200</v>
      </c>
      <c r="F229" s="223"/>
      <c r="G229" s="224"/>
      <c r="H229" s="301"/>
      <c r="I229" s="224"/>
      <c r="J229" s="301"/>
      <c r="K229" s="58" t="str">
        <f t="shared" si="21"/>
        <v>705</v>
      </c>
      <c r="L229" s="58" t="str">
        <f t="shared" si="26"/>
        <v>70</v>
      </c>
      <c r="M229" s="268"/>
      <c r="N229" s="268"/>
      <c r="O229" s="140"/>
      <c r="P229">
        <f>VLOOKUP(B229,SAP!A:A,1,0)</f>
        <v>7051</v>
      </c>
    </row>
    <row r="230" spans="1:16">
      <c r="A230" s="276">
        <v>8056</v>
      </c>
      <c r="B230" s="266">
        <v>7052</v>
      </c>
      <c r="C230" s="276" t="s">
        <v>1325</v>
      </c>
      <c r="D230" s="223">
        <v>-12643</v>
      </c>
      <c r="E230" s="223">
        <v>-41743</v>
      </c>
      <c r="F230" s="223"/>
      <c r="G230" s="224"/>
      <c r="H230" s="301"/>
      <c r="I230" s="224"/>
      <c r="J230" s="301"/>
      <c r="K230" s="58" t="str">
        <f t="shared" si="21"/>
        <v>705</v>
      </c>
      <c r="L230" s="58" t="str">
        <f t="shared" si="26"/>
        <v>70</v>
      </c>
      <c r="M230" s="268"/>
      <c r="N230" s="268"/>
      <c r="O230" s="140"/>
      <c r="P230">
        <f>VLOOKUP(B230,SAP!A:A,1,0)</f>
        <v>7052</v>
      </c>
    </row>
    <row r="231" spans="1:16">
      <c r="A231" s="276">
        <v>8057</v>
      </c>
      <c r="B231" s="266">
        <v>7052</v>
      </c>
      <c r="C231" s="276" t="s">
        <v>1326</v>
      </c>
      <c r="D231" s="223">
        <v>-59525</v>
      </c>
      <c r="E231" s="223">
        <v>-195018</v>
      </c>
      <c r="F231" s="223"/>
      <c r="G231" s="224"/>
      <c r="H231" s="301"/>
      <c r="I231" s="224"/>
      <c r="J231" s="301"/>
      <c r="K231" s="58" t="str">
        <f t="shared" si="21"/>
        <v>705</v>
      </c>
      <c r="L231" s="58" t="str">
        <f t="shared" si="26"/>
        <v>70</v>
      </c>
      <c r="M231" s="268"/>
      <c r="N231" s="268"/>
      <c r="O231" s="140"/>
      <c r="P231">
        <f>VLOOKUP(B231,SAP!A:A,1,0)</f>
        <v>7052</v>
      </c>
    </row>
    <row r="232" spans="1:16">
      <c r="A232" s="276">
        <v>8069</v>
      </c>
      <c r="B232" s="266">
        <v>7052</v>
      </c>
      <c r="C232" s="276" t="s">
        <v>1327</v>
      </c>
      <c r="D232" s="223">
        <v>-1135</v>
      </c>
      <c r="E232" s="223">
        <v>-3730</v>
      </c>
      <c r="F232" s="223"/>
      <c r="G232" s="224"/>
      <c r="H232" s="301"/>
      <c r="I232" s="224"/>
      <c r="J232" s="301"/>
      <c r="K232" s="58" t="str">
        <f t="shared" si="21"/>
        <v>705</v>
      </c>
      <c r="L232" s="58" t="str">
        <f t="shared" si="26"/>
        <v>70</v>
      </c>
      <c r="M232" s="268"/>
      <c r="N232" s="268"/>
      <c r="O232" s="140"/>
      <c r="P232">
        <f>VLOOKUP(B232,SAP!A:A,1,0)</f>
        <v>7052</v>
      </c>
    </row>
    <row r="233" spans="1:16">
      <c r="A233" s="276">
        <v>8078</v>
      </c>
      <c r="B233" s="266">
        <v>3743</v>
      </c>
      <c r="C233" s="276" t="s">
        <v>1328</v>
      </c>
      <c r="D233" s="223">
        <v>-317620</v>
      </c>
      <c r="E233" s="223">
        <v>-1024324</v>
      </c>
      <c r="F233" s="223"/>
      <c r="G233" s="224"/>
      <c r="H233" s="301"/>
      <c r="I233" s="224"/>
      <c r="J233" s="301"/>
      <c r="K233" s="58" t="str">
        <f t="shared" si="21"/>
        <v>374</v>
      </c>
      <c r="L233" s="58" t="str">
        <f t="shared" si="26"/>
        <v>37</v>
      </c>
      <c r="M233" s="268"/>
      <c r="N233" s="268"/>
      <c r="O233" s="140"/>
      <c r="P233">
        <f>VLOOKUP(B233,SAP!A:A,1,0)</f>
        <v>3743</v>
      </c>
    </row>
    <row r="234" spans="1:16">
      <c r="A234" s="276">
        <v>8150</v>
      </c>
      <c r="B234" s="266">
        <v>7053</v>
      </c>
      <c r="C234" s="276" t="s">
        <v>1329</v>
      </c>
      <c r="D234" s="223">
        <v>-105442</v>
      </c>
      <c r="E234" s="223">
        <v>-353549</v>
      </c>
      <c r="F234" s="223"/>
      <c r="G234" s="224"/>
      <c r="H234" s="301"/>
      <c r="I234" s="224"/>
      <c r="J234" s="301"/>
      <c r="K234" s="58" t="str">
        <f t="shared" si="21"/>
        <v>705</v>
      </c>
      <c r="L234" s="58" t="str">
        <f t="shared" si="26"/>
        <v>70</v>
      </c>
      <c r="M234" s="268"/>
      <c r="N234" s="268"/>
      <c r="O234" s="140"/>
      <c r="P234">
        <f>VLOOKUP(B234,SAP!A:A,1,0)</f>
        <v>7053</v>
      </c>
    </row>
    <row r="235" spans="1:16">
      <c r="A235" s="276">
        <v>8018</v>
      </c>
      <c r="B235" s="266">
        <v>7054</v>
      </c>
      <c r="C235" s="276" t="s">
        <v>1330</v>
      </c>
      <c r="D235" s="223">
        <v>-8028</v>
      </c>
      <c r="E235" s="223">
        <v>-27168</v>
      </c>
      <c r="F235" s="223"/>
      <c r="G235" s="224"/>
      <c r="H235" s="301"/>
      <c r="I235" s="224"/>
      <c r="J235" s="301"/>
      <c r="K235" s="58" t="str">
        <f t="shared" si="21"/>
        <v>705</v>
      </c>
      <c r="L235" s="58" t="str">
        <f t="shared" si="26"/>
        <v>70</v>
      </c>
      <c r="M235" s="268"/>
      <c r="N235" s="268"/>
      <c r="O235" s="140"/>
      <c r="P235">
        <f>VLOOKUP(B235,SAP!A:A,1,0)</f>
        <v>7054</v>
      </c>
    </row>
    <row r="236" spans="1:16">
      <c r="A236" s="276">
        <v>8040</v>
      </c>
      <c r="B236" s="266">
        <v>7054</v>
      </c>
      <c r="C236" s="276" t="s">
        <v>1331</v>
      </c>
      <c r="D236" s="223">
        <v>-9030</v>
      </c>
      <c r="E236" s="223">
        <v>-30259</v>
      </c>
      <c r="F236" s="223"/>
      <c r="G236" s="224"/>
      <c r="H236" s="301"/>
      <c r="I236" s="224"/>
      <c r="J236" s="301"/>
      <c r="K236" s="58" t="str">
        <f t="shared" ref="K236:K242" si="29">LEFT(B236,3)</f>
        <v>705</v>
      </c>
      <c r="L236" s="58" t="str">
        <f t="shared" si="26"/>
        <v>70</v>
      </c>
      <c r="M236" s="268"/>
      <c r="N236" s="268"/>
      <c r="O236" s="140"/>
      <c r="P236">
        <f>VLOOKUP(B236,SAP!A:A,1,0)</f>
        <v>7054</v>
      </c>
    </row>
    <row r="237" spans="1:16">
      <c r="A237" s="276">
        <v>8000</v>
      </c>
      <c r="B237" s="266">
        <v>7055</v>
      </c>
      <c r="C237" s="276" t="s">
        <v>1332</v>
      </c>
      <c r="D237" s="223">
        <v>-154211</v>
      </c>
      <c r="E237" s="223">
        <v>-516850</v>
      </c>
      <c r="F237" s="223"/>
      <c r="G237" s="224"/>
      <c r="H237" s="301"/>
      <c r="I237" s="224"/>
      <c r="J237" s="301"/>
      <c r="K237" s="58" t="str">
        <f t="shared" si="29"/>
        <v>705</v>
      </c>
      <c r="L237" s="58" t="str">
        <f t="shared" si="26"/>
        <v>70</v>
      </c>
      <c r="M237" s="268"/>
      <c r="N237" s="268"/>
      <c r="O237" s="140"/>
      <c r="P237">
        <f>VLOOKUP(B237,SAP!A:A,1,0)</f>
        <v>7055</v>
      </c>
    </row>
    <row r="238" spans="1:16">
      <c r="A238" s="276">
        <v>8001</v>
      </c>
      <c r="B238" s="266">
        <v>7055</v>
      </c>
      <c r="C238" s="276" t="s">
        <v>1333</v>
      </c>
      <c r="D238" s="223">
        <v>-26787</v>
      </c>
      <c r="E238" s="223">
        <v>-91474</v>
      </c>
      <c r="F238" s="223"/>
      <c r="G238" s="224"/>
      <c r="H238" s="301"/>
      <c r="I238" s="224"/>
      <c r="J238" s="301"/>
      <c r="K238" s="58" t="str">
        <f t="shared" si="29"/>
        <v>705</v>
      </c>
      <c r="L238" s="58" t="str">
        <f t="shared" si="26"/>
        <v>70</v>
      </c>
      <c r="M238" s="268"/>
      <c r="N238" s="268"/>
      <c r="O238" s="140"/>
      <c r="P238">
        <f>VLOOKUP(B238,SAP!A:A,1,0)</f>
        <v>7055</v>
      </c>
    </row>
    <row r="239" spans="1:16">
      <c r="A239" s="276">
        <v>8003</v>
      </c>
      <c r="B239" s="266">
        <v>7055</v>
      </c>
      <c r="C239" s="276" t="s">
        <v>1334</v>
      </c>
      <c r="D239" s="223">
        <v>-7313</v>
      </c>
      <c r="E239" s="223">
        <v>-25074</v>
      </c>
      <c r="F239" s="223"/>
      <c r="G239" s="224"/>
      <c r="H239" s="301"/>
      <c r="I239" s="224"/>
      <c r="J239" s="301"/>
      <c r="K239" s="58" t="str">
        <f t="shared" si="29"/>
        <v>705</v>
      </c>
      <c r="L239" s="58" t="str">
        <f t="shared" si="26"/>
        <v>70</v>
      </c>
      <c r="M239" s="268"/>
      <c r="N239" s="268"/>
      <c r="O239" s="140"/>
      <c r="P239">
        <f>VLOOKUP(B239,SAP!A:A,1,0)</f>
        <v>7055</v>
      </c>
    </row>
    <row r="240" spans="1:16">
      <c r="A240" s="276">
        <v>8004</v>
      </c>
      <c r="B240" s="266">
        <v>7055</v>
      </c>
      <c r="C240" s="276" t="s">
        <v>1335</v>
      </c>
      <c r="D240" s="223">
        <v>-3728</v>
      </c>
      <c r="E240" s="223">
        <v>-12578</v>
      </c>
      <c r="F240" s="223"/>
      <c r="G240" s="224"/>
      <c r="H240" s="301"/>
      <c r="I240" s="224"/>
      <c r="J240" s="301"/>
      <c r="K240" s="58" t="str">
        <f t="shared" si="29"/>
        <v>705</v>
      </c>
      <c r="L240" s="58" t="str">
        <f t="shared" si="26"/>
        <v>70</v>
      </c>
      <c r="M240" s="268"/>
      <c r="N240" s="268"/>
      <c r="O240" s="140"/>
      <c r="P240">
        <f>VLOOKUP(B240,SAP!A:A,1,0)</f>
        <v>7055</v>
      </c>
    </row>
    <row r="241" spans="1:16">
      <c r="A241" s="276">
        <v>8005</v>
      </c>
      <c r="B241" s="266">
        <v>7055</v>
      </c>
      <c r="C241" s="276" t="s">
        <v>1336</v>
      </c>
      <c r="D241" s="223">
        <v>-15164</v>
      </c>
      <c r="E241" s="223">
        <v>-51221</v>
      </c>
      <c r="F241" s="223"/>
      <c r="G241" s="224"/>
      <c r="H241" s="301"/>
      <c r="I241" s="224"/>
      <c r="J241" s="301"/>
      <c r="K241" s="58" t="str">
        <f t="shared" si="29"/>
        <v>705</v>
      </c>
      <c r="L241" s="58" t="str">
        <f t="shared" si="26"/>
        <v>70</v>
      </c>
      <c r="M241" s="268"/>
      <c r="N241" s="268"/>
      <c r="O241" s="140"/>
      <c r="P241">
        <f>VLOOKUP(B241,SAP!A:A,1,0)</f>
        <v>7055</v>
      </c>
    </row>
    <row r="242" spans="1:16">
      <c r="A242" s="276">
        <v>8006</v>
      </c>
      <c r="B242" s="266">
        <v>7055</v>
      </c>
      <c r="C242" s="276" t="s">
        <v>1337</v>
      </c>
      <c r="D242" s="223">
        <v>-17529</v>
      </c>
      <c r="E242" s="223">
        <v>-59734</v>
      </c>
      <c r="F242" s="223"/>
      <c r="G242" s="224"/>
      <c r="H242" s="301"/>
      <c r="I242" s="224"/>
      <c r="J242" s="301"/>
      <c r="K242" s="58" t="str">
        <f t="shared" si="29"/>
        <v>705</v>
      </c>
      <c r="L242" s="58" t="str">
        <f t="shared" si="26"/>
        <v>70</v>
      </c>
      <c r="M242" s="268"/>
      <c r="N242" s="268"/>
      <c r="O242" s="140"/>
      <c r="P242">
        <f>VLOOKUP(B242,SAP!A:A,1,0)</f>
        <v>7055</v>
      </c>
    </row>
    <row r="243" spans="1:16">
      <c r="A243" s="276">
        <v>8007</v>
      </c>
      <c r="B243" s="266">
        <v>7055</v>
      </c>
      <c r="C243" s="276" t="s">
        <v>1338</v>
      </c>
      <c r="D243" s="223">
        <v>-356</v>
      </c>
      <c r="E243" s="223">
        <v>-1162</v>
      </c>
      <c r="F243" s="223"/>
      <c r="G243" s="224"/>
      <c r="H243" s="301"/>
      <c r="I243" s="224"/>
      <c r="J243" s="301"/>
      <c r="K243" s="58" t="str">
        <f t="shared" ref="K243" si="30">LEFT(B243,3)</f>
        <v>705</v>
      </c>
      <c r="L243" s="58" t="str">
        <f t="shared" si="26"/>
        <v>70</v>
      </c>
      <c r="M243" s="268"/>
      <c r="N243" s="268"/>
      <c r="O243" s="140"/>
      <c r="P243">
        <f>VLOOKUP(B243,SAP!A:A,1,0)</f>
        <v>7055</v>
      </c>
    </row>
    <row r="244" spans="1:16">
      <c r="A244" s="276">
        <v>8014</v>
      </c>
      <c r="B244" s="266">
        <v>7055</v>
      </c>
      <c r="C244" s="276" t="s">
        <v>137</v>
      </c>
      <c r="D244" s="223">
        <v>-410</v>
      </c>
      <c r="E244" s="223">
        <v>-1381</v>
      </c>
      <c r="F244" s="223"/>
      <c r="G244" s="224"/>
      <c r="H244" s="301"/>
      <c r="I244" s="224"/>
      <c r="J244" s="301"/>
      <c r="K244" s="58" t="str">
        <f t="shared" ref="K244:K260" si="31">LEFT(B244,3)</f>
        <v>705</v>
      </c>
      <c r="L244" s="58" t="str">
        <f t="shared" si="26"/>
        <v>70</v>
      </c>
      <c r="M244" s="268"/>
      <c r="N244" s="268"/>
      <c r="O244" s="140"/>
      <c r="P244">
        <f>VLOOKUP(B244,SAP!A:A,1,0)</f>
        <v>7055</v>
      </c>
    </row>
    <row r="245" spans="1:16">
      <c r="A245" s="276">
        <v>8020</v>
      </c>
      <c r="B245" s="266">
        <v>7055</v>
      </c>
      <c r="C245" s="276" t="s">
        <v>1339</v>
      </c>
      <c r="D245" s="223">
        <v>-2014</v>
      </c>
      <c r="E245" s="223">
        <v>-6880</v>
      </c>
      <c r="F245" s="223"/>
      <c r="G245" s="224"/>
      <c r="H245" s="301"/>
      <c r="I245" s="224"/>
      <c r="J245" s="301"/>
      <c r="K245" s="58" t="str">
        <f t="shared" si="31"/>
        <v>705</v>
      </c>
      <c r="L245" s="58" t="str">
        <f t="shared" si="26"/>
        <v>70</v>
      </c>
      <c r="M245" s="268"/>
      <c r="N245" s="268"/>
      <c r="O245" s="140"/>
      <c r="P245">
        <f>VLOOKUP(B245,SAP!A:A,1,0)</f>
        <v>7055</v>
      </c>
    </row>
    <row r="246" spans="1:16">
      <c r="A246" s="276">
        <v>8033</v>
      </c>
      <c r="B246" s="266">
        <v>7055</v>
      </c>
      <c r="C246" s="276" t="s">
        <v>1340</v>
      </c>
      <c r="D246" s="223">
        <v>-3332</v>
      </c>
      <c r="E246" s="223">
        <v>-11258</v>
      </c>
      <c r="F246" s="223"/>
      <c r="G246" s="224"/>
      <c r="H246" s="301"/>
      <c r="I246" s="224"/>
      <c r="J246" s="301"/>
      <c r="K246" s="58" t="str">
        <f t="shared" si="31"/>
        <v>705</v>
      </c>
      <c r="L246" s="58" t="str">
        <f t="shared" si="26"/>
        <v>70</v>
      </c>
      <c r="M246" s="268"/>
      <c r="N246" s="268"/>
      <c r="O246" s="140"/>
      <c r="P246">
        <f>VLOOKUP(B246,SAP!A:A,1,0)</f>
        <v>7055</v>
      </c>
    </row>
    <row r="247" spans="1:16">
      <c r="A247" s="276">
        <v>8035</v>
      </c>
      <c r="B247" s="266">
        <v>7055</v>
      </c>
      <c r="C247" s="276" t="s">
        <v>1341</v>
      </c>
      <c r="D247" s="223">
        <v>-76286</v>
      </c>
      <c r="E247" s="223">
        <v>-258145</v>
      </c>
      <c r="F247" s="223"/>
      <c r="G247" s="224"/>
      <c r="H247" s="301"/>
      <c r="I247" s="224"/>
      <c r="J247" s="301"/>
      <c r="K247" s="58" t="str">
        <f t="shared" si="31"/>
        <v>705</v>
      </c>
      <c r="L247" s="58" t="str">
        <f t="shared" si="26"/>
        <v>70</v>
      </c>
      <c r="M247" s="268"/>
      <c r="N247" s="268"/>
      <c r="O247" s="140"/>
      <c r="P247">
        <f>VLOOKUP(B247,SAP!A:A,1,0)</f>
        <v>7055</v>
      </c>
    </row>
    <row r="248" spans="1:16">
      <c r="A248" s="276">
        <v>8044</v>
      </c>
      <c r="B248" s="266">
        <v>7055</v>
      </c>
      <c r="C248" s="276" t="s">
        <v>1342</v>
      </c>
      <c r="D248" s="223">
        <v>-23916</v>
      </c>
      <c r="E248" s="223">
        <v>-80352</v>
      </c>
      <c r="F248" s="223"/>
      <c r="G248" s="224"/>
      <c r="H248" s="301"/>
      <c r="I248" s="224"/>
      <c r="J248" s="301"/>
      <c r="K248" s="58" t="str">
        <f t="shared" si="31"/>
        <v>705</v>
      </c>
      <c r="L248" s="58" t="str">
        <f t="shared" si="26"/>
        <v>70</v>
      </c>
      <c r="M248" s="268"/>
      <c r="N248" s="268"/>
      <c r="O248" s="140"/>
      <c r="P248">
        <f>VLOOKUP(B248,SAP!A:A,1,0)</f>
        <v>7055</v>
      </c>
    </row>
    <row r="249" spans="1:16">
      <c r="A249" s="276">
        <v>8059</v>
      </c>
      <c r="B249" s="266">
        <v>7056</v>
      </c>
      <c r="C249" s="276" t="s">
        <v>1343</v>
      </c>
      <c r="D249" s="223">
        <v>-793</v>
      </c>
      <c r="E249" s="223">
        <v>-2800</v>
      </c>
      <c r="F249" s="223"/>
      <c r="G249" s="224"/>
      <c r="H249" s="301"/>
      <c r="I249" s="224"/>
      <c r="J249" s="301"/>
      <c r="K249" s="58" t="str">
        <f t="shared" si="31"/>
        <v>705</v>
      </c>
      <c r="L249" s="58" t="str">
        <f t="shared" si="26"/>
        <v>70</v>
      </c>
      <c r="M249" s="268"/>
      <c r="N249" s="268"/>
      <c r="O249" s="140"/>
      <c r="P249">
        <f>VLOOKUP(B249,SAP!A:A,1,0)</f>
        <v>7056</v>
      </c>
    </row>
    <row r="250" spans="1:16">
      <c r="A250" s="276">
        <v>8139</v>
      </c>
      <c r="B250" s="266">
        <v>7057</v>
      </c>
      <c r="C250" s="276" t="s">
        <v>1344</v>
      </c>
      <c r="D250" s="223">
        <v>-132107</v>
      </c>
      <c r="E250" s="223">
        <v>-467808</v>
      </c>
      <c r="F250" s="223"/>
      <c r="G250" s="224"/>
      <c r="H250" s="301"/>
      <c r="I250" s="224"/>
      <c r="J250" s="301"/>
      <c r="K250" s="58" t="str">
        <f t="shared" si="31"/>
        <v>705</v>
      </c>
      <c r="L250" s="58" t="str">
        <f t="shared" si="26"/>
        <v>70</v>
      </c>
      <c r="M250" s="268"/>
      <c r="N250" s="268"/>
      <c r="O250" s="140"/>
      <c r="P250">
        <f>VLOOKUP(B250,SAP!A:A,1,0)</f>
        <v>7057</v>
      </c>
    </row>
    <row r="251" spans="1:16">
      <c r="A251" s="276">
        <v>8243</v>
      </c>
      <c r="B251" s="266">
        <v>7057</v>
      </c>
      <c r="C251" s="276" t="s">
        <v>1345</v>
      </c>
      <c r="D251" s="223">
        <v>-2964</v>
      </c>
      <c r="E251" s="223">
        <v>-9516</v>
      </c>
      <c r="F251" s="223"/>
      <c r="G251" s="224"/>
      <c r="H251" s="301"/>
      <c r="I251" s="224"/>
      <c r="J251" s="301"/>
      <c r="K251" s="58" t="str">
        <f t="shared" si="31"/>
        <v>705</v>
      </c>
      <c r="L251" s="58" t="str">
        <f t="shared" si="26"/>
        <v>70</v>
      </c>
      <c r="M251" s="268"/>
      <c r="N251" s="268"/>
      <c r="O251" s="140"/>
      <c r="P251">
        <f>VLOOKUP(B251,SAP!A:A,1,0)</f>
        <v>7057</v>
      </c>
    </row>
    <row r="252" spans="1:16">
      <c r="A252" s="276">
        <v>8244</v>
      </c>
      <c r="B252" s="266">
        <v>7057</v>
      </c>
      <c r="C252" s="276" t="s">
        <v>1346</v>
      </c>
      <c r="D252" s="223">
        <v>-6281</v>
      </c>
      <c r="E252" s="223">
        <v>-20168</v>
      </c>
      <c r="F252" s="223"/>
      <c r="G252" s="224"/>
      <c r="H252" s="301"/>
      <c r="I252" s="224"/>
      <c r="J252" s="301"/>
      <c r="K252" s="58" t="str">
        <f t="shared" si="31"/>
        <v>705</v>
      </c>
      <c r="L252" s="58" t="str">
        <f t="shared" si="26"/>
        <v>70</v>
      </c>
      <c r="M252" s="268"/>
      <c r="N252" s="268"/>
      <c r="O252" s="140"/>
      <c r="P252">
        <f>VLOOKUP(B252,SAP!A:A,1,0)</f>
        <v>7057</v>
      </c>
    </row>
    <row r="253" spans="1:16">
      <c r="A253" s="276">
        <v>8246</v>
      </c>
      <c r="B253" s="266">
        <v>7057</v>
      </c>
      <c r="C253" s="276" t="s">
        <v>1347</v>
      </c>
      <c r="D253" s="223">
        <v>-4530</v>
      </c>
      <c r="E253" s="223">
        <v>-15856</v>
      </c>
      <c r="F253" s="223"/>
      <c r="G253" s="224"/>
      <c r="H253" s="301"/>
      <c r="I253" s="224"/>
      <c r="J253" s="301"/>
      <c r="K253" s="58" t="str">
        <f t="shared" si="31"/>
        <v>705</v>
      </c>
      <c r="L253" s="58" t="str">
        <f t="shared" si="26"/>
        <v>70</v>
      </c>
      <c r="M253" s="268"/>
      <c r="N253" s="268"/>
      <c r="O253" s="140"/>
      <c r="P253">
        <f>VLOOKUP(B253,SAP!A:A,1,0)</f>
        <v>7057</v>
      </c>
    </row>
    <row r="254" spans="1:16">
      <c r="A254" s="276">
        <v>8247</v>
      </c>
      <c r="B254" s="266">
        <v>7057</v>
      </c>
      <c r="C254" s="276" t="s">
        <v>1348</v>
      </c>
      <c r="D254" s="223">
        <v>-294</v>
      </c>
      <c r="E254" s="223">
        <v>-1030</v>
      </c>
      <c r="F254" s="223"/>
      <c r="G254" s="224"/>
      <c r="H254" s="301"/>
      <c r="I254" s="224"/>
      <c r="J254" s="301"/>
      <c r="K254" s="58" t="str">
        <f t="shared" si="31"/>
        <v>705</v>
      </c>
      <c r="L254" s="58" t="str">
        <f t="shared" si="26"/>
        <v>70</v>
      </c>
      <c r="M254" s="268"/>
      <c r="N254" s="268"/>
      <c r="O254" s="140"/>
      <c r="P254">
        <f>VLOOKUP(B254,SAP!A:A,1,0)</f>
        <v>7057</v>
      </c>
    </row>
    <row r="255" spans="1:16">
      <c r="A255" s="276">
        <v>8248</v>
      </c>
      <c r="B255" s="266">
        <v>7057</v>
      </c>
      <c r="C255" s="276" t="s">
        <v>1349</v>
      </c>
      <c r="D255" s="223">
        <v>-605</v>
      </c>
      <c r="E255" s="223">
        <v>-2133</v>
      </c>
      <c r="F255" s="223"/>
      <c r="G255" s="224"/>
      <c r="H255" s="301"/>
      <c r="I255" s="224"/>
      <c r="J255" s="301"/>
      <c r="K255" s="58" t="str">
        <f t="shared" si="31"/>
        <v>705</v>
      </c>
      <c r="L255" s="58" t="str">
        <f t="shared" si="26"/>
        <v>70</v>
      </c>
      <c r="M255" s="268"/>
      <c r="N255" s="268"/>
      <c r="O255" s="140"/>
      <c r="P255">
        <f>VLOOKUP(B255,SAP!A:A,1,0)</f>
        <v>7057</v>
      </c>
    </row>
    <row r="256" spans="1:16">
      <c r="A256" s="276">
        <v>8249</v>
      </c>
      <c r="B256" s="266">
        <v>7057</v>
      </c>
      <c r="C256" s="276" t="s">
        <v>1350</v>
      </c>
      <c r="D256" s="223">
        <v>-6092</v>
      </c>
      <c r="E256" s="223">
        <v>-21482</v>
      </c>
      <c r="F256" s="223"/>
      <c r="G256" s="224"/>
      <c r="H256" s="301"/>
      <c r="I256" s="224"/>
      <c r="J256" s="301"/>
      <c r="K256" s="58" t="str">
        <f t="shared" si="31"/>
        <v>705</v>
      </c>
      <c r="L256" s="58" t="str">
        <f t="shared" si="26"/>
        <v>70</v>
      </c>
      <c r="M256" s="268"/>
      <c r="N256" s="268"/>
      <c r="O256" s="140"/>
      <c r="P256">
        <f>VLOOKUP(B256,SAP!A:A,1,0)</f>
        <v>7057</v>
      </c>
    </row>
    <row r="257" spans="1:16">
      <c r="A257" s="276">
        <v>8250</v>
      </c>
      <c r="B257" s="266">
        <v>7057</v>
      </c>
      <c r="C257" s="276" t="s">
        <v>1351</v>
      </c>
      <c r="D257" s="223">
        <v>-6503</v>
      </c>
      <c r="E257" s="223">
        <v>-20818</v>
      </c>
      <c r="F257" s="223"/>
      <c r="G257" s="224"/>
      <c r="H257" s="301"/>
      <c r="I257" s="224"/>
      <c r="J257" s="301"/>
      <c r="K257" s="58" t="str">
        <f t="shared" si="31"/>
        <v>705</v>
      </c>
      <c r="L257" s="58" t="str">
        <f t="shared" si="26"/>
        <v>70</v>
      </c>
      <c r="M257" s="268"/>
      <c r="N257" s="268"/>
      <c r="O257" s="140"/>
      <c r="P257">
        <f>VLOOKUP(B257,SAP!A:A,1,0)</f>
        <v>7057</v>
      </c>
    </row>
    <row r="258" spans="1:16">
      <c r="A258" s="276">
        <v>8251</v>
      </c>
      <c r="B258" s="266">
        <v>7057</v>
      </c>
      <c r="C258" s="276" t="s">
        <v>1352</v>
      </c>
      <c r="D258" s="223">
        <v>-15042</v>
      </c>
      <c r="E258" s="223">
        <v>-51636</v>
      </c>
      <c r="F258" s="223"/>
      <c r="G258" s="224"/>
      <c r="H258" s="301"/>
      <c r="I258" s="224"/>
      <c r="J258" s="301"/>
      <c r="K258" s="58" t="str">
        <f t="shared" si="31"/>
        <v>705</v>
      </c>
      <c r="L258" s="58" t="str">
        <f t="shared" si="26"/>
        <v>70</v>
      </c>
      <c r="M258" s="268"/>
      <c r="N258" s="268"/>
      <c r="O258" s="140"/>
      <c r="P258">
        <f>VLOOKUP(B258,SAP!A:A,1,0)</f>
        <v>7057</v>
      </c>
    </row>
    <row r="259" spans="1:16">
      <c r="A259" s="276">
        <v>8252</v>
      </c>
      <c r="B259" s="266">
        <v>7057</v>
      </c>
      <c r="C259" s="276" t="s">
        <v>1353</v>
      </c>
      <c r="D259" s="223">
        <v>-1955</v>
      </c>
      <c r="E259" s="223">
        <v>-6894</v>
      </c>
      <c r="F259" s="223"/>
      <c r="G259" s="224"/>
      <c r="H259" s="301"/>
      <c r="I259" s="224"/>
      <c r="J259" s="301"/>
      <c r="K259" s="58" t="str">
        <f t="shared" si="31"/>
        <v>705</v>
      </c>
      <c r="L259" s="58" t="str">
        <f t="shared" ref="L259:L320" si="32">LEFT(B259,2)</f>
        <v>70</v>
      </c>
      <c r="M259" s="268"/>
      <c r="N259" s="268"/>
      <c r="O259" s="140"/>
      <c r="P259">
        <f>VLOOKUP(B259,SAP!A:A,1,0)</f>
        <v>7057</v>
      </c>
    </row>
    <row r="260" spans="1:16">
      <c r="A260" s="276">
        <v>8253</v>
      </c>
      <c r="B260" s="266">
        <v>7057</v>
      </c>
      <c r="C260" s="276" t="s">
        <v>1354</v>
      </c>
      <c r="D260" s="223">
        <v>-1930</v>
      </c>
      <c r="E260" s="223">
        <v>-6805</v>
      </c>
      <c r="F260" s="223"/>
      <c r="G260" s="224"/>
      <c r="H260" s="301"/>
      <c r="I260" s="224"/>
      <c r="J260" s="301"/>
      <c r="K260" s="58" t="str">
        <f t="shared" si="31"/>
        <v>705</v>
      </c>
      <c r="L260" s="58" t="str">
        <f t="shared" si="32"/>
        <v>70</v>
      </c>
      <c r="M260" s="268"/>
      <c r="N260" s="268"/>
      <c r="O260" s="140"/>
      <c r="P260">
        <f>VLOOKUP(B260,SAP!A:A,1,0)</f>
        <v>7057</v>
      </c>
    </row>
    <row r="261" spans="1:16">
      <c r="A261" s="276">
        <v>8254</v>
      </c>
      <c r="B261" s="266">
        <v>7057</v>
      </c>
      <c r="C261" s="276" t="s">
        <v>1355</v>
      </c>
      <c r="D261" s="223">
        <v>-534</v>
      </c>
      <c r="E261" s="223">
        <v>-1784</v>
      </c>
      <c r="F261" s="223"/>
      <c r="G261" s="224"/>
      <c r="H261" s="301"/>
      <c r="I261" s="224"/>
      <c r="J261" s="301"/>
      <c r="K261" s="58" t="str">
        <f t="shared" ref="K261" si="33">LEFT(B261,3)</f>
        <v>705</v>
      </c>
      <c r="L261" s="58" t="str">
        <f t="shared" si="32"/>
        <v>70</v>
      </c>
      <c r="M261" s="268"/>
      <c r="N261" s="268"/>
      <c r="O261" s="140"/>
      <c r="P261">
        <f>VLOOKUP(B261,SAP!A:A,1,0)</f>
        <v>7057</v>
      </c>
    </row>
    <row r="262" spans="1:16">
      <c r="A262" s="276">
        <v>8255</v>
      </c>
      <c r="B262" s="266">
        <v>7057</v>
      </c>
      <c r="C262" s="276" t="s">
        <v>1356</v>
      </c>
      <c r="D262" s="223">
        <v>-1144</v>
      </c>
      <c r="E262" s="223">
        <v>-4053</v>
      </c>
      <c r="F262" s="223"/>
      <c r="G262" s="224"/>
      <c r="H262" s="301"/>
      <c r="I262" s="224"/>
      <c r="J262" s="301"/>
      <c r="K262" s="58" t="str">
        <f t="shared" ref="K262:K268" si="34">LEFT(B262,3)</f>
        <v>705</v>
      </c>
      <c r="L262" s="58" t="str">
        <f t="shared" si="32"/>
        <v>70</v>
      </c>
      <c r="M262" s="268"/>
      <c r="N262" s="268"/>
      <c r="O262" s="140"/>
      <c r="P262">
        <f>VLOOKUP(B262,SAP!A:A,1,0)</f>
        <v>7057</v>
      </c>
    </row>
    <row r="263" spans="1:16">
      <c r="A263" s="276">
        <v>8256</v>
      </c>
      <c r="B263" s="266">
        <v>7057</v>
      </c>
      <c r="C263" s="276" t="s">
        <v>1357</v>
      </c>
      <c r="D263" s="223">
        <v>-4422</v>
      </c>
      <c r="E263" s="223">
        <v>-15648</v>
      </c>
      <c r="F263" s="223"/>
      <c r="G263" s="224"/>
      <c r="H263" s="301"/>
      <c r="I263" s="224"/>
      <c r="J263" s="301"/>
      <c r="K263" s="58" t="str">
        <f t="shared" si="34"/>
        <v>705</v>
      </c>
      <c r="L263" s="58" t="str">
        <f t="shared" si="32"/>
        <v>70</v>
      </c>
      <c r="M263" s="268"/>
      <c r="N263" s="268"/>
      <c r="O263" s="140"/>
      <c r="P263">
        <f>VLOOKUP(B263,SAP!A:A,1,0)</f>
        <v>7057</v>
      </c>
    </row>
    <row r="264" spans="1:16">
      <c r="A264" s="276">
        <v>8257</v>
      </c>
      <c r="B264" s="266">
        <v>7057</v>
      </c>
      <c r="C264" s="276" t="s">
        <v>1358</v>
      </c>
      <c r="D264" s="223">
        <v>-5571</v>
      </c>
      <c r="E264" s="223">
        <v>-19664</v>
      </c>
      <c r="F264" s="223"/>
      <c r="G264" s="224"/>
      <c r="H264" s="301"/>
      <c r="I264" s="224"/>
      <c r="J264" s="301"/>
      <c r="K264" s="58" t="str">
        <f t="shared" si="34"/>
        <v>705</v>
      </c>
      <c r="L264" s="58" t="str">
        <f t="shared" si="32"/>
        <v>70</v>
      </c>
      <c r="M264" s="268"/>
      <c r="N264" s="268"/>
      <c r="O264" s="140"/>
      <c r="P264">
        <f>VLOOKUP(B264,SAP!A:A,1,0)</f>
        <v>7057</v>
      </c>
    </row>
    <row r="265" spans="1:16">
      <c r="A265" s="276">
        <v>8258</v>
      </c>
      <c r="B265" s="266">
        <v>7057</v>
      </c>
      <c r="C265" s="276" t="s">
        <v>1386</v>
      </c>
      <c r="D265" s="223">
        <v>-2320</v>
      </c>
      <c r="E265" s="223">
        <v>-8022</v>
      </c>
      <c r="F265" s="223"/>
      <c r="G265" s="224"/>
      <c r="H265" s="301"/>
      <c r="I265" s="224"/>
      <c r="J265" s="301"/>
      <c r="K265" s="58" t="str">
        <f t="shared" si="34"/>
        <v>705</v>
      </c>
      <c r="L265" s="58" t="str">
        <f t="shared" si="32"/>
        <v>70</v>
      </c>
      <c r="M265" s="268"/>
      <c r="N265" s="268"/>
      <c r="O265" s="140"/>
      <c r="P265">
        <f>VLOOKUP(B265,SAP!A:A,1,0)</f>
        <v>7057</v>
      </c>
    </row>
    <row r="266" spans="1:16">
      <c r="A266" s="276">
        <v>8259</v>
      </c>
      <c r="B266" s="266">
        <v>7057</v>
      </c>
      <c r="C266" s="276" t="s">
        <v>1387</v>
      </c>
      <c r="D266" s="223">
        <v>-283</v>
      </c>
      <c r="E266" s="223">
        <v>-969</v>
      </c>
      <c r="F266" s="223"/>
      <c r="G266" s="224"/>
      <c r="H266" s="301"/>
      <c r="I266" s="224"/>
      <c r="J266" s="301"/>
      <c r="K266" s="58" t="str">
        <f t="shared" si="34"/>
        <v>705</v>
      </c>
      <c r="L266" s="58" t="str">
        <f t="shared" si="32"/>
        <v>70</v>
      </c>
      <c r="M266" s="268"/>
      <c r="N266" s="268"/>
      <c r="O266" s="140"/>
      <c r="P266">
        <f>VLOOKUP(B266,SAP!A:A,1,0)</f>
        <v>7057</v>
      </c>
    </row>
    <row r="267" spans="1:16">
      <c r="A267" s="276">
        <v>8260</v>
      </c>
      <c r="B267" s="266">
        <v>7057</v>
      </c>
      <c r="C267" s="276" t="s">
        <v>1388</v>
      </c>
      <c r="D267" s="223">
        <v>-594</v>
      </c>
      <c r="E267" s="223">
        <v>-2029</v>
      </c>
      <c r="F267" s="223"/>
      <c r="G267" s="224"/>
      <c r="H267" s="301"/>
      <c r="I267" s="224"/>
      <c r="J267" s="301"/>
      <c r="K267" s="58" t="str">
        <f t="shared" si="34"/>
        <v>705</v>
      </c>
      <c r="L267" s="58" t="str">
        <f t="shared" si="32"/>
        <v>70</v>
      </c>
      <c r="M267" s="268"/>
      <c r="N267" s="268"/>
      <c r="O267" s="140"/>
      <c r="P267">
        <f>VLOOKUP(B267,SAP!A:A,1,0)</f>
        <v>7057</v>
      </c>
    </row>
    <row r="268" spans="1:16">
      <c r="A268" s="276">
        <v>8261</v>
      </c>
      <c r="B268" s="266">
        <v>7057</v>
      </c>
      <c r="C268" s="276" t="s">
        <v>1389</v>
      </c>
      <c r="D268" s="223">
        <v>-2849</v>
      </c>
      <c r="E268" s="223">
        <v>-9726</v>
      </c>
      <c r="F268" s="223"/>
      <c r="G268" s="224"/>
      <c r="H268" s="301"/>
      <c r="I268" s="224"/>
      <c r="J268" s="301"/>
      <c r="K268" s="58" t="str">
        <f t="shared" si="34"/>
        <v>705</v>
      </c>
      <c r="L268" s="58" t="str">
        <f t="shared" si="32"/>
        <v>70</v>
      </c>
      <c r="M268" s="268"/>
      <c r="N268" s="268"/>
      <c r="O268" s="140"/>
      <c r="P268">
        <f>VLOOKUP(B268,SAP!A:A,1,0)</f>
        <v>7057</v>
      </c>
    </row>
    <row r="269" spans="1:16">
      <c r="A269" s="276">
        <v>8262</v>
      </c>
      <c r="B269" s="266">
        <v>7057</v>
      </c>
      <c r="C269" s="276" t="s">
        <v>1390</v>
      </c>
      <c r="D269" s="223">
        <v>-820</v>
      </c>
      <c r="E269" s="223">
        <v>-2886</v>
      </c>
      <c r="F269" s="223"/>
      <c r="G269" s="224"/>
      <c r="H269" s="301"/>
      <c r="I269" s="224"/>
      <c r="J269" s="301"/>
      <c r="K269" s="58" t="str">
        <f t="shared" ref="K269" si="35">LEFT(B269,3)</f>
        <v>705</v>
      </c>
      <c r="L269" s="58" t="str">
        <f t="shared" si="32"/>
        <v>70</v>
      </c>
      <c r="M269" s="268"/>
      <c r="N269" s="268"/>
      <c r="O269" s="140"/>
      <c r="P269">
        <f>VLOOKUP(B269,SAP!A:A,1,0)</f>
        <v>7057</v>
      </c>
    </row>
    <row r="270" spans="1:16">
      <c r="A270" s="276">
        <v>8015</v>
      </c>
      <c r="B270" s="266">
        <v>7059</v>
      </c>
      <c r="C270" s="276" t="s">
        <v>1359</v>
      </c>
      <c r="D270" s="223">
        <v>-56747</v>
      </c>
      <c r="E270" s="223">
        <v>-185674</v>
      </c>
      <c r="F270" s="223"/>
      <c r="G270" s="224"/>
      <c r="H270" s="301"/>
      <c r="I270" s="224"/>
      <c r="J270" s="301"/>
      <c r="K270" s="58" t="str">
        <f t="shared" ref="K270:K272" si="36">LEFT(B270,3)</f>
        <v>705</v>
      </c>
      <c r="L270" s="58" t="str">
        <f t="shared" ref="L270:L272" si="37">LEFT(B270,2)</f>
        <v>70</v>
      </c>
      <c r="M270" s="268"/>
      <c r="N270" s="268"/>
      <c r="O270" s="140"/>
      <c r="P270">
        <f>VLOOKUP(B270,SAP!A:A,1,0)</f>
        <v>7059</v>
      </c>
    </row>
    <row r="271" spans="1:16">
      <c r="A271" s="276">
        <v>8016</v>
      </c>
      <c r="B271" s="266">
        <v>7903</v>
      </c>
      <c r="C271" s="276" t="s">
        <v>1360</v>
      </c>
      <c r="D271" s="223">
        <v>-5288</v>
      </c>
      <c r="E271" s="223">
        <v>-18429</v>
      </c>
      <c r="F271" s="223"/>
      <c r="G271" s="224"/>
      <c r="H271" s="301"/>
      <c r="I271" s="224"/>
      <c r="J271" s="301"/>
      <c r="K271" s="58" t="str">
        <f t="shared" si="36"/>
        <v>790</v>
      </c>
      <c r="L271" s="58" t="str">
        <f t="shared" si="37"/>
        <v>79</v>
      </c>
      <c r="M271" s="268"/>
      <c r="N271" s="268"/>
      <c r="O271" s="140"/>
      <c r="P271">
        <f>VLOOKUP(B271,SAP!A:A,1,0)</f>
        <v>7903</v>
      </c>
    </row>
    <row r="272" spans="1:16">
      <c r="A272" s="276">
        <v>8022</v>
      </c>
      <c r="B272" s="266">
        <v>7059</v>
      </c>
      <c r="C272" s="276" t="s">
        <v>1361</v>
      </c>
      <c r="D272" s="223">
        <v>-2486</v>
      </c>
      <c r="E272" s="223">
        <v>-8346</v>
      </c>
      <c r="F272" s="223"/>
      <c r="G272" s="224"/>
      <c r="H272" s="301"/>
      <c r="I272" s="224"/>
      <c r="J272" s="301"/>
      <c r="K272" s="58" t="str">
        <f t="shared" si="36"/>
        <v>705</v>
      </c>
      <c r="L272" s="58" t="str">
        <f t="shared" si="37"/>
        <v>70</v>
      </c>
      <c r="M272" s="268"/>
      <c r="N272" s="268"/>
      <c r="O272" s="140"/>
      <c r="P272">
        <f>VLOOKUP(B272,SAP!A:A,1,0)</f>
        <v>7059</v>
      </c>
    </row>
    <row r="273" spans="1:16">
      <c r="A273" s="276">
        <v>8023</v>
      </c>
      <c r="B273" s="266">
        <v>7059</v>
      </c>
      <c r="C273" s="276" t="s">
        <v>1362</v>
      </c>
      <c r="D273" s="223">
        <v>-3605</v>
      </c>
      <c r="E273" s="223">
        <v>-12729</v>
      </c>
      <c r="F273" s="223"/>
      <c r="G273" s="224"/>
      <c r="H273" s="301"/>
      <c r="I273" s="224"/>
      <c r="J273" s="301"/>
      <c r="K273" s="58" t="str">
        <f t="shared" ref="K273:K281" si="38">LEFT(B273,3)</f>
        <v>705</v>
      </c>
      <c r="L273" s="58" t="str">
        <f t="shared" ref="L273:L281" si="39">LEFT(B273,2)</f>
        <v>70</v>
      </c>
      <c r="M273" s="268"/>
      <c r="N273" s="268"/>
      <c r="O273" s="140"/>
      <c r="P273">
        <f>VLOOKUP(B273,SAP!A:A,1,0)</f>
        <v>7059</v>
      </c>
    </row>
    <row r="274" spans="1:16">
      <c r="A274" s="276">
        <v>8043</v>
      </c>
      <c r="B274" s="266">
        <v>7059</v>
      </c>
      <c r="C274" s="276" t="s">
        <v>1363</v>
      </c>
      <c r="D274" s="223">
        <v>-64170</v>
      </c>
      <c r="E274" s="223">
        <v>-219175</v>
      </c>
      <c r="F274" s="223"/>
      <c r="G274" s="224"/>
      <c r="H274" s="301"/>
      <c r="I274" s="224"/>
      <c r="J274" s="301"/>
      <c r="K274" s="58" t="str">
        <f t="shared" si="38"/>
        <v>705</v>
      </c>
      <c r="L274" s="58" t="str">
        <f t="shared" si="39"/>
        <v>70</v>
      </c>
      <c r="M274" s="268"/>
      <c r="N274" s="268"/>
      <c r="O274" s="140"/>
      <c r="P274">
        <f>VLOOKUP(B274,SAP!A:A,1,0)</f>
        <v>7059</v>
      </c>
    </row>
    <row r="275" spans="1:16">
      <c r="A275" s="276">
        <v>8075</v>
      </c>
      <c r="B275" s="266">
        <v>7059</v>
      </c>
      <c r="C275" s="276" t="s">
        <v>654</v>
      </c>
      <c r="D275" s="223">
        <v>-49005</v>
      </c>
      <c r="E275" s="223">
        <v>-172333</v>
      </c>
      <c r="F275" s="223"/>
      <c r="G275" s="224"/>
      <c r="H275" s="301"/>
      <c r="I275" s="224"/>
      <c r="J275" s="301"/>
      <c r="K275" s="58" t="str">
        <f t="shared" si="38"/>
        <v>705</v>
      </c>
      <c r="L275" s="58" t="str">
        <f t="shared" si="39"/>
        <v>70</v>
      </c>
      <c r="M275" s="268"/>
      <c r="N275" s="268"/>
      <c r="O275" s="140"/>
      <c r="P275">
        <f>VLOOKUP(B275,SAP!A:A,1,0)</f>
        <v>7059</v>
      </c>
    </row>
    <row r="276" spans="1:16">
      <c r="A276" s="276">
        <v>8099</v>
      </c>
      <c r="B276" s="266">
        <v>7059</v>
      </c>
      <c r="C276" s="276" t="s">
        <v>1364</v>
      </c>
      <c r="D276" s="223">
        <v>-63219</v>
      </c>
      <c r="E276" s="223">
        <v>-211243</v>
      </c>
      <c r="F276" s="223"/>
      <c r="G276" s="224"/>
      <c r="H276" s="301"/>
      <c r="I276" s="224"/>
      <c r="J276" s="301"/>
      <c r="K276" s="58" t="str">
        <f t="shared" si="38"/>
        <v>705</v>
      </c>
      <c r="L276" s="58" t="str">
        <f t="shared" si="39"/>
        <v>70</v>
      </c>
      <c r="M276" s="268"/>
      <c r="N276" s="268"/>
      <c r="O276" s="140"/>
      <c r="P276">
        <f>VLOOKUP(B276,SAP!A:A,1,0)</f>
        <v>7059</v>
      </c>
    </row>
    <row r="277" spans="1:16">
      <c r="A277" s="276">
        <v>9002</v>
      </c>
      <c r="B277" s="266">
        <v>7900</v>
      </c>
      <c r="C277" s="276" t="s">
        <v>1365</v>
      </c>
      <c r="D277" s="223">
        <v>156</v>
      </c>
      <c r="E277" s="223">
        <v>549</v>
      </c>
      <c r="F277" s="223"/>
      <c r="G277" s="224"/>
      <c r="H277" s="301"/>
      <c r="I277" s="224"/>
      <c r="J277" s="301"/>
      <c r="K277" s="58" t="str">
        <f t="shared" si="38"/>
        <v>790</v>
      </c>
      <c r="L277" s="58" t="str">
        <f t="shared" si="39"/>
        <v>79</v>
      </c>
      <c r="M277" s="268"/>
      <c r="N277" s="268"/>
      <c r="O277" s="140"/>
      <c r="P277">
        <f>VLOOKUP(B277,SAP!A:A,1,0)</f>
        <v>7900</v>
      </c>
    </row>
    <row r="278" spans="1:16">
      <c r="A278" s="276">
        <v>9006</v>
      </c>
      <c r="B278" s="266">
        <v>7900</v>
      </c>
      <c r="C278" s="276" t="s">
        <v>1366</v>
      </c>
      <c r="D278" s="223">
        <v>-7262</v>
      </c>
      <c r="E278" s="223">
        <v>-27315</v>
      </c>
      <c r="F278" s="223"/>
      <c r="G278" s="224"/>
      <c r="H278" s="301"/>
      <c r="I278" s="224"/>
      <c r="J278" s="301"/>
      <c r="K278" s="58" t="str">
        <f t="shared" si="38"/>
        <v>790</v>
      </c>
      <c r="L278" s="58" t="str">
        <f t="shared" si="39"/>
        <v>79</v>
      </c>
      <c r="M278" s="268"/>
      <c r="N278" s="268"/>
      <c r="O278" s="140"/>
      <c r="P278">
        <f>VLOOKUP(B278,SAP!A:A,1,0)</f>
        <v>7900</v>
      </c>
    </row>
    <row r="279" spans="1:16">
      <c r="A279" s="276">
        <v>9007</v>
      </c>
      <c r="B279" s="266">
        <v>7900</v>
      </c>
      <c r="C279" s="276" t="s">
        <v>1367</v>
      </c>
      <c r="D279" s="223">
        <v>8</v>
      </c>
      <c r="E279" s="223">
        <v>25</v>
      </c>
      <c r="F279" s="223"/>
      <c r="G279" s="224"/>
      <c r="H279" s="301"/>
      <c r="I279" s="224"/>
      <c r="J279" s="301"/>
      <c r="K279" s="58" t="str">
        <f t="shared" si="38"/>
        <v>790</v>
      </c>
      <c r="L279" s="58" t="str">
        <f t="shared" si="39"/>
        <v>79</v>
      </c>
      <c r="M279" s="268"/>
      <c r="N279" s="268"/>
      <c r="O279" s="140"/>
      <c r="P279">
        <f>VLOOKUP(B279,SAP!A:A,1,0)</f>
        <v>7900</v>
      </c>
    </row>
    <row r="280" spans="1:16">
      <c r="A280" s="276">
        <v>9009</v>
      </c>
      <c r="B280" s="266">
        <v>7900</v>
      </c>
      <c r="C280" s="276" t="s">
        <v>1368</v>
      </c>
      <c r="D280" s="223">
        <v>72</v>
      </c>
      <c r="E280" s="223">
        <v>176</v>
      </c>
      <c r="F280" s="223"/>
      <c r="G280" s="224"/>
      <c r="H280" s="301"/>
      <c r="I280" s="224"/>
      <c r="J280" s="301"/>
      <c r="K280" s="58" t="str">
        <f t="shared" si="38"/>
        <v>790</v>
      </c>
      <c r="L280" s="58" t="str">
        <f t="shared" si="39"/>
        <v>79</v>
      </c>
      <c r="M280" s="268"/>
      <c r="N280" s="268"/>
      <c r="O280" s="140"/>
      <c r="P280">
        <f>VLOOKUP(B280,SAP!A:A,1,0)</f>
        <v>7900</v>
      </c>
    </row>
    <row r="281" spans="1:16">
      <c r="A281" s="276">
        <v>9010</v>
      </c>
      <c r="B281" s="266">
        <v>7900</v>
      </c>
      <c r="C281" s="276" t="s">
        <v>1369</v>
      </c>
      <c r="D281" s="223">
        <v>710444</v>
      </c>
      <c r="E281" s="223">
        <v>2478051</v>
      </c>
      <c r="F281" s="223"/>
      <c r="G281" s="224"/>
      <c r="H281" s="301"/>
      <c r="I281" s="224"/>
      <c r="J281" s="301"/>
      <c r="K281" s="58" t="str">
        <f t="shared" si="38"/>
        <v>790</v>
      </c>
      <c r="L281" s="58" t="str">
        <f t="shared" si="39"/>
        <v>79</v>
      </c>
      <c r="M281" s="268"/>
      <c r="N281" s="268"/>
      <c r="O281" s="140"/>
      <c r="P281">
        <f>VLOOKUP(B281,SAP!A:A,1,0)</f>
        <v>7900</v>
      </c>
    </row>
    <row r="282" spans="1:16">
      <c r="A282" s="276">
        <v>9004</v>
      </c>
      <c r="B282" s="266">
        <v>7901</v>
      </c>
      <c r="C282" s="276" t="s">
        <v>470</v>
      </c>
      <c r="D282" s="223">
        <v>-332576</v>
      </c>
      <c r="E282" s="223">
        <v>12950257</v>
      </c>
      <c r="F282" s="223"/>
      <c r="G282" s="224"/>
      <c r="H282" s="301"/>
      <c r="I282" s="224"/>
      <c r="J282" s="301"/>
      <c r="K282" s="58" t="str">
        <f t="shared" ref="K282" si="40">LEFT(B282,3)</f>
        <v>790</v>
      </c>
      <c r="L282" s="58" t="str">
        <f t="shared" ref="L282" si="41">LEFT(B282,2)</f>
        <v>79</v>
      </c>
      <c r="M282" s="268"/>
      <c r="N282" s="268"/>
      <c r="O282" s="140"/>
      <c r="P282">
        <f>VLOOKUP(B282,SAP!A:A,1,0)</f>
        <v>7901</v>
      </c>
    </row>
    <row r="283" spans="1:16">
      <c r="A283" s="276">
        <v>9999</v>
      </c>
      <c r="B283" s="266">
        <v>7901</v>
      </c>
      <c r="C283" s="276" t="s">
        <v>1370</v>
      </c>
      <c r="D283" s="223">
        <v>21</v>
      </c>
      <c r="E283" s="223">
        <v>87</v>
      </c>
      <c r="F283" s="223"/>
      <c r="G283" s="224"/>
      <c r="H283" s="301"/>
      <c r="I283" s="224"/>
      <c r="J283" s="301"/>
      <c r="K283" s="58" t="str">
        <f t="shared" ref="K283:K284" si="42">LEFT(B283,3)</f>
        <v>790</v>
      </c>
      <c r="L283" s="58" t="str">
        <f t="shared" ref="L283:L284" si="43">LEFT(B283,2)</f>
        <v>79</v>
      </c>
      <c r="M283" s="268"/>
      <c r="N283" s="268"/>
      <c r="O283" s="140"/>
      <c r="P283">
        <f>VLOOKUP(B283,SAP!A:A,1,0)</f>
        <v>7901</v>
      </c>
    </row>
    <row r="284" spans="1:16">
      <c r="A284" s="276">
        <v>9911</v>
      </c>
      <c r="B284" s="266">
        <v>9410</v>
      </c>
      <c r="C284" s="276" t="s">
        <v>1371</v>
      </c>
      <c r="D284" s="223">
        <v>-1094889</v>
      </c>
      <c r="E284" s="223">
        <v>-4266607</v>
      </c>
      <c r="F284" s="223"/>
      <c r="G284" s="224"/>
      <c r="H284" s="301"/>
      <c r="I284" s="224"/>
      <c r="J284" s="301"/>
      <c r="K284" s="58" t="str">
        <f t="shared" si="42"/>
        <v>941</v>
      </c>
      <c r="L284" s="58" t="str">
        <f t="shared" si="43"/>
        <v>94</v>
      </c>
      <c r="M284" s="268"/>
      <c r="N284" s="268"/>
      <c r="O284" s="140"/>
      <c r="P284">
        <f>VLOOKUP(B284,SAP!A:A,1,0)</f>
        <v>9410</v>
      </c>
    </row>
    <row r="285" spans="1:16">
      <c r="A285" s="276">
        <v>9919</v>
      </c>
      <c r="B285" s="266">
        <v>9410</v>
      </c>
      <c r="C285" s="276" t="s">
        <v>1372</v>
      </c>
      <c r="D285" s="223">
        <v>-463</v>
      </c>
      <c r="E285" s="223">
        <v>0</v>
      </c>
      <c r="F285" s="223"/>
      <c r="G285" s="224"/>
      <c r="H285" s="301"/>
      <c r="I285" s="224"/>
      <c r="J285" s="301"/>
      <c r="K285" s="58" t="str">
        <f t="shared" ref="K285:K289" si="44">LEFT(B285,3)</f>
        <v>941</v>
      </c>
      <c r="L285" s="58" t="str">
        <f t="shared" ref="L285:L289" si="45">LEFT(B285,2)</f>
        <v>94</v>
      </c>
      <c r="M285" s="268"/>
      <c r="N285" s="268"/>
      <c r="O285" s="140"/>
      <c r="P285">
        <f>VLOOKUP(B285,SAP!A:A,1,0)</f>
        <v>9410</v>
      </c>
    </row>
    <row r="286" spans="1:16">
      <c r="A286" s="276">
        <v>9922</v>
      </c>
      <c r="B286" s="266">
        <v>9410</v>
      </c>
      <c r="C286" s="276" t="s">
        <v>1373</v>
      </c>
      <c r="D286" s="223">
        <v>-2903783</v>
      </c>
      <c r="E286" s="223">
        <v>-8400035</v>
      </c>
      <c r="F286" s="223"/>
      <c r="G286" s="224"/>
      <c r="H286" s="301"/>
      <c r="I286" s="224"/>
      <c r="J286" s="301"/>
      <c r="K286" s="58" t="str">
        <f t="shared" si="44"/>
        <v>941</v>
      </c>
      <c r="L286" s="58" t="str">
        <f t="shared" si="45"/>
        <v>94</v>
      </c>
      <c r="M286" s="268"/>
      <c r="N286" s="268"/>
      <c r="O286" s="140"/>
      <c r="P286">
        <f>VLOOKUP(B286,SAP!A:A,1,0)</f>
        <v>9410</v>
      </c>
    </row>
    <row r="287" spans="1:16">
      <c r="A287" s="276">
        <v>9929</v>
      </c>
      <c r="B287" s="266">
        <v>9410</v>
      </c>
      <c r="C287" s="276" t="s">
        <v>1374</v>
      </c>
      <c r="D287" s="223">
        <v>-4567799</v>
      </c>
      <c r="E287" s="223">
        <v>-17793214</v>
      </c>
      <c r="F287" s="223"/>
      <c r="G287" s="224"/>
      <c r="H287" s="301"/>
      <c r="I287" s="224"/>
      <c r="J287" s="301"/>
      <c r="K287" s="58" t="str">
        <f t="shared" si="44"/>
        <v>941</v>
      </c>
      <c r="L287" s="58" t="str">
        <f t="shared" si="45"/>
        <v>94</v>
      </c>
      <c r="M287" s="268"/>
      <c r="N287" s="268"/>
      <c r="O287" s="140"/>
      <c r="P287">
        <f>VLOOKUP(B287,SAP!A:A,1,0)</f>
        <v>9410</v>
      </c>
    </row>
    <row r="288" spans="1:16">
      <c r="A288" s="276">
        <v>9940</v>
      </c>
      <c r="B288" s="266">
        <v>9410</v>
      </c>
      <c r="C288" s="276" t="s">
        <v>1375</v>
      </c>
      <c r="D288" s="223">
        <v>-4939456</v>
      </c>
      <c r="E288" s="223">
        <v>-21820632</v>
      </c>
      <c r="F288" s="223"/>
      <c r="G288" s="224"/>
      <c r="H288" s="301"/>
      <c r="I288" s="224"/>
      <c r="J288" s="301"/>
      <c r="K288" s="58" t="str">
        <f t="shared" si="44"/>
        <v>941</v>
      </c>
      <c r="L288" s="58" t="str">
        <f t="shared" si="45"/>
        <v>94</v>
      </c>
      <c r="M288" s="268"/>
      <c r="N288" s="268"/>
      <c r="O288" s="140"/>
      <c r="P288">
        <f>VLOOKUP(B288,SAP!A:A,1,0)</f>
        <v>9410</v>
      </c>
    </row>
    <row r="289" spans="1:19">
      <c r="A289" s="276">
        <v>9941</v>
      </c>
      <c r="B289" s="266">
        <v>9410</v>
      </c>
      <c r="C289" s="276" t="s">
        <v>1376</v>
      </c>
      <c r="D289" s="613">
        <v>-9311277</v>
      </c>
      <c r="E289" s="223">
        <v>-31197052</v>
      </c>
      <c r="F289" s="223"/>
      <c r="G289" s="224"/>
      <c r="H289" s="301"/>
      <c r="I289" s="224"/>
      <c r="J289" s="301"/>
      <c r="K289" s="58" t="str">
        <f t="shared" si="44"/>
        <v>941</v>
      </c>
      <c r="L289" s="58" t="str">
        <f t="shared" si="45"/>
        <v>94</v>
      </c>
      <c r="M289" s="268"/>
      <c r="N289" s="268"/>
      <c r="O289" s="140"/>
      <c r="P289">
        <f>VLOOKUP(B289,SAP!A:A,1,0)</f>
        <v>9410</v>
      </c>
    </row>
    <row r="290" spans="1:19">
      <c r="A290" s="276" t="s">
        <v>1407</v>
      </c>
      <c r="B290" s="650" t="s">
        <v>1411</v>
      </c>
      <c r="C290" s="276" t="s">
        <v>1410</v>
      </c>
      <c r="D290" s="613">
        <v>-975934</v>
      </c>
      <c r="E290" s="223">
        <v>-3296066</v>
      </c>
      <c r="F290" s="223"/>
      <c r="G290" s="224"/>
      <c r="H290" s="301"/>
      <c r="I290" s="224"/>
      <c r="J290" s="301"/>
      <c r="K290" s="58" t="str">
        <f t="shared" ref="K290:K291" si="46">LEFT(B290,3)</f>
        <v>472</v>
      </c>
      <c r="L290" s="58" t="str">
        <f t="shared" ref="L290:L291" si="47">LEFT(B290,2)</f>
        <v>47</v>
      </c>
      <c r="M290" s="268"/>
      <c r="N290" s="268"/>
      <c r="O290" s="140"/>
      <c r="P290" t="e">
        <f>VLOOKUP(B290,SAP!A:A,1,0)</f>
        <v>#N/A</v>
      </c>
    </row>
    <row r="291" spans="1:19">
      <c r="A291" s="276" t="s">
        <v>1408</v>
      </c>
      <c r="B291" s="650">
        <v>7000</v>
      </c>
      <c r="C291" s="276" t="s">
        <v>1409</v>
      </c>
      <c r="D291" s="613">
        <v>975934</v>
      </c>
      <c r="E291" s="223">
        <v>3296066</v>
      </c>
      <c r="F291" s="223"/>
      <c r="G291" s="224"/>
      <c r="H291" s="301"/>
      <c r="I291" s="224"/>
      <c r="J291" s="301"/>
      <c r="K291" s="58" t="str">
        <f t="shared" si="46"/>
        <v>700</v>
      </c>
      <c r="L291" s="58" t="str">
        <f t="shared" si="47"/>
        <v>70</v>
      </c>
      <c r="M291" s="268"/>
      <c r="N291" s="268"/>
      <c r="O291" s="140"/>
      <c r="P291">
        <f>VLOOKUP(B291,SAP!A:A,1,0)</f>
        <v>7000</v>
      </c>
    </row>
    <row r="292" spans="1:19">
      <c r="A292" s="276"/>
      <c r="B292" s="650"/>
      <c r="C292" s="614"/>
      <c r="E292" s="223"/>
      <c r="F292" s="223"/>
      <c r="G292" s="224"/>
      <c r="H292" s="301"/>
      <c r="I292" s="224"/>
      <c r="J292" s="301"/>
      <c r="K292" s="58"/>
      <c r="L292" s="58"/>
      <c r="M292" s="268"/>
      <c r="N292" s="268"/>
      <c r="O292" s="140"/>
    </row>
    <row r="293" spans="1:19">
      <c r="A293" s="612"/>
      <c r="B293" s="650"/>
      <c r="C293" s="342" t="s">
        <v>561</v>
      </c>
      <c r="E293" s="223"/>
      <c r="F293" s="223"/>
      <c r="G293" s="224"/>
      <c r="H293" s="301"/>
      <c r="I293" s="224"/>
      <c r="J293" s="301"/>
      <c r="K293" s="58" t="str">
        <f t="shared" ref="K293:K294" si="48">LEFT(A293,3)</f>
        <v/>
      </c>
      <c r="L293" s="58" t="str">
        <f t="shared" si="32"/>
        <v/>
      </c>
      <c r="M293" s="268" t="e">
        <f t="shared" si="19"/>
        <v>#DIV/0!</v>
      </c>
      <c r="N293" s="268" t="e">
        <f t="shared" si="20"/>
        <v>#DIV/0!</v>
      </c>
      <c r="O293" s="140" t="s">
        <v>990</v>
      </c>
    </row>
    <row r="294" spans="1:19">
      <c r="A294" s="612"/>
      <c r="B294" s="650"/>
      <c r="C294" s="137"/>
      <c r="E294" s="223"/>
      <c r="F294" s="223"/>
      <c r="G294" s="224"/>
      <c r="H294" s="301"/>
      <c r="I294" s="224"/>
      <c r="J294" s="301"/>
      <c r="K294" s="58" t="str">
        <f t="shared" si="48"/>
        <v/>
      </c>
      <c r="L294" s="58" t="str">
        <f t="shared" si="32"/>
        <v/>
      </c>
      <c r="M294" s="268" t="e">
        <f t="shared" si="19"/>
        <v>#DIV/0!</v>
      </c>
      <c r="N294" s="268" t="e">
        <f t="shared" si="20"/>
        <v>#DIV/0!</v>
      </c>
      <c r="O294" s="140" t="s">
        <v>991</v>
      </c>
    </row>
    <row r="295" spans="1:19" s="58" customFormat="1">
      <c r="A295" s="612">
        <v>490</v>
      </c>
      <c r="B295" s="612">
        <v>1904</v>
      </c>
      <c r="C295" s="614" t="s">
        <v>499</v>
      </c>
      <c r="D295" s="613"/>
      <c r="E295" s="613"/>
      <c r="F295" s="613">
        <f>-'GMBH BS 31.12.2022'!H13</f>
        <v>-1.0664961636828645</v>
      </c>
      <c r="G295" s="456"/>
      <c r="H295" s="301" t="e">
        <f>ROUND(G295+F295+#REF!,0)</f>
        <v>#REF!</v>
      </c>
      <c r="I295" s="456">
        <f>SUMIF(AE!$B$1:$B$1009,B295,AE!$G$1:$G$1009)-SUMIF(AE!$B$1:$B$1009,B295,AE!$F$1:$F$1009)</f>
        <v>0</v>
      </c>
      <c r="J295" s="301">
        <f t="shared" ref="J295:J308" si="49">ROUND(I295+E295,0)</f>
        <v>0</v>
      </c>
      <c r="K295" s="58" t="str">
        <f>LEFT(B295,3)</f>
        <v>190</v>
      </c>
      <c r="L295" s="58" t="str">
        <f t="shared" si="32"/>
        <v>19</v>
      </c>
      <c r="M295" s="268" t="e">
        <f t="shared" si="19"/>
        <v>#DIV/0!</v>
      </c>
      <c r="N295" s="268" t="e">
        <f t="shared" si="20"/>
        <v>#REF!</v>
      </c>
      <c r="O295" s="140" t="s">
        <v>992</v>
      </c>
      <c r="P295" s="58">
        <f>VLOOKUP(B295,SAP!A:A,1,0)</f>
        <v>1904</v>
      </c>
      <c r="S295" s="563"/>
    </row>
    <row r="296" spans="1:19" s="640" customFormat="1">
      <c r="A296" s="636">
        <v>1410</v>
      </c>
      <c r="B296" s="636">
        <v>1351</v>
      </c>
      <c r="C296" s="637" t="s">
        <v>538</v>
      </c>
      <c r="D296" s="638"/>
      <c r="E296" s="638"/>
      <c r="F296" s="638">
        <f>-'GMBH BS 31.12.2022'!H16</f>
        <v>-238143.0795652174</v>
      </c>
      <c r="G296" s="639"/>
      <c r="H296" s="638" t="e">
        <f>ROUND(G296+F296+#REF!,0)</f>
        <v>#REF!</v>
      </c>
      <c r="I296" s="639">
        <f>SUMIF(AE!$B$1:$B$1009,B296,AE!$G$1:$G$1009)-SUMIF(AE!$B$1:$B$1009,B296,AE!$F$1:$F$1009)</f>
        <v>0</v>
      </c>
      <c r="J296" s="638">
        <f t="shared" si="49"/>
        <v>0</v>
      </c>
      <c r="K296" s="640" t="str">
        <f t="shared" ref="K296:K320" si="50">LEFT(B296,3)</f>
        <v>135</v>
      </c>
      <c r="L296" s="640" t="str">
        <f t="shared" si="32"/>
        <v>13</v>
      </c>
      <c r="M296" s="641" t="e">
        <f t="shared" si="19"/>
        <v>#DIV/0!</v>
      </c>
      <c r="N296" s="641" t="e">
        <f t="shared" si="20"/>
        <v>#REF!</v>
      </c>
      <c r="O296" s="642" t="s">
        <v>995</v>
      </c>
      <c r="P296" s="640">
        <f>VLOOKUP(B296,SAP!A:A,1,0)</f>
        <v>1351</v>
      </c>
      <c r="S296" s="638"/>
    </row>
    <row r="297" spans="1:19" s="58" customFormat="1">
      <c r="A297" s="612" t="s">
        <v>687</v>
      </c>
      <c r="B297" s="612">
        <v>1357</v>
      </c>
      <c r="C297" s="614" t="s">
        <v>688</v>
      </c>
      <c r="D297" s="613"/>
      <c r="E297" s="613"/>
      <c r="F297" s="613">
        <f>-'GMBH BS 31.12.2022'!H21</f>
        <v>-467.05066496163687</v>
      </c>
      <c r="G297" s="456"/>
      <c r="H297" s="301"/>
      <c r="I297" s="456"/>
      <c r="J297" s="301"/>
      <c r="K297" s="58" t="str">
        <f t="shared" ref="K297" si="51">LEFT(B297,3)</f>
        <v>135</v>
      </c>
      <c r="L297" s="58" t="str">
        <f t="shared" ref="L297" si="52">LEFT(B297,2)</f>
        <v>13</v>
      </c>
      <c r="M297" s="268"/>
      <c r="N297" s="268"/>
      <c r="O297" s="140"/>
      <c r="P297" s="640">
        <f>VLOOKUP(B297,SAP!A:A,1,0)</f>
        <v>1357</v>
      </c>
      <c r="S297" s="563"/>
    </row>
    <row r="298" spans="1:19" s="58" customFormat="1">
      <c r="A298" s="612">
        <v>1570</v>
      </c>
      <c r="B298" s="612">
        <v>1357</v>
      </c>
      <c r="C298" s="614" t="s">
        <v>504</v>
      </c>
      <c r="D298" s="613"/>
      <c r="E298" s="613"/>
      <c r="F298" s="613">
        <f>-'GMBH BS 31.12.2022'!H23</f>
        <v>-159.39851662404092</v>
      </c>
      <c r="G298" s="456"/>
      <c r="H298" s="301" t="e">
        <f>ROUND(G298+F298+#REF!,0)</f>
        <v>#REF!</v>
      </c>
      <c r="I298" s="456">
        <f>SUMIF(AE!$B$1:$B$1009,B298,AE!$G$1:$G$1009)-SUMIF(AE!$B$1:$B$1009,B298,AE!$F$1:$F$1009)</f>
        <v>0</v>
      </c>
      <c r="J298" s="301">
        <f t="shared" si="49"/>
        <v>0</v>
      </c>
      <c r="K298" s="58" t="str">
        <f t="shared" si="50"/>
        <v>135</v>
      </c>
      <c r="L298" s="58" t="str">
        <f t="shared" si="32"/>
        <v>13</v>
      </c>
      <c r="M298" s="268" t="e">
        <f t="shared" si="19"/>
        <v>#DIV/0!</v>
      </c>
      <c r="N298" s="268" t="e">
        <f t="shared" si="20"/>
        <v>#REF!</v>
      </c>
      <c r="O298" s="140" t="s">
        <v>999</v>
      </c>
      <c r="P298" s="58">
        <f>VLOOKUP(B298,SAP!A:A,1,0)</f>
        <v>1357</v>
      </c>
      <c r="S298" s="563"/>
    </row>
    <row r="299" spans="1:19" s="58" customFormat="1">
      <c r="A299" s="612">
        <v>1571</v>
      </c>
      <c r="B299" s="612">
        <v>1357</v>
      </c>
      <c r="C299" s="614" t="s">
        <v>506</v>
      </c>
      <c r="D299" s="613"/>
      <c r="E299" s="613"/>
      <c r="F299" s="613">
        <f>-'GMBH BS 31.12.2022'!H24</f>
        <v>-87.335370843989779</v>
      </c>
      <c r="G299" s="456"/>
      <c r="H299" s="301"/>
      <c r="I299" s="456"/>
      <c r="J299" s="301"/>
      <c r="K299" s="58" t="str">
        <f t="shared" ref="K299" si="53">LEFT(B299,3)</f>
        <v>135</v>
      </c>
      <c r="L299" s="58" t="str">
        <f t="shared" si="32"/>
        <v>13</v>
      </c>
      <c r="M299" s="268" t="e">
        <f t="shared" ref="M299" si="54">+E299/D299</f>
        <v>#DIV/0!</v>
      </c>
      <c r="N299" s="268" t="e">
        <f t="shared" ref="N299" si="55">+J299/H299</f>
        <v>#DIV/0!</v>
      </c>
      <c r="O299" s="140" t="s">
        <v>1000</v>
      </c>
      <c r="P299" s="58">
        <f>VLOOKUP(B299,SAP!A:A,1,0)</f>
        <v>1357</v>
      </c>
      <c r="S299" s="563"/>
    </row>
    <row r="300" spans="1:19" s="58" customFormat="1">
      <c r="A300" s="612">
        <v>1576</v>
      </c>
      <c r="B300" s="612">
        <v>1357</v>
      </c>
      <c r="C300" s="614" t="s">
        <v>779</v>
      </c>
      <c r="D300" s="613"/>
      <c r="E300" s="613"/>
      <c r="F300" s="613">
        <f>-'GMBH BS 31.12.2022'!H25</f>
        <v>-1852.7597953964196</v>
      </c>
      <c r="G300" s="456"/>
      <c r="H300" s="301" t="e">
        <f>ROUND(G300+F300+#REF!,0)</f>
        <v>#REF!</v>
      </c>
      <c r="I300" s="456">
        <f>SUMIF(AE!$B$1:$B$1009,B300,AE!$G$1:$G$1009)-SUMIF(AE!$B$1:$B$1009,B300,AE!$F$1:$F$1009)</f>
        <v>0</v>
      </c>
      <c r="J300" s="301">
        <f t="shared" si="49"/>
        <v>0</v>
      </c>
      <c r="K300" s="58" t="str">
        <f t="shared" si="50"/>
        <v>135</v>
      </c>
      <c r="L300" s="58" t="str">
        <f t="shared" si="32"/>
        <v>13</v>
      </c>
      <c r="M300" s="268" t="e">
        <f t="shared" si="19"/>
        <v>#DIV/0!</v>
      </c>
      <c r="N300" s="268" t="e">
        <f t="shared" si="20"/>
        <v>#REF!</v>
      </c>
      <c r="O300" s="140" t="s">
        <v>1000</v>
      </c>
      <c r="P300" s="58">
        <f>VLOOKUP(B300,SAP!A:A,1,0)</f>
        <v>1357</v>
      </c>
      <c r="S300" s="563"/>
    </row>
    <row r="301" spans="1:19" s="58" customFormat="1">
      <c r="A301" s="612">
        <v>1741</v>
      </c>
      <c r="B301" s="612">
        <v>1357</v>
      </c>
      <c r="C301" s="614" t="s">
        <v>529</v>
      </c>
      <c r="D301" s="613"/>
      <c r="E301" s="613"/>
      <c r="F301" s="613">
        <f>-'GMBH BS 31.12.2022'!H26</f>
        <v>0</v>
      </c>
      <c r="G301" s="456"/>
      <c r="H301" s="301" t="e">
        <f>ROUND(G301+F301+#REF!,0)</f>
        <v>#REF!</v>
      </c>
      <c r="I301" s="456">
        <f>SUMIF(AE!$B$1:$B$1009,B301,AE!$G$1:$G$1009)-SUMIF(AE!$B$1:$B$1009,B301,AE!$F$1:$F$1009)</f>
        <v>0</v>
      </c>
      <c r="J301" s="301">
        <f t="shared" si="49"/>
        <v>0</v>
      </c>
      <c r="K301" s="58" t="str">
        <f t="shared" si="50"/>
        <v>135</v>
      </c>
      <c r="L301" s="58" t="str">
        <f t="shared" si="32"/>
        <v>13</v>
      </c>
      <c r="M301" s="268" t="e">
        <f t="shared" si="19"/>
        <v>#DIV/0!</v>
      </c>
      <c r="N301" s="268" t="e">
        <f t="shared" si="20"/>
        <v>#REF!</v>
      </c>
      <c r="O301" s="140" t="s">
        <v>1001</v>
      </c>
      <c r="P301" s="58">
        <f>VLOOKUP(B301,SAP!A:A,1,0)</f>
        <v>1357</v>
      </c>
      <c r="S301" s="563"/>
    </row>
    <row r="302" spans="1:19" s="58" customFormat="1">
      <c r="A302" s="612">
        <v>1742</v>
      </c>
      <c r="B302" s="612">
        <v>1357</v>
      </c>
      <c r="C302" s="614" t="s">
        <v>558</v>
      </c>
      <c r="D302" s="613"/>
      <c r="E302" s="613"/>
      <c r="F302" s="613">
        <f>-'GMBH BS 31.12.2022'!H27</f>
        <v>0</v>
      </c>
      <c r="G302" s="456"/>
      <c r="H302" s="301" t="e">
        <f>ROUND(G302+F302+#REF!,0)</f>
        <v>#REF!</v>
      </c>
      <c r="I302" s="456">
        <f>SUMIF(AE!$B$1:$B$1009,B302,AE!$G$1:$G$1009)-SUMIF(AE!$B$1:$B$1009,B302,AE!$F$1:$F$1009)</f>
        <v>0</v>
      </c>
      <c r="J302" s="301">
        <f t="shared" si="49"/>
        <v>0</v>
      </c>
      <c r="K302" s="58" t="str">
        <f t="shared" si="50"/>
        <v>135</v>
      </c>
      <c r="L302" s="58" t="str">
        <f t="shared" si="32"/>
        <v>13</v>
      </c>
      <c r="M302" s="268" t="e">
        <f t="shared" si="19"/>
        <v>#DIV/0!</v>
      </c>
      <c r="N302" s="268" t="e">
        <f t="shared" si="20"/>
        <v>#REF!</v>
      </c>
      <c r="O302" s="140" t="s">
        <v>1002</v>
      </c>
      <c r="P302" s="58">
        <f>VLOOKUP(B302,SAP!A:A,1,0)</f>
        <v>1357</v>
      </c>
      <c r="S302" s="563"/>
    </row>
    <row r="303" spans="1:19" s="58" customFormat="1">
      <c r="A303" s="612">
        <v>1790</v>
      </c>
      <c r="B303" s="612">
        <v>1357</v>
      </c>
      <c r="C303" s="614" t="s">
        <v>512</v>
      </c>
      <c r="D303" s="613"/>
      <c r="E303" s="613"/>
      <c r="F303" s="613">
        <f>-'GMBH BS 31.12.2022'!H30</f>
        <v>-3283.3470843989771</v>
      </c>
      <c r="G303" s="456"/>
      <c r="H303" s="301" t="e">
        <f>ROUND(G303+F303+#REF!,0)</f>
        <v>#REF!</v>
      </c>
      <c r="I303" s="456">
        <f>SUMIF(AE!$B$1:$B$1009,B303,AE!$G$1:$G$1009)-SUMIF(AE!$B$1:$B$1009,B303,AE!$F$1:$F$1009)</f>
        <v>0</v>
      </c>
      <c r="J303" s="301">
        <f t="shared" si="49"/>
        <v>0</v>
      </c>
      <c r="K303" s="58" t="str">
        <f t="shared" si="50"/>
        <v>135</v>
      </c>
      <c r="L303" s="58" t="str">
        <f t="shared" si="32"/>
        <v>13</v>
      </c>
      <c r="M303" s="268" t="e">
        <f t="shared" si="19"/>
        <v>#DIV/0!</v>
      </c>
      <c r="N303" s="268" t="e">
        <f t="shared" si="20"/>
        <v>#REF!</v>
      </c>
      <c r="O303" s="140" t="s">
        <v>1003</v>
      </c>
      <c r="P303" s="58">
        <f>VLOOKUP(B303,SAP!A:A,1,0)</f>
        <v>1357</v>
      </c>
      <c r="S303" s="563"/>
    </row>
    <row r="304" spans="1:19" s="58" customFormat="1">
      <c r="A304" s="612">
        <v>1200</v>
      </c>
      <c r="B304" s="612">
        <v>1307</v>
      </c>
      <c r="C304" s="614" t="s">
        <v>515</v>
      </c>
      <c r="D304" s="613"/>
      <c r="E304" s="613"/>
      <c r="F304" s="613">
        <f>-'GMBH BS 31.12.2022'!H34</f>
        <v>-2198.2832225063939</v>
      </c>
      <c r="G304" s="456"/>
      <c r="H304" s="301"/>
      <c r="I304" s="456"/>
      <c r="J304" s="301"/>
      <c r="K304" s="58" t="str">
        <f t="shared" si="50"/>
        <v>130</v>
      </c>
      <c r="L304" s="58" t="str">
        <f t="shared" si="32"/>
        <v>13</v>
      </c>
      <c r="M304" s="268" t="e">
        <f t="shared" si="19"/>
        <v>#DIV/0!</v>
      </c>
      <c r="N304" s="268" t="e">
        <f t="shared" si="20"/>
        <v>#DIV/0!</v>
      </c>
      <c r="O304" s="140" t="s">
        <v>1004</v>
      </c>
      <c r="P304" s="58">
        <f>VLOOKUP(B304,SAP!A:A,1,0)</f>
        <v>1307</v>
      </c>
      <c r="S304" s="563"/>
    </row>
    <row r="305" spans="1:19" s="58" customFormat="1">
      <c r="A305" s="612">
        <v>980</v>
      </c>
      <c r="B305" s="612">
        <v>1356</v>
      </c>
      <c r="C305" s="614" t="s">
        <v>40</v>
      </c>
      <c r="D305" s="613"/>
      <c r="E305" s="613"/>
      <c r="F305" s="613">
        <f>-'GMBH BS 31.12.2022'!H37</f>
        <v>0</v>
      </c>
      <c r="G305" s="456"/>
      <c r="H305" s="301"/>
      <c r="I305" s="456"/>
      <c r="J305" s="301"/>
      <c r="K305" s="58" t="str">
        <f t="shared" si="50"/>
        <v>135</v>
      </c>
      <c r="L305" s="58" t="str">
        <f t="shared" si="32"/>
        <v>13</v>
      </c>
      <c r="M305" s="268"/>
      <c r="N305" s="268"/>
      <c r="O305" s="140"/>
      <c r="P305" s="58">
        <f>VLOOKUP(B305,SAP!A:A,1,0)</f>
        <v>1356</v>
      </c>
      <c r="S305" s="563"/>
    </row>
    <row r="306" spans="1:19" s="58" customFormat="1">
      <c r="A306" s="612">
        <v>800</v>
      </c>
      <c r="B306" s="612">
        <v>1842</v>
      </c>
      <c r="C306" s="614" t="s">
        <v>520</v>
      </c>
      <c r="D306" s="613"/>
      <c r="E306" s="613"/>
      <c r="F306" s="613">
        <v>28054</v>
      </c>
      <c r="G306" s="456"/>
      <c r="H306" s="301"/>
      <c r="I306" s="456"/>
      <c r="J306" s="301"/>
      <c r="K306" s="58" t="str">
        <f t="shared" si="50"/>
        <v>184</v>
      </c>
      <c r="L306" s="58" t="str">
        <f t="shared" si="32"/>
        <v>18</v>
      </c>
      <c r="M306" s="268" t="e">
        <f t="shared" ref="M306:M308" si="56">+E306/D306</f>
        <v>#DIV/0!</v>
      </c>
      <c r="N306" s="268" t="e">
        <f t="shared" ref="N306:N308" si="57">+J306/H306</f>
        <v>#DIV/0!</v>
      </c>
      <c r="O306" s="140" t="s">
        <v>1010</v>
      </c>
      <c r="P306" s="58">
        <f>VLOOKUP(B306,SAP!A:A,1,0)</f>
        <v>1842</v>
      </c>
      <c r="S306" s="563"/>
    </row>
    <row r="307" spans="1:19" s="58" customFormat="1">
      <c r="A307" s="612">
        <v>860</v>
      </c>
      <c r="B307" s="612">
        <v>9410</v>
      </c>
      <c r="C307" s="614" t="s">
        <v>658</v>
      </c>
      <c r="D307" s="613"/>
      <c r="E307" s="613"/>
      <c r="F307" s="613">
        <v>28059</v>
      </c>
      <c r="G307" s="456"/>
      <c r="H307" s="301"/>
      <c r="I307" s="456"/>
      <c r="J307" s="301"/>
      <c r="K307" s="58" t="str">
        <f t="shared" si="50"/>
        <v>941</v>
      </c>
      <c r="L307" s="58" t="str">
        <f t="shared" si="32"/>
        <v>94</v>
      </c>
      <c r="M307" s="268" t="e">
        <f t="shared" si="56"/>
        <v>#DIV/0!</v>
      </c>
      <c r="N307" s="268" t="e">
        <f t="shared" si="57"/>
        <v>#DIV/0!</v>
      </c>
      <c r="O307" s="140" t="s">
        <v>1011</v>
      </c>
      <c r="P307" s="58">
        <f>VLOOKUP(B307,SAP!A:A,1,0)</f>
        <v>9410</v>
      </c>
      <c r="S307" s="563"/>
    </row>
    <row r="308" spans="1:19" s="58" customFormat="1">
      <c r="A308" s="612">
        <v>956</v>
      </c>
      <c r="B308" s="612">
        <v>2688</v>
      </c>
      <c r="C308" s="614" t="s">
        <v>550</v>
      </c>
      <c r="D308" s="613"/>
      <c r="E308" s="613"/>
      <c r="F308" s="613">
        <f>'GMBH BS 31.12.2022'!H57</f>
        <v>4975.2046035805624</v>
      </c>
      <c r="G308" s="456"/>
      <c r="H308" s="301">
        <f t="shared" ref="H308" si="58">ROUND(G308+D308+F308,0)</f>
        <v>4975</v>
      </c>
      <c r="I308" s="456">
        <f>SUMIF(AE!$B$1:$B$1009,B308,AE!$G$1:$G$1009)-SUMIF(AE!$B$1:$B$1009,B308,AE!$F$1:$F$1009)</f>
        <v>0</v>
      </c>
      <c r="J308" s="301">
        <f t="shared" si="49"/>
        <v>0</v>
      </c>
      <c r="K308" s="58" t="str">
        <f t="shared" si="50"/>
        <v>268</v>
      </c>
      <c r="L308" s="58" t="str">
        <f t="shared" si="32"/>
        <v>26</v>
      </c>
      <c r="M308" s="268" t="e">
        <f t="shared" si="56"/>
        <v>#DIV/0!</v>
      </c>
      <c r="N308" s="268">
        <f t="shared" si="57"/>
        <v>0</v>
      </c>
      <c r="O308" s="140" t="s">
        <v>1012</v>
      </c>
      <c r="P308" s="58">
        <f>VLOOKUP(B308,SAP!A:A,1,0)</f>
        <v>2688</v>
      </c>
      <c r="S308" s="563"/>
    </row>
    <row r="309" spans="1:19" s="58" customFormat="1">
      <c r="A309" s="612">
        <v>963</v>
      </c>
      <c r="B309" s="612">
        <v>2688</v>
      </c>
      <c r="C309" s="614" t="s">
        <v>552</v>
      </c>
      <c r="D309" s="613"/>
      <c r="E309" s="613"/>
      <c r="F309" s="613">
        <f>'GMBH BS 31.12.2022'!H58</f>
        <v>3285.4694117647059</v>
      </c>
      <c r="G309" s="456"/>
      <c r="H309" s="301"/>
      <c r="I309" s="456"/>
      <c r="J309" s="301"/>
      <c r="K309" s="58" t="str">
        <f t="shared" si="50"/>
        <v>268</v>
      </c>
      <c r="L309" s="58" t="str">
        <f t="shared" si="32"/>
        <v>26</v>
      </c>
      <c r="M309" s="268"/>
      <c r="N309" s="268"/>
      <c r="O309" s="140"/>
      <c r="P309" s="58">
        <f>VLOOKUP(B309,SAP!A:A,1,0)</f>
        <v>2688</v>
      </c>
      <c r="S309" s="563"/>
    </row>
    <row r="310" spans="1:19" s="58" customFormat="1">
      <c r="A310" s="612">
        <v>970</v>
      </c>
      <c r="B310" s="612">
        <v>2688</v>
      </c>
      <c r="C310" s="614" t="s">
        <v>523</v>
      </c>
      <c r="D310" s="613"/>
      <c r="E310" s="613"/>
      <c r="F310" s="613">
        <f>'GMBH BS 31.12.2022'!H61</f>
        <v>0</v>
      </c>
      <c r="G310" s="456"/>
      <c r="H310" s="301"/>
      <c r="I310" s="456"/>
      <c r="J310" s="301"/>
      <c r="K310" s="58" t="str">
        <f t="shared" si="50"/>
        <v>268</v>
      </c>
      <c r="L310" s="58" t="str">
        <f t="shared" si="32"/>
        <v>26</v>
      </c>
      <c r="M310" s="268" t="e">
        <f t="shared" ref="M310" si="59">+E310/D310</f>
        <v>#DIV/0!</v>
      </c>
      <c r="N310" s="268" t="e">
        <f t="shared" ref="N310" si="60">+J310/H310</f>
        <v>#DIV/0!</v>
      </c>
      <c r="O310" s="140" t="s">
        <v>1016</v>
      </c>
      <c r="P310" s="58">
        <f>VLOOKUP(B310,SAP!A:A,1,0)</f>
        <v>2688</v>
      </c>
      <c r="S310" s="563"/>
    </row>
    <row r="311" spans="1:19" s="58" customFormat="1">
      <c r="A311" s="612">
        <v>977</v>
      </c>
      <c r="B311" s="612">
        <v>2688</v>
      </c>
      <c r="C311" s="614" t="s">
        <v>525</v>
      </c>
      <c r="D311" s="613"/>
      <c r="E311" s="613"/>
      <c r="F311" s="613">
        <f>'GMBH BS 31.12.2022'!H62</f>
        <v>3732.7365728900259</v>
      </c>
      <c r="G311" s="456"/>
      <c r="H311" s="301"/>
      <c r="I311" s="456"/>
      <c r="J311" s="301"/>
      <c r="K311" s="58" t="str">
        <f t="shared" si="50"/>
        <v>268</v>
      </c>
      <c r="L311" s="58" t="str">
        <f t="shared" si="32"/>
        <v>26</v>
      </c>
      <c r="M311" s="268" t="e">
        <f t="shared" ref="M311:M313" si="61">+E311/D311</f>
        <v>#DIV/0!</v>
      </c>
      <c r="N311" s="268" t="e">
        <f t="shared" ref="N311:N313" si="62">+J311/H311</f>
        <v>#DIV/0!</v>
      </c>
      <c r="O311" s="140" t="s">
        <v>1017</v>
      </c>
      <c r="P311" s="58">
        <f>VLOOKUP(B311,SAP!A:A,1,0)</f>
        <v>2688</v>
      </c>
      <c r="S311" s="563"/>
    </row>
    <row r="312" spans="1:19" s="58" customFormat="1">
      <c r="A312" s="612">
        <v>1610</v>
      </c>
      <c r="B312" s="612">
        <v>2652</v>
      </c>
      <c r="C312" s="614" t="s">
        <v>693</v>
      </c>
      <c r="D312" s="613"/>
      <c r="E312" s="613"/>
      <c r="F312" s="613">
        <f>'GMBH BS 31.12.2022'!H65</f>
        <v>0</v>
      </c>
      <c r="G312" s="456"/>
      <c r="H312" s="301"/>
      <c r="I312" s="456"/>
      <c r="J312" s="301"/>
      <c r="K312" s="58" t="str">
        <f t="shared" si="50"/>
        <v>265</v>
      </c>
      <c r="L312" s="58" t="str">
        <f t="shared" si="32"/>
        <v>26</v>
      </c>
      <c r="M312" s="268" t="e">
        <f t="shared" si="61"/>
        <v>#DIV/0!</v>
      </c>
      <c r="N312" s="268" t="e">
        <f t="shared" si="62"/>
        <v>#DIV/0!</v>
      </c>
      <c r="O312" s="140" t="s">
        <v>1018</v>
      </c>
      <c r="P312" s="58">
        <f>VLOOKUP(B312,SAP!A:A,1,0)</f>
        <v>2652</v>
      </c>
      <c r="S312" s="563"/>
    </row>
    <row r="313" spans="1:19" s="58" customFormat="1">
      <c r="A313" s="612">
        <v>1700</v>
      </c>
      <c r="B313" s="612">
        <v>2685</v>
      </c>
      <c r="C313" s="614" t="s">
        <v>9</v>
      </c>
      <c r="D313" s="613"/>
      <c r="E313" s="613"/>
      <c r="F313" s="613">
        <f>'GMBH BS 31.12.2022'!H68</f>
        <v>3404.2877493606143</v>
      </c>
      <c r="G313" s="613">
        <f>'GMBH BS 31.12.2022'!I68</f>
        <v>0</v>
      </c>
      <c r="H313" s="613">
        <f>'GMBH BS 31.12.2022'!J68</f>
        <v>0</v>
      </c>
      <c r="I313" s="613">
        <f>'GMBH BS 31.12.2022'!K68</f>
        <v>0</v>
      </c>
      <c r="J313" s="613">
        <f>'GMBH BS 31.12.2022'!L68</f>
        <v>0</v>
      </c>
      <c r="K313" s="58" t="str">
        <f t="shared" si="50"/>
        <v>268</v>
      </c>
      <c r="L313" s="58" t="str">
        <f t="shared" si="32"/>
        <v>26</v>
      </c>
      <c r="M313" s="268" t="e">
        <f t="shared" si="61"/>
        <v>#DIV/0!</v>
      </c>
      <c r="N313" s="268" t="e">
        <f t="shared" si="62"/>
        <v>#DIV/0!</v>
      </c>
      <c r="O313" s="140" t="s">
        <v>1019</v>
      </c>
      <c r="P313" s="58">
        <f>VLOOKUP(B313,SAP!A:A,1,0)</f>
        <v>2685</v>
      </c>
      <c r="S313" s="563"/>
    </row>
    <row r="314" spans="1:19" s="58" customFormat="1">
      <c r="A314" s="612">
        <v>1705</v>
      </c>
      <c r="B314" s="612">
        <v>1842</v>
      </c>
      <c r="C314" s="614" t="s">
        <v>1391</v>
      </c>
      <c r="D314" s="613"/>
      <c r="E314" s="613"/>
      <c r="F314" s="613">
        <f>'GMBH BS 31.12.2022'!H69</f>
        <v>154947.81483375959</v>
      </c>
      <c r="G314" s="456"/>
      <c r="H314" s="301"/>
      <c r="I314" s="456"/>
      <c r="J314" s="301"/>
      <c r="K314" s="58" t="str">
        <f t="shared" ref="K314" si="63">LEFT(B314,3)</f>
        <v>184</v>
      </c>
      <c r="L314" s="58" t="str">
        <f t="shared" ref="L314" si="64">LEFT(B314,2)</f>
        <v>18</v>
      </c>
      <c r="M314" s="268" t="e">
        <f t="shared" ref="M314" si="65">+E314/D314</f>
        <v>#DIV/0!</v>
      </c>
      <c r="N314" s="268" t="e">
        <f t="shared" ref="N314" si="66">+J314/H314</f>
        <v>#DIV/0!</v>
      </c>
      <c r="O314" s="140" t="s">
        <v>1020</v>
      </c>
      <c r="P314" s="58">
        <f>VLOOKUP(B314,SAP!A:A,1,0)</f>
        <v>1842</v>
      </c>
      <c r="S314" s="563"/>
    </row>
    <row r="315" spans="1:19" s="58" customFormat="1">
      <c r="A315" s="612">
        <v>1740</v>
      </c>
      <c r="B315" s="612">
        <v>2685</v>
      </c>
      <c r="C315" s="614" t="s">
        <v>556</v>
      </c>
      <c r="D315" s="613"/>
      <c r="E315" s="613"/>
      <c r="F315" s="613">
        <f>'GMBH BS 31.12.2022'!H70</f>
        <v>0</v>
      </c>
      <c r="G315" s="456"/>
      <c r="H315" s="301"/>
      <c r="I315" s="456"/>
      <c r="J315" s="301"/>
      <c r="K315" s="58" t="str">
        <f t="shared" si="50"/>
        <v>268</v>
      </c>
      <c r="L315" s="58" t="str">
        <f t="shared" si="32"/>
        <v>26</v>
      </c>
      <c r="M315" s="268" t="e">
        <f t="shared" ref="M315" si="67">+E315/D315</f>
        <v>#DIV/0!</v>
      </c>
      <c r="N315" s="268" t="e">
        <f t="shared" ref="N315" si="68">+J315/H315</f>
        <v>#DIV/0!</v>
      </c>
      <c r="O315" s="140" t="s">
        <v>1020</v>
      </c>
      <c r="P315" s="58">
        <f>VLOOKUP(B315,SAP!A:A,1,0)</f>
        <v>2685</v>
      </c>
      <c r="S315" s="563"/>
    </row>
    <row r="316" spans="1:19" s="58" customFormat="1">
      <c r="A316" s="612">
        <v>1741</v>
      </c>
      <c r="B316" s="612">
        <v>2685</v>
      </c>
      <c r="C316" s="614" t="s">
        <v>529</v>
      </c>
      <c r="D316" s="613"/>
      <c r="E316" s="613"/>
      <c r="F316" s="613">
        <f>'GMBH BS 31.12.2022'!H71</f>
        <v>3735.1468542199491</v>
      </c>
      <c r="G316" s="456"/>
      <c r="H316" s="301"/>
      <c r="I316" s="456"/>
      <c r="J316" s="301"/>
      <c r="K316" s="58" t="str">
        <f t="shared" si="50"/>
        <v>268</v>
      </c>
      <c r="L316" s="58" t="str">
        <f t="shared" si="32"/>
        <v>26</v>
      </c>
      <c r="M316" s="268"/>
      <c r="N316" s="268"/>
      <c r="O316" s="140"/>
      <c r="P316" s="58">
        <f>VLOOKUP(B316,SAP!A:A,1,0)</f>
        <v>2685</v>
      </c>
      <c r="S316" s="563"/>
    </row>
    <row r="317" spans="1:19" s="58" customFormat="1">
      <c r="A317" s="612">
        <v>1736</v>
      </c>
      <c r="B317" s="612">
        <v>1357</v>
      </c>
      <c r="C317" s="614" t="s">
        <v>1029</v>
      </c>
      <c r="D317" s="613"/>
      <c r="E317" s="613"/>
      <c r="F317" s="613">
        <v>391.839</v>
      </c>
      <c r="G317" s="456"/>
      <c r="H317" s="301" t="e">
        <f>ROUND(G317+F317+#REF!,0)</f>
        <v>#REF!</v>
      </c>
      <c r="I317" s="456">
        <f>SUMIF(AE!$B$1:$B$1009,B317,AE!$G$1:$G$1009)-SUMIF(AE!$B$1:$B$1009,B317,AE!$F$1:$F$1009)</f>
        <v>0</v>
      </c>
      <c r="J317" s="301">
        <f>ROUND(I317+E317,0)</f>
        <v>0</v>
      </c>
      <c r="K317" s="58" t="str">
        <f>LEFT(B317,3)</f>
        <v>135</v>
      </c>
      <c r="L317" s="58" t="str">
        <f>LEFT(B317,2)</f>
        <v>13</v>
      </c>
      <c r="M317" s="268" t="e">
        <f>+E317/D317</f>
        <v>#DIV/0!</v>
      </c>
      <c r="N317" s="268" t="e">
        <f>+J317/H317</f>
        <v>#REF!</v>
      </c>
      <c r="O317" s="140" t="s">
        <v>998</v>
      </c>
      <c r="P317" s="58">
        <f>VLOOKUP(B317,SAP!A:A,1,0)</f>
        <v>1357</v>
      </c>
      <c r="S317" s="563"/>
    </row>
    <row r="318" spans="1:19" s="58" customFormat="1">
      <c r="A318" s="612">
        <v>1742</v>
      </c>
      <c r="B318" s="612">
        <v>2685</v>
      </c>
      <c r="C318" s="614" t="s">
        <v>558</v>
      </c>
      <c r="D318" s="613"/>
      <c r="E318" s="613"/>
      <c r="F318" s="613">
        <f>'GMBH BS 31.12.2022'!H72</f>
        <v>0</v>
      </c>
      <c r="G318" s="456"/>
      <c r="H318" s="301"/>
      <c r="I318" s="456"/>
      <c r="J318" s="301"/>
      <c r="K318" s="58" t="str">
        <f t="shared" ref="K318" si="69">LEFT(B318,3)</f>
        <v>268</v>
      </c>
      <c r="L318" s="58" t="str">
        <f t="shared" si="32"/>
        <v>26</v>
      </c>
      <c r="M318" s="268"/>
      <c r="N318" s="268"/>
      <c r="O318" s="140"/>
      <c r="P318" s="58">
        <f>VLOOKUP(B318,SAP!A:A,1,0)</f>
        <v>2685</v>
      </c>
      <c r="S318" s="563"/>
    </row>
    <row r="319" spans="1:19" s="647" customFormat="1">
      <c r="A319" s="651">
        <v>8338</v>
      </c>
      <c r="B319" s="651">
        <v>7023</v>
      </c>
      <c r="C319" s="652" t="s">
        <v>670</v>
      </c>
      <c r="D319" s="643"/>
      <c r="E319" s="643"/>
      <c r="F319" s="643">
        <f>'GMBH P&amp;L 12.2022'!H12</f>
        <v>477453.21521739132</v>
      </c>
      <c r="G319" s="653"/>
      <c r="H319" s="644"/>
      <c r="I319" s="653"/>
      <c r="J319" s="644"/>
      <c r="K319" s="647" t="str">
        <f t="shared" si="50"/>
        <v>702</v>
      </c>
      <c r="L319" s="647" t="str">
        <f t="shared" si="32"/>
        <v>70</v>
      </c>
      <c r="M319" s="645"/>
      <c r="N319" s="645"/>
      <c r="O319" s="646"/>
      <c r="P319" s="647">
        <f>VLOOKUP(B319,SAP!A:A,1,0)</f>
        <v>7023</v>
      </c>
      <c r="S319" s="648"/>
    </row>
    <row r="320" spans="1:19" s="58" customFormat="1">
      <c r="A320" s="612">
        <v>4100</v>
      </c>
      <c r="B320" s="612">
        <v>7020</v>
      </c>
      <c r="C320" s="614" t="s">
        <v>577</v>
      </c>
      <c r="D320" s="613"/>
      <c r="E320" s="613"/>
      <c r="F320" s="613">
        <f>'GMBH P&amp;L 12.2022'!H18</f>
        <v>-149096.16368286446</v>
      </c>
      <c r="G320" s="456"/>
      <c r="H320" s="301"/>
      <c r="I320" s="456"/>
      <c r="J320" s="301"/>
      <c r="K320" s="58" t="str">
        <f t="shared" si="50"/>
        <v>702</v>
      </c>
      <c r="L320" s="58" t="str">
        <f t="shared" si="32"/>
        <v>70</v>
      </c>
      <c r="M320" s="268"/>
      <c r="N320" s="268"/>
      <c r="O320" s="140"/>
      <c r="P320" s="58">
        <f>VLOOKUP(B320,SAP!A:A,1,0)</f>
        <v>7020</v>
      </c>
      <c r="S320" s="563"/>
    </row>
    <row r="321" spans="1:19" s="58" customFormat="1">
      <c r="A321" s="612">
        <v>4120</v>
      </c>
      <c r="B321" s="612">
        <v>7020</v>
      </c>
      <c r="C321" s="614" t="s">
        <v>1394</v>
      </c>
      <c r="D321" s="613"/>
      <c r="E321" s="613"/>
      <c r="F321" s="613">
        <f>'GMBH P&amp;L 12.2022'!H19</f>
        <v>-154947.81483375959</v>
      </c>
      <c r="G321" s="456"/>
      <c r="H321" s="301"/>
      <c r="I321" s="456"/>
      <c r="J321" s="301"/>
      <c r="K321" s="58" t="str">
        <f t="shared" ref="K321" si="70">LEFT(B321,3)</f>
        <v>702</v>
      </c>
      <c r="L321" s="58" t="str">
        <f t="shared" ref="L321" si="71">LEFT(B321,2)</f>
        <v>70</v>
      </c>
      <c r="M321" s="268"/>
      <c r="N321" s="268"/>
      <c r="O321" s="140"/>
      <c r="P321" s="58">
        <f>VLOOKUP(B321,SAP!A:A,1,0)</f>
        <v>7020</v>
      </c>
      <c r="S321" s="563"/>
    </row>
    <row r="322" spans="1:19" s="58" customFormat="1">
      <c r="A322" s="612">
        <v>4130</v>
      </c>
      <c r="B322" s="612">
        <v>7020</v>
      </c>
      <c r="C322" s="614" t="s">
        <v>580</v>
      </c>
      <c r="D322" s="613"/>
      <c r="E322" s="613"/>
      <c r="F322" s="613">
        <f>'GMBH P&amp;L 12.2022'!H22</f>
        <v>-17758.65421994885</v>
      </c>
      <c r="G322" s="456"/>
      <c r="H322" s="301"/>
      <c r="I322" s="456"/>
      <c r="J322" s="301"/>
      <c r="K322" s="58" t="str">
        <f t="shared" ref="K322:K340" si="72">LEFT(B322,3)</f>
        <v>702</v>
      </c>
      <c r="L322" s="58" t="str">
        <f t="shared" ref="L322:L340" si="73">LEFT(B322,2)</f>
        <v>70</v>
      </c>
      <c r="M322" s="268"/>
      <c r="N322" s="268"/>
      <c r="O322" s="140"/>
      <c r="P322" s="58">
        <f>VLOOKUP(B322,SAP!A:A,1,0)</f>
        <v>7020</v>
      </c>
      <c r="S322" s="563"/>
    </row>
    <row r="323" spans="1:19" s="58" customFormat="1">
      <c r="A323" s="612">
        <v>4138</v>
      </c>
      <c r="B323" s="612">
        <v>7020</v>
      </c>
      <c r="C323" s="614" t="s">
        <v>672</v>
      </c>
      <c r="D323" s="613"/>
      <c r="E323" s="613"/>
      <c r="F323" s="613">
        <f>'GMBH P&amp;L 12.2022'!H23</f>
        <v>-108.96391304347827</v>
      </c>
      <c r="G323" s="456"/>
      <c r="H323" s="301"/>
      <c r="I323" s="456"/>
      <c r="J323" s="301"/>
      <c r="K323" s="58" t="str">
        <f t="shared" si="72"/>
        <v>702</v>
      </c>
      <c r="L323" s="58" t="str">
        <f t="shared" si="73"/>
        <v>70</v>
      </c>
      <c r="M323" s="268"/>
      <c r="N323" s="268"/>
      <c r="O323" s="140"/>
      <c r="P323" s="58">
        <f>VLOOKUP(B323,SAP!A:A,1,0)</f>
        <v>7020</v>
      </c>
      <c r="S323" s="563"/>
    </row>
    <row r="324" spans="1:19" s="58" customFormat="1">
      <c r="A324" s="612">
        <v>4360</v>
      </c>
      <c r="B324" s="612">
        <v>7054</v>
      </c>
      <c r="C324" s="614" t="s">
        <v>1099</v>
      </c>
      <c r="D324" s="613"/>
      <c r="E324" s="613"/>
      <c r="F324" s="613">
        <f>'GMBH P&amp;L 12.2022'!H37</f>
        <v>-106606.95652173914</v>
      </c>
      <c r="G324" s="456"/>
      <c r="H324" s="301"/>
      <c r="I324" s="456"/>
      <c r="J324" s="301"/>
      <c r="K324" s="58" t="str">
        <f t="shared" si="72"/>
        <v>705</v>
      </c>
      <c r="L324" s="58" t="str">
        <f t="shared" si="73"/>
        <v>70</v>
      </c>
      <c r="M324" s="268"/>
      <c r="N324" s="268"/>
      <c r="O324" s="140"/>
      <c r="P324" s="58">
        <f>VLOOKUP(B324,SAP!A:A,1,0)</f>
        <v>7054</v>
      </c>
      <c r="S324" s="563"/>
    </row>
    <row r="325" spans="1:19" s="58" customFormat="1">
      <c r="A325" s="612">
        <v>4396</v>
      </c>
      <c r="B325" s="612">
        <v>7020</v>
      </c>
      <c r="C325" s="614" t="s">
        <v>745</v>
      </c>
      <c r="D325" s="613"/>
      <c r="E325" s="613"/>
      <c r="F325" s="613">
        <f>'GMBH P&amp;L 12.2022'!H38</f>
        <v>-179.46997442455245</v>
      </c>
      <c r="G325" s="456"/>
      <c r="H325" s="301"/>
      <c r="I325" s="456"/>
      <c r="J325" s="301"/>
      <c r="K325" s="58" t="str">
        <f t="shared" si="72"/>
        <v>702</v>
      </c>
      <c r="L325" s="58" t="str">
        <f t="shared" si="73"/>
        <v>70</v>
      </c>
      <c r="M325" s="268"/>
      <c r="N325" s="268"/>
      <c r="O325" s="140"/>
      <c r="P325" s="58">
        <f>VLOOKUP(B325,SAP!A:A,1,0)</f>
        <v>7020</v>
      </c>
      <c r="S325" s="563"/>
    </row>
    <row r="326" spans="1:19" s="58" customFormat="1">
      <c r="A326" s="612">
        <v>4600</v>
      </c>
      <c r="B326" s="612">
        <v>7026</v>
      </c>
      <c r="C326" s="614" t="s">
        <v>702</v>
      </c>
      <c r="D326" s="613"/>
      <c r="E326" s="613"/>
      <c r="F326" s="613">
        <f>'GMBH P&amp;L 12.2022'!H42</f>
        <v>-469.25831202046038</v>
      </c>
      <c r="G326" s="456"/>
      <c r="H326" s="301"/>
      <c r="I326" s="456"/>
      <c r="J326" s="301"/>
      <c r="K326" s="58" t="str">
        <f t="shared" si="72"/>
        <v>702</v>
      </c>
      <c r="L326" s="58" t="str">
        <f t="shared" si="73"/>
        <v>70</v>
      </c>
      <c r="M326" s="268"/>
      <c r="N326" s="268"/>
      <c r="O326" s="140"/>
      <c r="P326" s="58">
        <f>VLOOKUP(B326,SAP!A:A,1,0)</f>
        <v>7026</v>
      </c>
      <c r="S326" s="563"/>
    </row>
    <row r="327" spans="1:19" s="58" customFormat="1">
      <c r="A327" s="612">
        <v>4655</v>
      </c>
      <c r="B327" s="612">
        <v>7026</v>
      </c>
      <c r="C327" s="614" t="s">
        <v>1025</v>
      </c>
      <c r="D327" s="613"/>
      <c r="E327" s="613"/>
      <c r="F327" s="613">
        <f>'GMBH P&amp;L 12.2022'!H43</f>
        <v>-4.7992327365728897</v>
      </c>
      <c r="G327" s="456"/>
      <c r="H327" s="301"/>
      <c r="I327" s="456"/>
      <c r="J327" s="301"/>
      <c r="K327" s="58" t="str">
        <f t="shared" si="72"/>
        <v>702</v>
      </c>
      <c r="L327" s="58" t="str">
        <f t="shared" si="73"/>
        <v>70</v>
      </c>
      <c r="M327" s="268"/>
      <c r="N327" s="268"/>
      <c r="O327" s="140"/>
      <c r="P327" s="58">
        <f>VLOOKUP(B327,SAP!A:A,1,0)</f>
        <v>7026</v>
      </c>
      <c r="S327" s="563"/>
    </row>
    <row r="328" spans="1:19" s="58" customFormat="1">
      <c r="A328" s="612">
        <v>4663</v>
      </c>
      <c r="B328" s="612">
        <v>7025</v>
      </c>
      <c r="C328" s="614" t="s">
        <v>607</v>
      </c>
      <c r="D328" s="613"/>
      <c r="E328" s="613"/>
      <c r="F328" s="613">
        <f>'GMBH P&amp;L 12.2022'!H45</f>
        <v>-4175.4604603580565</v>
      </c>
      <c r="G328" s="456"/>
      <c r="H328" s="301"/>
      <c r="I328" s="456"/>
      <c r="J328" s="301"/>
      <c r="K328" s="58" t="str">
        <f t="shared" si="72"/>
        <v>702</v>
      </c>
      <c r="L328" s="58" t="str">
        <f t="shared" si="73"/>
        <v>70</v>
      </c>
      <c r="M328" s="268"/>
      <c r="N328" s="268"/>
      <c r="O328" s="140"/>
      <c r="P328" s="58">
        <f>VLOOKUP(B328,SAP!A:A,1,0)</f>
        <v>7025</v>
      </c>
      <c r="S328" s="563"/>
    </row>
    <row r="329" spans="1:19" s="58" customFormat="1">
      <c r="A329" s="612">
        <v>4666</v>
      </c>
      <c r="B329" s="612">
        <v>7025</v>
      </c>
      <c r="C329" s="614" t="s">
        <v>613</v>
      </c>
      <c r="D329" s="613"/>
      <c r="E329" s="613"/>
      <c r="F329" s="613">
        <f>'GMBH P&amp;L 12.2022'!H47</f>
        <v>-2512.4090025575451</v>
      </c>
      <c r="G329" s="456"/>
      <c r="H329" s="301"/>
      <c r="I329" s="456"/>
      <c r="J329" s="301"/>
      <c r="K329" s="58" t="str">
        <f t="shared" si="72"/>
        <v>702</v>
      </c>
      <c r="L329" s="58" t="str">
        <f t="shared" si="73"/>
        <v>70</v>
      </c>
      <c r="M329" s="268"/>
      <c r="N329" s="268"/>
      <c r="O329" s="140"/>
      <c r="P329" s="58">
        <f>VLOOKUP(B329,SAP!A:A,1,0)</f>
        <v>7025</v>
      </c>
      <c r="S329" s="563"/>
    </row>
    <row r="330" spans="1:19" s="58" customFormat="1">
      <c r="A330" s="612">
        <v>4830</v>
      </c>
      <c r="B330" s="612">
        <v>7021</v>
      </c>
      <c r="C330" s="614" t="s">
        <v>675</v>
      </c>
      <c r="D330" s="613"/>
      <c r="E330" s="613"/>
      <c r="F330" s="613">
        <f>'GMBH P&amp;L 12.2022'!H30</f>
        <v>-447.21383631713553</v>
      </c>
      <c r="G330" s="456"/>
      <c r="H330" s="301"/>
      <c r="I330" s="456"/>
      <c r="J330" s="301"/>
      <c r="K330" s="58" t="str">
        <f t="shared" si="72"/>
        <v>702</v>
      </c>
      <c r="L330" s="58" t="str">
        <f t="shared" si="73"/>
        <v>70</v>
      </c>
      <c r="M330" s="268"/>
      <c r="N330" s="268"/>
      <c r="O330" s="140"/>
      <c r="P330" s="58">
        <f>VLOOKUP(B330,SAP!A:A,1,0)</f>
        <v>7021</v>
      </c>
      <c r="S330" s="563"/>
    </row>
    <row r="331" spans="1:19" s="58" customFormat="1">
      <c r="A331" s="612">
        <v>4900</v>
      </c>
      <c r="B331" s="612">
        <v>7021</v>
      </c>
      <c r="C331" s="614" t="s">
        <v>623</v>
      </c>
      <c r="D331" s="613"/>
      <c r="E331" s="613"/>
      <c r="F331" s="613">
        <f>'GMBH P&amp;L 12.2022'!H54</f>
        <v>-1902.3198721227623</v>
      </c>
      <c r="G331" s="456"/>
      <c r="H331" s="301"/>
      <c r="I331" s="456"/>
      <c r="J331" s="301"/>
      <c r="K331" s="58" t="str">
        <f t="shared" si="72"/>
        <v>702</v>
      </c>
      <c r="L331" s="58" t="str">
        <f t="shared" si="73"/>
        <v>70</v>
      </c>
      <c r="M331" s="268"/>
      <c r="N331" s="268"/>
      <c r="O331" s="140"/>
      <c r="P331" s="58">
        <f>VLOOKUP(B331,SAP!A:A,1,0)</f>
        <v>7021</v>
      </c>
      <c r="S331" s="563"/>
    </row>
    <row r="332" spans="1:19" s="58" customFormat="1">
      <c r="A332" s="612">
        <v>4950</v>
      </c>
      <c r="B332" s="612">
        <v>7021</v>
      </c>
      <c r="C332" s="614" t="s">
        <v>703</v>
      </c>
      <c r="D332" s="613"/>
      <c r="E332" s="613"/>
      <c r="F332" s="613">
        <f>'GMBH P&amp;L 12.2022'!H57</f>
        <v>-1301.5732480818415</v>
      </c>
      <c r="G332" s="456"/>
      <c r="H332" s="301"/>
      <c r="I332" s="456"/>
      <c r="J332" s="301"/>
      <c r="K332" s="58" t="str">
        <f t="shared" si="72"/>
        <v>702</v>
      </c>
      <c r="L332" s="58" t="str">
        <f t="shared" si="73"/>
        <v>70</v>
      </c>
      <c r="M332" s="268"/>
      <c r="N332" s="268"/>
      <c r="O332" s="140"/>
      <c r="P332" s="58">
        <f>VLOOKUP(B332,SAP!A:A,1,0)</f>
        <v>7021</v>
      </c>
      <c r="S332" s="563"/>
    </row>
    <row r="333" spans="1:19" s="58" customFormat="1">
      <c r="A333" s="612">
        <v>4955</v>
      </c>
      <c r="B333" s="612">
        <v>7021</v>
      </c>
      <c r="C333" s="614" t="s">
        <v>746</v>
      </c>
      <c r="D333" s="613"/>
      <c r="E333" s="613"/>
      <c r="F333" s="613">
        <f>'GMBH P&amp;L 12.2022'!H58</f>
        <v>-4387.5652173913049</v>
      </c>
      <c r="G333" s="456"/>
      <c r="H333" s="301"/>
      <c r="I333" s="456"/>
      <c r="J333" s="301"/>
      <c r="K333" s="58" t="str">
        <f t="shared" si="72"/>
        <v>702</v>
      </c>
      <c r="L333" s="58" t="str">
        <f t="shared" si="73"/>
        <v>70</v>
      </c>
      <c r="M333" s="268"/>
      <c r="N333" s="268"/>
      <c r="O333" s="140"/>
      <c r="P333" s="58">
        <f>VLOOKUP(B333,SAP!A:A,1,0)</f>
        <v>7021</v>
      </c>
      <c r="S333" s="563"/>
    </row>
    <row r="334" spans="1:19" s="58" customFormat="1">
      <c r="A334" s="612">
        <v>4957</v>
      </c>
      <c r="B334" s="612">
        <v>7021</v>
      </c>
      <c r="C334" s="614" t="s">
        <v>808</v>
      </c>
      <c r="D334" s="613"/>
      <c r="E334" s="613"/>
      <c r="F334" s="613">
        <f>'GMBH P&amp;L 12.2022'!H59</f>
        <v>-4052.685421994885</v>
      </c>
      <c r="G334" s="456"/>
      <c r="H334" s="301"/>
      <c r="I334" s="456"/>
      <c r="J334" s="301"/>
      <c r="K334" s="58" t="str">
        <f t="shared" si="72"/>
        <v>702</v>
      </c>
      <c r="L334" s="58" t="str">
        <f t="shared" si="73"/>
        <v>70</v>
      </c>
      <c r="M334" s="268"/>
      <c r="N334" s="268"/>
      <c r="O334" s="140"/>
      <c r="P334" s="58">
        <f>VLOOKUP(B334,SAP!A:A,1,0)</f>
        <v>7021</v>
      </c>
      <c r="S334" s="563"/>
    </row>
    <row r="335" spans="1:19" s="58" customFormat="1">
      <c r="A335" s="612">
        <v>4970</v>
      </c>
      <c r="B335" s="612">
        <v>7021</v>
      </c>
      <c r="C335" s="614" t="s">
        <v>639</v>
      </c>
      <c r="D335" s="613"/>
      <c r="E335" s="613"/>
      <c r="F335" s="613">
        <f>'GMBH P&amp;L 12.2022'!H60</f>
        <v>-463.63787723785168</v>
      </c>
      <c r="G335" s="456"/>
      <c r="H335" s="301"/>
      <c r="I335" s="456"/>
      <c r="J335" s="301"/>
      <c r="K335" s="58" t="str">
        <f t="shared" si="72"/>
        <v>702</v>
      </c>
      <c r="L335" s="58" t="str">
        <f t="shared" si="73"/>
        <v>70</v>
      </c>
      <c r="M335" s="268"/>
      <c r="N335" s="268"/>
      <c r="O335" s="140"/>
      <c r="P335" s="58">
        <f>VLOOKUP(B335,SAP!A:A,1,0)</f>
        <v>7021</v>
      </c>
      <c r="S335" s="563"/>
    </row>
    <row r="336" spans="1:19" s="58" customFormat="1">
      <c r="A336" s="612">
        <v>9004</v>
      </c>
      <c r="B336" s="612">
        <v>7901</v>
      </c>
      <c r="C336" s="614" t="s">
        <v>470</v>
      </c>
      <c r="D336" s="613"/>
      <c r="E336" s="613"/>
      <c r="F336" s="613">
        <f>'GMBH P&amp;L 12.2022'!H66</f>
        <v>-3237.8159335038363</v>
      </c>
      <c r="G336" s="456"/>
      <c r="H336" s="301"/>
      <c r="I336" s="456"/>
      <c r="J336" s="301"/>
      <c r="K336" s="58" t="str">
        <f t="shared" si="72"/>
        <v>790</v>
      </c>
      <c r="L336" s="58" t="str">
        <f t="shared" si="73"/>
        <v>79</v>
      </c>
      <c r="M336" s="268"/>
      <c r="N336" s="268"/>
      <c r="O336" s="140"/>
      <c r="P336" s="58">
        <f>VLOOKUP(B336,SAP!A:A,1,0)</f>
        <v>7901</v>
      </c>
      <c r="S336" s="563"/>
    </row>
    <row r="337" spans="1:19" s="58" customFormat="1">
      <c r="A337" s="612">
        <v>4320</v>
      </c>
      <c r="B337" s="612">
        <v>7028</v>
      </c>
      <c r="C337" s="614" t="s">
        <v>810</v>
      </c>
      <c r="D337" s="613"/>
      <c r="E337" s="613"/>
      <c r="F337" s="613">
        <f>'GMBH P&amp;L 12.2022'!H75</f>
        <v>-4975.2046035805624</v>
      </c>
      <c r="G337" s="456"/>
      <c r="H337" s="301"/>
      <c r="I337" s="456"/>
      <c r="J337" s="301"/>
      <c r="K337" s="58" t="str">
        <f t="shared" si="72"/>
        <v>702</v>
      </c>
      <c r="L337" s="58" t="str">
        <f t="shared" si="73"/>
        <v>70</v>
      </c>
      <c r="M337" s="268"/>
      <c r="N337" s="268"/>
      <c r="O337" s="140"/>
      <c r="P337" s="58">
        <f>VLOOKUP(B337,SAP!A:A,1,0)</f>
        <v>7028</v>
      </c>
      <c r="S337" s="563"/>
    </row>
    <row r="338" spans="1:19" s="58" customFormat="1">
      <c r="A338" s="612">
        <v>2200</v>
      </c>
      <c r="B338" s="612">
        <v>7028</v>
      </c>
      <c r="C338" s="614" t="s">
        <v>749</v>
      </c>
      <c r="D338" s="613"/>
      <c r="E338" s="613"/>
      <c r="F338" s="613">
        <f>'GMBH P&amp;L 12.2022'!H72</f>
        <v>-4355.5703324808183</v>
      </c>
      <c r="G338" s="456"/>
      <c r="H338" s="301"/>
      <c r="I338" s="456"/>
      <c r="J338" s="301"/>
      <c r="K338" s="58" t="str">
        <f t="shared" si="72"/>
        <v>702</v>
      </c>
      <c r="L338" s="58" t="str">
        <f t="shared" si="73"/>
        <v>70</v>
      </c>
      <c r="M338" s="268"/>
      <c r="N338" s="268"/>
      <c r="O338" s="140"/>
      <c r="P338" s="58">
        <f>VLOOKUP(B338,SAP!A:A,1,0)</f>
        <v>7028</v>
      </c>
      <c r="S338" s="563"/>
    </row>
    <row r="339" spans="1:19" s="58" customFormat="1">
      <c r="A339" s="612">
        <v>2208</v>
      </c>
      <c r="B339" s="612">
        <v>7028</v>
      </c>
      <c r="C339" s="614" t="s">
        <v>802</v>
      </c>
      <c r="D339" s="613"/>
      <c r="E339" s="613"/>
      <c r="F339" s="613">
        <f>'GMBH P&amp;L 12.2022'!H73-1</f>
        <v>-240.55636828644504</v>
      </c>
      <c r="G339" s="456"/>
      <c r="H339" s="301"/>
      <c r="I339" s="456"/>
      <c r="J339" s="301"/>
      <c r="K339" s="58" t="str">
        <f t="shared" si="72"/>
        <v>702</v>
      </c>
      <c r="L339" s="58" t="str">
        <f t="shared" si="73"/>
        <v>70</v>
      </c>
      <c r="M339" s="268"/>
      <c r="N339" s="268"/>
      <c r="O339" s="140"/>
      <c r="P339" s="58">
        <f>VLOOKUP(B339,SAP!A:A,1,0)</f>
        <v>7028</v>
      </c>
      <c r="S339" s="563"/>
    </row>
    <row r="340" spans="1:19" s="58" customFormat="1">
      <c r="A340" s="612">
        <v>2281</v>
      </c>
      <c r="B340" s="612">
        <v>7028</v>
      </c>
      <c r="C340" s="614" t="s">
        <v>1402</v>
      </c>
      <c r="D340" s="613"/>
      <c r="E340" s="613"/>
      <c r="F340" s="613">
        <f>'GMBH P&amp;L 12.2022'!H74</f>
        <v>-622.30051150895144</v>
      </c>
      <c r="G340" s="456"/>
      <c r="H340" s="301"/>
      <c r="I340" s="456"/>
      <c r="J340" s="301"/>
      <c r="K340" s="58" t="str">
        <f t="shared" si="72"/>
        <v>702</v>
      </c>
      <c r="L340" s="58" t="str">
        <f t="shared" si="73"/>
        <v>70</v>
      </c>
      <c r="M340" s="268"/>
      <c r="N340" s="268"/>
      <c r="O340" s="140"/>
      <c r="S340" s="563"/>
    </row>
    <row r="341" spans="1:19" s="58" customFormat="1">
      <c r="A341" s="612"/>
      <c r="B341" s="612"/>
      <c r="C341" s="614"/>
      <c r="D341" s="613"/>
      <c r="E341" s="613"/>
      <c r="F341" s="613"/>
      <c r="G341" s="456"/>
      <c r="H341" s="301"/>
      <c r="I341" s="456"/>
      <c r="J341" s="301"/>
      <c r="M341" s="268"/>
      <c r="N341" s="268"/>
      <c r="O341" s="140"/>
      <c r="S341" s="563"/>
    </row>
    <row r="342" spans="1:19" s="58" customFormat="1">
      <c r="A342" s="612"/>
      <c r="B342" s="612"/>
      <c r="C342" s="614"/>
      <c r="D342" s="613"/>
      <c r="E342" s="613"/>
      <c r="F342" s="613"/>
      <c r="G342" s="456"/>
      <c r="H342" s="301"/>
      <c r="I342" s="456"/>
      <c r="J342" s="301"/>
      <c r="M342" s="268"/>
      <c r="N342" s="268"/>
      <c r="O342" s="140"/>
      <c r="S342" s="563"/>
    </row>
    <row r="343" spans="1:19" s="58" customFormat="1">
      <c r="A343" s="612"/>
      <c r="B343" s="612"/>
      <c r="C343" s="614"/>
      <c r="D343" s="613"/>
      <c r="E343" s="613"/>
      <c r="F343" s="613"/>
      <c r="G343" s="456"/>
      <c r="H343" s="301"/>
      <c r="I343" s="456"/>
      <c r="J343" s="301"/>
      <c r="M343" s="268"/>
      <c r="N343" s="268"/>
      <c r="O343" s="140"/>
      <c r="S343" s="563"/>
    </row>
    <row r="344" spans="1:19" s="58" customFormat="1">
      <c r="A344" s="612"/>
      <c r="B344" s="612"/>
      <c r="C344" s="614"/>
      <c r="D344" s="613"/>
      <c r="E344" s="613"/>
      <c r="F344" s="613"/>
      <c r="G344" s="456"/>
      <c r="H344" s="301"/>
      <c r="I344" s="456"/>
      <c r="J344" s="301"/>
      <c r="M344" s="268"/>
      <c r="N344" s="268"/>
      <c r="O344" s="140"/>
      <c r="S344" s="563"/>
    </row>
    <row r="345" spans="1:19" s="58" customFormat="1">
      <c r="A345" s="612"/>
      <c r="B345" s="612"/>
      <c r="C345" s="614"/>
      <c r="D345" s="613"/>
      <c r="E345" s="613"/>
      <c r="F345" s="613"/>
      <c r="G345" s="456"/>
      <c r="H345" s="301"/>
      <c r="I345" s="456"/>
      <c r="J345" s="301"/>
      <c r="M345" s="268"/>
      <c r="N345" s="268"/>
      <c r="O345" s="140"/>
      <c r="S345" s="563"/>
    </row>
    <row r="346" spans="1:19">
      <c r="A346" s="611"/>
      <c r="B346" s="611"/>
      <c r="C346" s="614"/>
      <c r="E346" s="223"/>
      <c r="F346" s="223"/>
      <c r="G346" s="456"/>
      <c r="H346" s="301"/>
      <c r="I346" s="456"/>
      <c r="J346" s="301"/>
      <c r="K346" s="58"/>
      <c r="L346" s="58"/>
      <c r="M346" s="268"/>
      <c r="N346" s="268"/>
      <c r="O346" s="140"/>
    </row>
    <row r="347" spans="1:19">
      <c r="A347" s="612"/>
      <c r="B347" s="351"/>
      <c r="C347" s="614"/>
      <c r="E347" s="223"/>
      <c r="F347" s="223"/>
      <c r="G347" s="456"/>
      <c r="H347" s="301"/>
      <c r="I347" s="456"/>
      <c r="J347" s="301"/>
      <c r="K347" s="58"/>
      <c r="L347" s="58"/>
      <c r="M347" s="268"/>
      <c r="N347" s="268"/>
      <c r="O347" s="140"/>
    </row>
    <row r="348" spans="1:19" ht="13.5" thickBot="1">
      <c r="D348" s="226">
        <f>SUM(D2:D346)</f>
        <v>0</v>
      </c>
      <c r="E348" s="226">
        <f>SUM(E2:E346)</f>
        <v>0</v>
      </c>
      <c r="F348" s="780">
        <f>SUM(F2:F346)</f>
        <v>1.5089513385646569E-4</v>
      </c>
      <c r="K348" s="43"/>
      <c r="L348" s="43"/>
    </row>
    <row r="349" spans="1:19" ht="13.5" thickTop="1">
      <c r="D349" s="227"/>
      <c r="K349" s="43"/>
      <c r="L349" s="43"/>
    </row>
    <row r="350" spans="1:19">
      <c r="D350" s="227"/>
      <c r="K350" s="43"/>
      <c r="L350" s="43"/>
    </row>
    <row r="351" spans="1:19">
      <c r="D351" s="227"/>
      <c r="K351" s="43"/>
      <c r="L351" s="43"/>
    </row>
    <row r="352" spans="1:19">
      <c r="D352" s="227"/>
      <c r="K352" s="43"/>
      <c r="L352" s="43"/>
    </row>
    <row r="353" spans="1:12">
      <c r="D353" s="227"/>
      <c r="K353" s="43"/>
      <c r="L353" s="43"/>
    </row>
    <row r="354" spans="1:12">
      <c r="D354" s="227"/>
      <c r="K354" s="43"/>
      <c r="L354" s="43"/>
    </row>
    <row r="355" spans="1:12">
      <c r="D355" s="227"/>
      <c r="K355" s="43"/>
      <c r="L355" s="43"/>
    </row>
    <row r="356" spans="1:12">
      <c r="D356" s="227"/>
      <c r="K356" s="43"/>
      <c r="L356" s="43"/>
    </row>
    <row r="357" spans="1:12">
      <c r="D357" s="227"/>
      <c r="K357" s="43"/>
      <c r="L357" s="43"/>
    </row>
    <row r="358" spans="1:12">
      <c r="D358" s="227"/>
      <c r="K358" s="43"/>
      <c r="L358" s="43"/>
    </row>
    <row r="359" spans="1:12">
      <c r="D359" s="227"/>
      <c r="K359" s="43"/>
      <c r="L359" s="43"/>
    </row>
    <row r="360" spans="1:12">
      <c r="D360" s="227"/>
      <c r="K360" s="43"/>
      <c r="L360" s="43"/>
    </row>
    <row r="361" spans="1:12">
      <c r="D361" s="227"/>
    </row>
    <row r="362" spans="1:12">
      <c r="D362" s="227"/>
    </row>
    <row r="363" spans="1:12">
      <c r="D363" s="227"/>
    </row>
    <row r="364" spans="1:12">
      <c r="D364" s="227"/>
    </row>
    <row r="365" spans="1:12">
      <c r="D365" s="227"/>
    </row>
    <row r="366" spans="1:12">
      <c r="D366" s="227"/>
    </row>
    <row r="367" spans="1:12">
      <c r="D367" s="227"/>
    </row>
    <row r="368" spans="1:12">
      <c r="A368" s="352">
        <v>956</v>
      </c>
      <c r="D368" s="227"/>
    </row>
    <row r="369" spans="1:4">
      <c r="A369" s="352">
        <v>963</v>
      </c>
      <c r="D369" s="227"/>
    </row>
    <row r="370" spans="1:4">
      <c r="A370" s="352" t="s">
        <v>486</v>
      </c>
      <c r="D370" s="227"/>
    </row>
    <row r="371" spans="1:4">
      <c r="A371" s="352" t="s">
        <v>486</v>
      </c>
      <c r="D371" s="227"/>
    </row>
    <row r="372" spans="1:4">
      <c r="A372" s="352">
        <v>970</v>
      </c>
      <c r="D372" s="227"/>
    </row>
    <row r="373" spans="1:4">
      <c r="A373" s="352">
        <v>977</v>
      </c>
      <c r="D373" s="227"/>
    </row>
    <row r="374" spans="1:4">
      <c r="D374" s="227"/>
    </row>
    <row r="375" spans="1:4">
      <c r="A375" s="352" t="s">
        <v>486</v>
      </c>
      <c r="D375" s="227"/>
    </row>
    <row r="376" spans="1:4">
      <c r="A376" s="352">
        <v>1610</v>
      </c>
    </row>
    <row r="377" spans="1:4">
      <c r="A377" s="352" t="s">
        <v>486</v>
      </c>
    </row>
    <row r="378" spans="1:4">
      <c r="A378" s="352" t="s">
        <v>486</v>
      </c>
    </row>
    <row r="379" spans="1:4">
      <c r="A379" s="352">
        <v>1700</v>
      </c>
    </row>
    <row r="380" spans="1:4">
      <c r="A380" s="352">
        <v>1740</v>
      </c>
    </row>
    <row r="381" spans="1:4">
      <c r="A381" s="352">
        <v>1741</v>
      </c>
    </row>
    <row r="382" spans="1:4">
      <c r="A382" s="352">
        <v>1742</v>
      </c>
    </row>
    <row r="383" spans="1:4">
      <c r="A383" s="352">
        <v>1792</v>
      </c>
    </row>
  </sheetData>
  <autoFilter ref="A1:L383" xr:uid="{00000000-0001-0000-0900-000000000000}"/>
  <sortState xmlns:xlrd2="http://schemas.microsoft.com/office/spreadsheetml/2017/richdata2" ref="A1:O165">
    <sortCondition ref="N1:N165"/>
  </sortState>
  <phoneticPr fontId="31" type="noConversion"/>
  <pageMargins left="0.75" right="0.75" top="1" bottom="1" header="0.5" footer="0.5"/>
  <pageSetup paperSize="9" scale="16" orientation="portrait" r:id="rId1"/>
  <headerFooter alignWithMargins="0"/>
  <ignoredErrors>
    <ignoredError sqref="B290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BDAB-8E4E-4648-9AA9-DE353C961CF5}">
  <dimension ref="A1:AU89"/>
  <sheetViews>
    <sheetView view="pageBreakPreview" topLeftCell="B55" zoomScaleNormal="85" zoomScaleSheetLayoutView="100" workbookViewId="0">
      <selection activeCell="D69" sqref="D69"/>
    </sheetView>
  </sheetViews>
  <sheetFormatPr defaultRowHeight="12.75"/>
  <cols>
    <col min="1" max="1" width="10.5703125" style="58" customWidth="1"/>
    <col min="2" max="2" width="36.42578125" customWidth="1"/>
    <col min="3" max="3" width="37" customWidth="1"/>
    <col min="4" max="4" width="11.5703125" customWidth="1"/>
    <col min="5" max="5" width="12.5703125" bestFit="1" customWidth="1"/>
    <col min="6" max="6" width="12.42578125" hidden="1" customWidth="1"/>
    <col min="8" max="8" width="14" style="519" customWidth="1"/>
    <col min="9" max="9" width="10.42578125" bestFit="1" customWidth="1"/>
    <col min="10" max="10" width="19.5703125" customWidth="1"/>
    <col min="11" max="11" width="11.5703125" customWidth="1"/>
    <col min="12" max="12" width="12" bestFit="1" customWidth="1"/>
    <col min="13" max="13" width="13.28515625" bestFit="1" customWidth="1"/>
    <col min="16" max="16" width="15" bestFit="1" customWidth="1"/>
    <col min="17" max="17" width="16.28515625" bestFit="1" customWidth="1"/>
    <col min="19" max="19" width="9.7109375" bestFit="1" customWidth="1"/>
  </cols>
  <sheetData>
    <row r="1" spans="1:47" ht="15">
      <c r="B1" s="409" t="s">
        <v>485</v>
      </c>
      <c r="C1" s="410" t="s">
        <v>486</v>
      </c>
      <c r="D1" s="411"/>
      <c r="E1" s="411"/>
      <c r="F1" s="411"/>
    </row>
    <row r="2" spans="1:47">
      <c r="B2" s="410" t="s">
        <v>487</v>
      </c>
      <c r="C2" s="410" t="s">
        <v>486</v>
      </c>
      <c r="D2" s="411"/>
      <c r="E2" s="411"/>
      <c r="F2" s="411"/>
      <c r="J2" s="649">
        <f>DATE</f>
        <v>44926</v>
      </c>
    </row>
    <row r="3" spans="1:47">
      <c r="B3" s="555" t="s">
        <v>1403</v>
      </c>
      <c r="C3" s="410" t="s">
        <v>486</v>
      </c>
      <c r="D3" s="411"/>
      <c r="E3" s="411"/>
      <c r="F3" s="411"/>
      <c r="I3" s="506">
        <f>'Master Data (do not print)'!B23</f>
        <v>3.5190000000000001</v>
      </c>
      <c r="J3" s="510" t="s">
        <v>1091</v>
      </c>
    </row>
    <row r="4" spans="1:47">
      <c r="B4" s="412" t="s">
        <v>486</v>
      </c>
      <c r="C4" s="410" t="s">
        <v>486</v>
      </c>
      <c r="D4" s="411"/>
      <c r="E4" s="411"/>
      <c r="F4" s="411"/>
      <c r="I4" s="656">
        <f>'Master Data (do not print)'!B24</f>
        <v>3.7530000000000001</v>
      </c>
      <c r="J4" s="511" t="s">
        <v>1092</v>
      </c>
      <c r="K4" s="649"/>
    </row>
    <row r="5" spans="1:47" ht="15">
      <c r="B5" s="409" t="s">
        <v>1023</v>
      </c>
      <c r="C5" s="410" t="s">
        <v>486</v>
      </c>
      <c r="D5" s="411"/>
      <c r="E5" s="411"/>
      <c r="F5" s="411"/>
      <c r="I5" s="507">
        <f>I4/I3</f>
        <v>1.0664961636828645</v>
      </c>
      <c r="J5" s="591" t="s">
        <v>1093</v>
      </c>
      <c r="K5" s="649"/>
    </row>
    <row r="6" spans="1:47">
      <c r="B6" s="412" t="s">
        <v>486</v>
      </c>
      <c r="C6" s="410" t="s">
        <v>486</v>
      </c>
      <c r="D6" s="411"/>
      <c r="E6" s="411"/>
      <c r="F6" s="411"/>
    </row>
    <row r="7" spans="1:47">
      <c r="B7" s="410" t="s">
        <v>489</v>
      </c>
      <c r="C7" s="410" t="s">
        <v>486</v>
      </c>
      <c r="D7" s="411"/>
      <c r="E7" s="411"/>
      <c r="F7" s="411"/>
      <c r="I7">
        <v>1.1318006430868166</v>
      </c>
      <c r="J7" t="s">
        <v>1030</v>
      </c>
    </row>
    <row r="8" spans="1:47">
      <c r="B8" s="412" t="s">
        <v>484</v>
      </c>
      <c r="C8" s="410" t="s">
        <v>484</v>
      </c>
      <c r="D8" s="411" t="s">
        <v>484</v>
      </c>
      <c r="E8" s="411" t="s">
        <v>484</v>
      </c>
      <c r="F8" s="411" t="s">
        <v>484</v>
      </c>
    </row>
    <row r="9" spans="1:47">
      <c r="B9" s="412" t="s">
        <v>486</v>
      </c>
      <c r="C9" s="410" t="s">
        <v>486</v>
      </c>
      <c r="D9" s="411"/>
      <c r="E9" s="412" t="s">
        <v>490</v>
      </c>
      <c r="F9" s="412" t="s">
        <v>491</v>
      </c>
      <c r="H9" s="520" t="s">
        <v>117</v>
      </c>
    </row>
    <row r="10" spans="1:47">
      <c r="B10" s="412" t="s">
        <v>494</v>
      </c>
      <c r="C10" s="410" t="s">
        <v>495</v>
      </c>
      <c r="D10" s="412" t="s">
        <v>496</v>
      </c>
      <c r="E10" s="412" t="s">
        <v>496</v>
      </c>
      <c r="F10" s="412" t="s">
        <v>496</v>
      </c>
      <c r="H10" s="521"/>
    </row>
    <row r="11" spans="1:47">
      <c r="B11" s="412" t="s">
        <v>486</v>
      </c>
      <c r="C11" s="410" t="s">
        <v>486</v>
      </c>
      <c r="D11" s="411"/>
      <c r="E11" s="411"/>
      <c r="F11" s="411"/>
      <c r="H11" s="521"/>
    </row>
    <row r="12" spans="1:47" ht="45">
      <c r="B12" s="412" t="s">
        <v>486</v>
      </c>
      <c r="C12" s="413" t="s">
        <v>497</v>
      </c>
      <c r="D12" s="411"/>
      <c r="E12" s="411"/>
      <c r="F12" s="411"/>
      <c r="H12" s="521"/>
    </row>
    <row r="13" spans="1:47">
      <c r="A13" s="58">
        <v>1904</v>
      </c>
      <c r="B13" s="412" t="s">
        <v>498</v>
      </c>
      <c r="C13" s="410" t="s">
        <v>499</v>
      </c>
      <c r="D13" s="411"/>
      <c r="E13" s="745">
        <v>1</v>
      </c>
      <c r="F13" s="411">
        <v>739.17</v>
      </c>
      <c r="H13" s="524">
        <f>E13*$I$5</f>
        <v>1.0664961636828645</v>
      </c>
    </row>
    <row r="14" spans="1:47">
      <c r="B14" s="412" t="s">
        <v>486</v>
      </c>
      <c r="C14" s="410" t="s">
        <v>486</v>
      </c>
      <c r="D14" s="411"/>
      <c r="E14" s="411"/>
      <c r="F14" s="411"/>
      <c r="H14" s="521"/>
      <c r="AU14">
        <v>0</v>
      </c>
    </row>
    <row r="15" spans="1:47" ht="15">
      <c r="B15" s="412" t="s">
        <v>486</v>
      </c>
      <c r="C15" s="409" t="s">
        <v>538</v>
      </c>
      <c r="D15" s="411"/>
      <c r="E15" s="411"/>
      <c r="F15" s="411"/>
      <c r="H15" s="521"/>
    </row>
    <row r="16" spans="1:47">
      <c r="A16" s="58">
        <v>1351</v>
      </c>
      <c r="B16" s="142" t="s">
        <v>539</v>
      </c>
      <c r="C16" s="589" t="s">
        <v>538</v>
      </c>
      <c r="D16" s="729"/>
      <c r="E16" s="729">
        <v>223294.83</v>
      </c>
      <c r="F16" s="411">
        <v>50112.19</v>
      </c>
      <c r="H16" s="521">
        <f>E16*$I$5</f>
        <v>238143.0795652174</v>
      </c>
    </row>
    <row r="17" spans="1:47">
      <c r="B17" s="412" t="s">
        <v>486</v>
      </c>
      <c r="C17" s="410" t="s">
        <v>486</v>
      </c>
      <c r="D17" s="411"/>
      <c r="E17" s="411"/>
      <c r="F17" s="411"/>
      <c r="H17" s="521"/>
    </row>
    <row r="18" spans="1:47" ht="15">
      <c r="B18" s="412" t="s">
        <v>486</v>
      </c>
      <c r="C18" s="409" t="s">
        <v>500</v>
      </c>
      <c r="D18" s="411"/>
      <c r="E18" s="411"/>
      <c r="F18" s="411"/>
      <c r="H18" s="521"/>
      <c r="K18" s="285"/>
    </row>
    <row r="19" spans="1:47">
      <c r="A19" s="58">
        <v>1355</v>
      </c>
      <c r="B19" s="412" t="s">
        <v>501</v>
      </c>
      <c r="C19" s="410" t="s">
        <v>502</v>
      </c>
      <c r="D19" s="411"/>
      <c r="E19" s="411"/>
      <c r="F19" s="411">
        <v>1119.6199999999999</v>
      </c>
      <c r="H19" s="521">
        <f>D19*$I$5</f>
        <v>0</v>
      </c>
    </row>
    <row r="20" spans="1:47">
      <c r="A20" s="58">
        <v>1356</v>
      </c>
      <c r="B20" s="412" t="s">
        <v>776</v>
      </c>
      <c r="C20" s="410" t="s">
        <v>777</v>
      </c>
      <c r="D20" s="411"/>
      <c r="E20" s="411"/>
      <c r="F20" s="411">
        <v>0</v>
      </c>
      <c r="H20" s="521">
        <f t="shared" ref="H20:H31" si="0">D20*$I$5</f>
        <v>0</v>
      </c>
    </row>
    <row r="21" spans="1:47">
      <c r="A21" s="58">
        <v>1357</v>
      </c>
      <c r="B21" s="142" t="s">
        <v>687</v>
      </c>
      <c r="C21" s="589" t="s">
        <v>688</v>
      </c>
      <c r="D21" s="729">
        <v>437.93</v>
      </c>
      <c r="E21" s="729"/>
      <c r="F21" s="411">
        <v>165.72</v>
      </c>
      <c r="H21" s="521">
        <f>D21*$I$5</f>
        <v>467.05066496163687</v>
      </c>
    </row>
    <row r="22" spans="1:47">
      <c r="A22" s="58">
        <v>1357</v>
      </c>
      <c r="B22" s="142">
        <v>1736</v>
      </c>
      <c r="C22" s="589" t="s">
        <v>1029</v>
      </c>
      <c r="D22" s="729">
        <v>0</v>
      </c>
      <c r="E22" s="729"/>
      <c r="F22" s="411">
        <v>209.4</v>
      </c>
      <c r="H22" s="521">
        <f>D22*$I$5</f>
        <v>0</v>
      </c>
    </row>
    <row r="23" spans="1:47">
      <c r="A23" s="58">
        <v>1357</v>
      </c>
      <c r="B23" s="142">
        <v>1570</v>
      </c>
      <c r="C23" s="589" t="s">
        <v>504</v>
      </c>
      <c r="D23" s="729">
        <v>149.46</v>
      </c>
      <c r="E23" s="729"/>
      <c r="F23" s="411">
        <v>0</v>
      </c>
      <c r="H23" s="521">
        <f t="shared" si="0"/>
        <v>159.39851662404092</v>
      </c>
    </row>
    <row r="24" spans="1:47">
      <c r="A24" s="58">
        <v>1357</v>
      </c>
      <c r="B24" s="142">
        <v>1571</v>
      </c>
      <c r="C24" s="589" t="s">
        <v>506</v>
      </c>
      <c r="D24" s="729">
        <v>81.89</v>
      </c>
      <c r="E24" s="729"/>
      <c r="F24" s="411"/>
      <c r="H24" s="521">
        <f t="shared" si="0"/>
        <v>87.335370843989779</v>
      </c>
    </row>
    <row r="25" spans="1:47">
      <c r="A25" s="58">
        <v>1357</v>
      </c>
      <c r="B25" s="142">
        <v>1576</v>
      </c>
      <c r="C25" s="589" t="s">
        <v>779</v>
      </c>
      <c r="D25" s="729">
        <v>1737.24</v>
      </c>
      <c r="E25" s="729"/>
      <c r="F25" s="411">
        <v>10262.01</v>
      </c>
      <c r="H25" s="521">
        <f>D25*$I$5</f>
        <v>1852.7597953964196</v>
      </c>
    </row>
    <row r="26" spans="1:47">
      <c r="A26" s="58">
        <v>1357</v>
      </c>
      <c r="B26" s="142">
        <v>1741</v>
      </c>
      <c r="C26" s="589" t="s">
        <v>529</v>
      </c>
      <c r="D26" s="729">
        <v>0</v>
      </c>
      <c r="E26" s="729"/>
      <c r="F26" s="411"/>
      <c r="H26" s="521">
        <f>D26*$I$5</f>
        <v>0</v>
      </c>
    </row>
    <row r="27" spans="1:47">
      <c r="A27" s="58">
        <v>1357</v>
      </c>
      <c r="B27" s="142">
        <v>1742</v>
      </c>
      <c r="C27" s="589" t="s">
        <v>558</v>
      </c>
      <c r="D27" s="729">
        <v>0</v>
      </c>
      <c r="E27" s="729"/>
      <c r="F27" s="411"/>
      <c r="H27" s="521">
        <f>D27*$I$5</f>
        <v>0</v>
      </c>
    </row>
    <row r="28" spans="1:47">
      <c r="A28" s="58">
        <v>1357</v>
      </c>
      <c r="B28" s="142" t="s">
        <v>509</v>
      </c>
      <c r="C28" s="589" t="s">
        <v>510</v>
      </c>
      <c r="D28" s="729"/>
      <c r="E28" s="729"/>
      <c r="F28" s="411">
        <v>-6442.09</v>
      </c>
      <c r="H28" s="521">
        <f t="shared" si="0"/>
        <v>0</v>
      </c>
    </row>
    <row r="29" spans="1:47">
      <c r="A29" s="58">
        <v>1357</v>
      </c>
      <c r="B29" s="142" t="s">
        <v>803</v>
      </c>
      <c r="C29" s="589" t="s">
        <v>804</v>
      </c>
      <c r="D29" s="729"/>
      <c r="E29" s="729"/>
      <c r="F29" s="411"/>
      <c r="H29" s="521">
        <f t="shared" si="0"/>
        <v>0</v>
      </c>
    </row>
    <row r="30" spans="1:47">
      <c r="A30" s="58">
        <v>1357</v>
      </c>
      <c r="B30" s="142" t="s">
        <v>511</v>
      </c>
      <c r="C30" s="589" t="s">
        <v>512</v>
      </c>
      <c r="D30" s="729">
        <v>3078.63</v>
      </c>
      <c r="E30" s="729"/>
      <c r="F30" s="411">
        <v>536.28</v>
      </c>
      <c r="H30" s="521">
        <f>D30*$I$5</f>
        <v>3283.3470843989771</v>
      </c>
    </row>
    <row r="31" spans="1:47">
      <c r="A31" s="58">
        <v>1357</v>
      </c>
      <c r="B31" s="142" t="s">
        <v>689</v>
      </c>
      <c r="C31" s="589" t="s">
        <v>690</v>
      </c>
      <c r="D31" s="729"/>
      <c r="E31" s="729"/>
      <c r="F31" s="411"/>
      <c r="H31" s="521">
        <f t="shared" si="0"/>
        <v>0</v>
      </c>
    </row>
    <row r="32" spans="1:47">
      <c r="B32" s="142" t="s">
        <v>486</v>
      </c>
      <c r="C32" s="589" t="s">
        <v>486</v>
      </c>
      <c r="D32" s="729"/>
      <c r="E32" s="729">
        <f>SUM(D19:D31)</f>
        <v>5485.15</v>
      </c>
      <c r="F32" s="411"/>
      <c r="H32" s="521">
        <f>SUM(H19:H31)</f>
        <v>5849.8914322250639</v>
      </c>
      <c r="AU32">
        <v>0</v>
      </c>
    </row>
    <row r="33" spans="1:11" ht="38.25">
      <c r="B33" s="142" t="s">
        <v>486</v>
      </c>
      <c r="C33" s="589" t="s">
        <v>513</v>
      </c>
      <c r="D33" s="729"/>
      <c r="E33" s="729"/>
      <c r="F33" s="411"/>
      <c r="H33" s="521"/>
    </row>
    <row r="34" spans="1:11">
      <c r="A34" s="58">
        <v>1307</v>
      </c>
      <c r="B34" s="142" t="s">
        <v>514</v>
      </c>
      <c r="C34" s="589" t="s">
        <v>515</v>
      </c>
      <c r="D34" s="729"/>
      <c r="E34" s="729">
        <v>2061.2199999999998</v>
      </c>
      <c r="F34" s="411">
        <v>8432.4500000000007</v>
      </c>
      <c r="H34" s="521">
        <f>E34*$I$5</f>
        <v>2198.2832225063939</v>
      </c>
    </row>
    <row r="35" spans="1:11">
      <c r="B35" s="412" t="s">
        <v>486</v>
      </c>
      <c r="C35" s="410" t="s">
        <v>486</v>
      </c>
      <c r="D35" s="411"/>
      <c r="E35" s="411"/>
      <c r="F35" s="411"/>
      <c r="H35" s="521"/>
    </row>
    <row r="36" spans="1:11" ht="15">
      <c r="B36" s="412" t="s">
        <v>486</v>
      </c>
      <c r="C36" s="409" t="s">
        <v>500</v>
      </c>
      <c r="D36" s="411"/>
      <c r="E36" s="411"/>
      <c r="F36" s="411"/>
      <c r="H36" s="521"/>
    </row>
    <row r="37" spans="1:11" s="572" customFormat="1">
      <c r="A37" s="140">
        <v>1356</v>
      </c>
      <c r="B37" s="277">
        <v>980</v>
      </c>
      <c r="C37" s="589" t="s">
        <v>40</v>
      </c>
      <c r="D37" s="590"/>
      <c r="E37" s="590"/>
      <c r="F37" s="590">
        <v>0</v>
      </c>
      <c r="G37" s="99"/>
      <c r="H37" s="524">
        <f>E37*$I$5</f>
        <v>0</v>
      </c>
    </row>
    <row r="38" spans="1:11">
      <c r="B38" s="412" t="s">
        <v>486</v>
      </c>
      <c r="C38" s="410" t="s">
        <v>486</v>
      </c>
      <c r="D38" s="411"/>
      <c r="E38" s="414"/>
      <c r="F38" s="414"/>
      <c r="H38" s="522"/>
    </row>
    <row r="39" spans="1:11">
      <c r="B39" s="412" t="s">
        <v>486</v>
      </c>
      <c r="C39" s="410" t="s">
        <v>486</v>
      </c>
      <c r="D39" s="411"/>
      <c r="E39" s="411"/>
      <c r="F39" s="411"/>
      <c r="H39" s="521"/>
    </row>
    <row r="40" spans="1:11">
      <c r="B40" s="412" t="s">
        <v>486</v>
      </c>
      <c r="C40" s="410" t="s">
        <v>518</v>
      </c>
      <c r="D40" s="411"/>
      <c r="E40" s="438">
        <f>E34+E32+E16+E13+E37</f>
        <v>230842.19999999998</v>
      </c>
      <c r="F40" s="411">
        <v>65134.75</v>
      </c>
      <c r="H40" s="615">
        <f>H34+H32+H16+H13+H37</f>
        <v>246192.32071611256</v>
      </c>
      <c r="I40" s="285">
        <f>H37+H34+H32+H16+H13-H40</f>
        <v>0</v>
      </c>
    </row>
    <row r="41" spans="1:11" ht="13.5" thickBot="1">
      <c r="B41" s="412" t="s">
        <v>486</v>
      </c>
      <c r="C41" s="410" t="s">
        <v>486</v>
      </c>
      <c r="D41" s="411"/>
      <c r="E41" s="415"/>
      <c r="F41" s="415"/>
      <c r="H41" s="523"/>
    </row>
    <row r="42" spans="1:11" ht="13.5" thickTop="1">
      <c r="B42" s="410" t="s">
        <v>519</v>
      </c>
      <c r="C42" s="410" t="s">
        <v>486</v>
      </c>
      <c r="D42" s="411"/>
      <c r="E42" s="411"/>
      <c r="F42" s="411"/>
      <c r="H42" s="521"/>
    </row>
    <row r="43" spans="1:11">
      <c r="B43" s="412" t="s">
        <v>484</v>
      </c>
      <c r="C43" s="410" t="s">
        <v>484</v>
      </c>
      <c r="D43" s="411" t="s">
        <v>484</v>
      </c>
      <c r="E43" s="411" t="s">
        <v>484</v>
      </c>
      <c r="F43" s="411" t="s">
        <v>484</v>
      </c>
      <c r="H43" s="521"/>
    </row>
    <row r="44" spans="1:11">
      <c r="B44" s="412" t="s">
        <v>486</v>
      </c>
      <c r="C44" s="410" t="s">
        <v>486</v>
      </c>
      <c r="D44" s="411"/>
      <c r="E44" s="412" t="s">
        <v>490</v>
      </c>
      <c r="F44" s="412" t="s">
        <v>491</v>
      </c>
      <c r="H44" s="521"/>
    </row>
    <row r="45" spans="1:11">
      <c r="B45" s="412" t="s">
        <v>494</v>
      </c>
      <c r="C45" s="410" t="s">
        <v>495</v>
      </c>
      <c r="D45" s="412" t="s">
        <v>496</v>
      </c>
      <c r="E45" s="412" t="s">
        <v>496</v>
      </c>
      <c r="F45" s="412" t="s">
        <v>496</v>
      </c>
      <c r="H45" s="521"/>
    </row>
    <row r="46" spans="1:11">
      <c r="B46" s="412" t="s">
        <v>486</v>
      </c>
      <c r="C46" s="410" t="s">
        <v>486</v>
      </c>
      <c r="D46" s="411"/>
      <c r="E46" s="411"/>
      <c r="F46" s="411"/>
      <c r="H46" s="521"/>
    </row>
    <row r="47" spans="1:11" ht="15">
      <c r="B47" s="412" t="s">
        <v>486</v>
      </c>
      <c r="C47" s="409" t="s">
        <v>520</v>
      </c>
      <c r="D47" s="411"/>
      <c r="E47" s="411"/>
      <c r="F47" s="411"/>
      <c r="H47" s="521"/>
      <c r="I47" s="475" t="s">
        <v>665</v>
      </c>
      <c r="J47" s="439" t="s">
        <v>407</v>
      </c>
    </row>
    <row r="48" spans="1:11">
      <c r="A48" s="58">
        <v>1842</v>
      </c>
      <c r="B48" s="412" t="s">
        <v>521</v>
      </c>
      <c r="C48" s="410" t="s">
        <v>520</v>
      </c>
      <c r="D48" s="411"/>
      <c r="E48" s="745">
        <v>25000</v>
      </c>
      <c r="F48" s="411">
        <v>25000</v>
      </c>
      <c r="H48" s="490">
        <f>E48*$I$5</f>
        <v>26662.404092071611</v>
      </c>
      <c r="I48" s="476">
        <v>28054</v>
      </c>
      <c r="J48" s="43">
        <f>I48-H48</f>
        <v>1391.5959079283894</v>
      </c>
      <c r="K48" s="99" t="s">
        <v>811</v>
      </c>
    </row>
    <row r="49" spans="1:47">
      <c r="B49" s="412" t="s">
        <v>486</v>
      </c>
      <c r="C49" s="410" t="s">
        <v>486</v>
      </c>
      <c r="D49" s="411"/>
      <c r="E49" s="411"/>
      <c r="F49" s="411"/>
      <c r="H49" s="521"/>
    </row>
    <row r="50" spans="1:47" ht="30">
      <c r="B50" s="412" t="s">
        <v>486</v>
      </c>
      <c r="C50" s="413" t="s">
        <v>656</v>
      </c>
      <c r="D50" s="411"/>
      <c r="E50" s="411"/>
      <c r="F50" s="411"/>
      <c r="H50" s="521"/>
      <c r="I50" s="475" t="s">
        <v>665</v>
      </c>
    </row>
    <row r="51" spans="1:47">
      <c r="A51" s="58">
        <v>9410</v>
      </c>
      <c r="B51" s="412" t="s">
        <v>657</v>
      </c>
      <c r="C51" s="410" t="s">
        <v>658</v>
      </c>
      <c r="D51" s="411"/>
      <c r="E51" s="745">
        <v>24578.41</v>
      </c>
      <c r="F51" s="411">
        <v>6553.33</v>
      </c>
      <c r="H51" s="490">
        <f>E51*$I$5</f>
        <v>26212.779974424553</v>
      </c>
      <c r="I51" s="781">
        <v>28059</v>
      </c>
      <c r="J51" s="43">
        <f>I51-H51</f>
        <v>1846.2200255754469</v>
      </c>
      <c r="K51" s="99" t="s">
        <v>811</v>
      </c>
      <c r="Q51" s="768"/>
      <c r="AU51">
        <v>0</v>
      </c>
    </row>
    <row r="52" spans="1:47">
      <c r="B52" s="412" t="s">
        <v>486</v>
      </c>
      <c r="C52" s="410" t="s">
        <v>486</v>
      </c>
      <c r="D52" s="411"/>
      <c r="E52" s="411"/>
      <c r="F52" s="411"/>
      <c r="H52" s="521"/>
    </row>
    <row r="53" spans="1:47" ht="30">
      <c r="B53" s="412" t="s">
        <v>486</v>
      </c>
      <c r="C53" s="413" t="s">
        <v>545</v>
      </c>
      <c r="D53" s="411"/>
      <c r="E53" s="411"/>
      <c r="F53" s="411"/>
      <c r="H53" s="521"/>
    </row>
    <row r="54" spans="1:47">
      <c r="B54" s="412" t="s">
        <v>486</v>
      </c>
      <c r="C54" s="410" t="s">
        <v>546</v>
      </c>
      <c r="D54" s="411"/>
      <c r="E54" s="411">
        <f>'GMBH P&amp;L 12.2022'!D79</f>
        <v>17670.610000000015</v>
      </c>
      <c r="F54" s="411">
        <v>11407.34</v>
      </c>
      <c r="H54" s="521">
        <f>E54*$I$5</f>
        <v>18845.637774936076</v>
      </c>
      <c r="I54" s="781">
        <f>'GMBH P&amp;L 12.2022'!H79</f>
        <v>15607.821841432189</v>
      </c>
      <c r="M54" s="101"/>
      <c r="Q54" s="40"/>
      <c r="S54" s="285"/>
    </row>
    <row r="55" spans="1:47">
      <c r="B55" s="412" t="s">
        <v>486</v>
      </c>
      <c r="C55" s="410" t="s">
        <v>486</v>
      </c>
      <c r="D55" s="411"/>
      <c r="E55" s="411"/>
      <c r="F55" s="411"/>
      <c r="H55" s="521"/>
    </row>
    <row r="56" spans="1:47" ht="15">
      <c r="B56" s="412" t="s">
        <v>486</v>
      </c>
      <c r="C56" s="409" t="s">
        <v>548</v>
      </c>
      <c r="D56" s="411"/>
      <c r="E56" s="411"/>
      <c r="F56" s="411"/>
      <c r="H56" s="521"/>
      <c r="J56" s="630"/>
    </row>
    <row r="57" spans="1:47">
      <c r="A57" s="58">
        <v>2688</v>
      </c>
      <c r="B57" s="412" t="s">
        <v>549</v>
      </c>
      <c r="C57" s="410" t="s">
        <v>550</v>
      </c>
      <c r="D57" s="411">
        <v>4665</v>
      </c>
      <c r="E57" s="411"/>
      <c r="F57" s="411">
        <v>1040</v>
      </c>
      <c r="H57" s="521">
        <f>D57*$I$5</f>
        <v>4975.2046035805624</v>
      </c>
      <c r="I57" s="503"/>
      <c r="M57" s="101"/>
      <c r="Q57" s="40"/>
      <c r="S57" s="285"/>
    </row>
    <row r="58" spans="1:47">
      <c r="A58" s="58">
        <v>2688</v>
      </c>
      <c r="B58" s="412" t="s">
        <v>551</v>
      </c>
      <c r="C58" s="410" t="s">
        <v>552</v>
      </c>
      <c r="D58" s="411">
        <v>3080.62</v>
      </c>
      <c r="E58" s="411">
        <f>SUM(D57:D58)</f>
        <v>7745.62</v>
      </c>
      <c r="F58" s="411">
        <v>1436.91</v>
      </c>
      <c r="H58" s="521">
        <f>D58*$I$5</f>
        <v>3285.4694117647059</v>
      </c>
      <c r="I58" s="503"/>
      <c r="M58" s="101"/>
      <c r="Q58" s="40"/>
      <c r="S58" s="285"/>
    </row>
    <row r="59" spans="1:47">
      <c r="B59" s="412" t="s">
        <v>486</v>
      </c>
      <c r="C59" s="410" t="s">
        <v>486</v>
      </c>
      <c r="D59" s="411"/>
      <c r="E59" s="411"/>
      <c r="F59" s="411"/>
      <c r="H59" s="776">
        <f>SUM(H57:H58)</f>
        <v>8260.6740153452683</v>
      </c>
      <c r="I59" s="503"/>
      <c r="M59" s="101"/>
      <c r="Q59" s="40"/>
      <c r="S59" s="285"/>
    </row>
    <row r="60" spans="1:47" ht="15">
      <c r="B60" s="412" t="s">
        <v>486</v>
      </c>
      <c r="C60" s="409" t="s">
        <v>523</v>
      </c>
      <c r="D60" s="411"/>
      <c r="E60" s="411"/>
      <c r="F60" s="411"/>
      <c r="H60" s="521"/>
    </row>
    <row r="61" spans="1:47">
      <c r="A61" s="58">
        <v>2688</v>
      </c>
      <c r="B61" s="277">
        <v>970</v>
      </c>
      <c r="C61" s="589" t="s">
        <v>523</v>
      </c>
      <c r="D61" s="411">
        <v>0</v>
      </c>
      <c r="E61" s="411"/>
      <c r="F61" s="411"/>
      <c r="H61" s="521">
        <f>D61*$I$5</f>
        <v>0</v>
      </c>
      <c r="Q61" s="40"/>
      <c r="R61" s="40"/>
      <c r="S61" s="40"/>
    </row>
    <row r="62" spans="1:47">
      <c r="A62" s="58">
        <v>2688</v>
      </c>
      <c r="B62" s="142">
        <v>977</v>
      </c>
      <c r="C62" s="410" t="s">
        <v>525</v>
      </c>
      <c r="D62" s="414">
        <v>3500</v>
      </c>
      <c r="E62" s="411">
        <f>SUM(D61:D62)</f>
        <v>3500</v>
      </c>
      <c r="F62" s="411">
        <v>2600</v>
      </c>
      <c r="H62" s="521">
        <f>D62*$I$5</f>
        <v>3732.7365728900259</v>
      </c>
      <c r="Q62" s="40"/>
      <c r="R62" s="40"/>
      <c r="S62" s="40"/>
    </row>
    <row r="63" spans="1:47">
      <c r="B63" s="412"/>
      <c r="C63" s="410"/>
      <c r="D63" s="411"/>
      <c r="E63" s="411"/>
      <c r="F63" s="411"/>
      <c r="H63" s="776">
        <f>SUM(H61:H62)</f>
        <v>3732.7365728900259</v>
      </c>
      <c r="AU63">
        <v>0</v>
      </c>
    </row>
    <row r="64" spans="1:47" ht="15">
      <c r="B64" s="412" t="s">
        <v>486</v>
      </c>
      <c r="C64" s="409" t="s">
        <v>691</v>
      </c>
      <c r="D64" s="411"/>
      <c r="E64" s="411"/>
      <c r="F64" s="411"/>
      <c r="H64" s="521"/>
    </row>
    <row r="65" spans="1:8">
      <c r="A65" s="58">
        <v>2652</v>
      </c>
      <c r="B65" s="142">
        <v>1610</v>
      </c>
      <c r="C65" s="410" t="s">
        <v>693</v>
      </c>
      <c r="D65" s="411"/>
      <c r="E65" s="592"/>
      <c r="F65" s="411"/>
      <c r="H65" s="524">
        <f>E65*$I$5</f>
        <v>0</v>
      </c>
    </row>
    <row r="66" spans="1:8">
      <c r="B66" s="412" t="s">
        <v>486</v>
      </c>
      <c r="C66" s="410" t="s">
        <v>486</v>
      </c>
      <c r="D66" s="411"/>
      <c r="E66" s="411"/>
      <c r="F66" s="411"/>
      <c r="H66" s="521"/>
    </row>
    <row r="67" spans="1:8" ht="15">
      <c r="B67" s="412" t="s">
        <v>486</v>
      </c>
      <c r="C67" s="409" t="s">
        <v>9</v>
      </c>
      <c r="D67" s="411"/>
      <c r="E67" s="411"/>
      <c r="F67" s="411"/>
      <c r="H67" s="521"/>
    </row>
    <row r="68" spans="1:8">
      <c r="A68" s="58">
        <v>2685</v>
      </c>
      <c r="B68" s="412">
        <v>1700</v>
      </c>
      <c r="C68" s="410" t="s">
        <v>9</v>
      </c>
      <c r="D68" s="411">
        <v>3192.03</v>
      </c>
      <c r="E68" s="411"/>
      <c r="F68" s="411"/>
      <c r="H68" s="521">
        <f t="shared" ref="H68:H73" si="1">D68*$I$5</f>
        <v>3404.2877493606143</v>
      </c>
    </row>
    <row r="69" spans="1:8">
      <c r="A69" s="58">
        <v>1842</v>
      </c>
      <c r="B69" s="412">
        <v>1705</v>
      </c>
      <c r="C69" s="410" t="s">
        <v>1391</v>
      </c>
      <c r="D69" s="411">
        <v>145286.79999999999</v>
      </c>
      <c r="E69" s="411"/>
      <c r="F69" s="411"/>
      <c r="H69" s="521">
        <f t="shared" si="1"/>
        <v>154947.81483375959</v>
      </c>
    </row>
    <row r="70" spans="1:8">
      <c r="A70" s="58">
        <v>2685</v>
      </c>
      <c r="B70" s="412">
        <v>1740</v>
      </c>
      <c r="C70" s="410" t="s">
        <v>556</v>
      </c>
      <c r="D70" s="411"/>
      <c r="E70" s="411"/>
      <c r="F70" s="411">
        <v>12940.04</v>
      </c>
      <c r="H70" s="521">
        <f t="shared" si="1"/>
        <v>0</v>
      </c>
    </row>
    <row r="71" spans="1:8">
      <c r="A71" s="58">
        <v>2685</v>
      </c>
      <c r="B71" s="412">
        <v>1741</v>
      </c>
      <c r="C71" s="410" t="s">
        <v>529</v>
      </c>
      <c r="D71" s="778">
        <v>3502.26</v>
      </c>
      <c r="E71" s="411"/>
      <c r="F71" s="411">
        <v>3332</v>
      </c>
      <c r="H71" s="521">
        <f t="shared" si="1"/>
        <v>3735.1468542199491</v>
      </c>
    </row>
    <row r="72" spans="1:8">
      <c r="A72" s="58">
        <v>2685</v>
      </c>
      <c r="B72" s="412">
        <v>1742</v>
      </c>
      <c r="C72" s="410" t="s">
        <v>558</v>
      </c>
      <c r="D72" s="411">
        <v>0</v>
      </c>
      <c r="E72" s="411"/>
      <c r="F72" s="411">
        <v>825.13</v>
      </c>
      <c r="H72" s="521">
        <f t="shared" si="1"/>
        <v>0</v>
      </c>
    </row>
    <row r="73" spans="1:8">
      <c r="A73" s="58">
        <v>2685</v>
      </c>
      <c r="B73" s="412">
        <v>1736</v>
      </c>
      <c r="C73" s="410" t="s">
        <v>1029</v>
      </c>
      <c r="D73" s="142">
        <v>366.47</v>
      </c>
      <c r="E73" s="411"/>
      <c r="F73" s="411"/>
      <c r="H73" s="521">
        <f t="shared" si="1"/>
        <v>390.83884910485938</v>
      </c>
    </row>
    <row r="74" spans="1:8">
      <c r="B74" s="412"/>
      <c r="C74" s="410"/>
      <c r="D74" s="411"/>
      <c r="E74" s="411">
        <f>SUM(D68:D73)</f>
        <v>152347.56</v>
      </c>
      <c r="F74" s="411"/>
      <c r="H74" s="777">
        <f>SUM(H68:H73)</f>
        <v>162478.08828644501</v>
      </c>
    </row>
    <row r="75" spans="1:8" ht="30">
      <c r="B75" s="412" t="s">
        <v>486</v>
      </c>
      <c r="C75" s="413" t="s">
        <v>759</v>
      </c>
      <c r="D75" s="411"/>
      <c r="E75" s="411"/>
      <c r="F75" s="411"/>
      <c r="H75" s="521"/>
    </row>
    <row r="76" spans="1:8">
      <c r="B76" s="412" t="s">
        <v>661</v>
      </c>
      <c r="C76" s="410" t="s">
        <v>529</v>
      </c>
      <c r="D76" s="411"/>
      <c r="E76" s="411"/>
      <c r="F76" s="411"/>
      <c r="H76" s="521"/>
    </row>
    <row r="77" spans="1:8">
      <c r="B77" s="412" t="s">
        <v>486</v>
      </c>
      <c r="C77" s="410" t="s">
        <v>486</v>
      </c>
      <c r="D77" s="411"/>
      <c r="E77" s="411"/>
      <c r="F77" s="411"/>
      <c r="H77" s="521"/>
    </row>
    <row r="78" spans="1:8" ht="45">
      <c r="B78" s="412" t="s">
        <v>486</v>
      </c>
      <c r="C78" s="413" t="s">
        <v>786</v>
      </c>
      <c r="D78" s="411"/>
      <c r="E78" s="411"/>
      <c r="F78" s="411"/>
      <c r="H78" s="521"/>
    </row>
    <row r="79" spans="1:8">
      <c r="B79" s="412" t="s">
        <v>526</v>
      </c>
      <c r="C79" s="410" t="s">
        <v>9</v>
      </c>
      <c r="D79" s="411">
        <v>0</v>
      </c>
      <c r="E79" s="411"/>
      <c r="F79" s="411"/>
      <c r="H79" s="521"/>
    </row>
    <row r="80" spans="1:8">
      <c r="B80" s="412" t="s">
        <v>527</v>
      </c>
      <c r="C80" s="410" t="s">
        <v>528</v>
      </c>
      <c r="D80" s="411">
        <v>0</v>
      </c>
      <c r="E80" s="411"/>
      <c r="F80" s="411"/>
      <c r="H80" s="521"/>
    </row>
    <row r="81" spans="1:19">
      <c r="B81" s="412" t="s">
        <v>486</v>
      </c>
      <c r="C81" s="410" t="s">
        <v>486</v>
      </c>
      <c r="D81" s="411"/>
      <c r="E81" s="414">
        <f>SUM(D79:D80)</f>
        <v>0</v>
      </c>
      <c r="F81" s="414"/>
      <c r="H81" s="560">
        <f>E81*$I$5</f>
        <v>0</v>
      </c>
    </row>
    <row r="82" spans="1:19">
      <c r="B82" s="412"/>
      <c r="C82" s="410"/>
      <c r="D82" s="411"/>
      <c r="E82" s="425"/>
      <c r="F82" s="425"/>
      <c r="H82" s="559"/>
    </row>
    <row r="83" spans="1:19" ht="30">
      <c r="B83" s="412" t="s">
        <v>486</v>
      </c>
      <c r="C83" s="413" t="s">
        <v>812</v>
      </c>
      <c r="D83" s="411"/>
      <c r="E83" s="425"/>
      <c r="F83" s="425"/>
      <c r="H83" s="559"/>
    </row>
    <row r="84" spans="1:19">
      <c r="A84" s="58">
        <v>2658</v>
      </c>
      <c r="B84" s="412" t="s">
        <v>501</v>
      </c>
      <c r="C84" s="410" t="s">
        <v>502</v>
      </c>
      <c r="D84" s="411"/>
      <c r="E84" s="425">
        <v>0</v>
      </c>
      <c r="F84" s="425"/>
      <c r="H84" s="524">
        <f>E84*$I$5</f>
        <v>0</v>
      </c>
    </row>
    <row r="85" spans="1:19">
      <c r="B85" s="412" t="s">
        <v>486</v>
      </c>
      <c r="C85" s="410" t="s">
        <v>486</v>
      </c>
      <c r="D85" s="411"/>
      <c r="E85" s="411"/>
      <c r="F85" s="411"/>
      <c r="H85" s="521"/>
    </row>
    <row r="86" spans="1:19">
      <c r="B86" s="412" t="s">
        <v>486</v>
      </c>
      <c r="C86" s="410" t="s">
        <v>530</v>
      </c>
      <c r="D86" s="411"/>
      <c r="E86" s="438">
        <f>E84+E74+E65+E62+E58+E51+E48+E54+E81</f>
        <v>230842.2</v>
      </c>
      <c r="F86" s="438">
        <v>65134.75</v>
      </c>
      <c r="G86" s="439"/>
      <c r="H86" s="438">
        <f>H84+H74+H65+H63+H59+I51+I48+I54+H81</f>
        <v>246192.32071611247</v>
      </c>
      <c r="I86" s="285">
        <f>H74+H59+I54+I51+I48-H86+H62+H65+H84+H61</f>
        <v>7.2759576141834259E-12</v>
      </c>
      <c r="M86" s="100"/>
      <c r="N86" s="100"/>
      <c r="Q86" s="100"/>
      <c r="R86" s="100"/>
      <c r="S86" s="101"/>
    </row>
    <row r="87" spans="1:19" ht="13.5" thickBot="1">
      <c r="B87" s="412" t="s">
        <v>486</v>
      </c>
      <c r="C87" s="410" t="s">
        <v>486</v>
      </c>
      <c r="D87" s="411"/>
      <c r="E87" s="415"/>
      <c r="F87" s="415"/>
      <c r="H87" s="523"/>
      <c r="M87" s="746"/>
    </row>
    <row r="88" spans="1:19" ht="13.5" thickTop="1">
      <c r="H88" s="521"/>
    </row>
    <row r="89" spans="1:19">
      <c r="E89" s="491">
        <f>E86-E40</f>
        <v>0</v>
      </c>
      <c r="H89" s="519">
        <f>H86-H40</f>
        <v>0</v>
      </c>
    </row>
  </sheetData>
  <autoFilter ref="A1:H89" xr:uid="{EA27BDAB-8E4E-4648-9AA9-DE353C961CF5}"/>
  <pageMargins left="0.7" right="0.7" top="0.75" bottom="0.75" header="0.3" footer="0.3"/>
  <pageSetup paperSize="9" scale="55" orientation="portrait" r:id="rId1"/>
  <colBreaks count="1" manualBreakCount="1">
    <brk id="10" max="87" man="1"/>
  </colBreaks>
  <ignoredErrors>
    <ignoredError sqref="B66:B67 B13:B21 B84:B86 B28:B34 B75:B81 B48:B60 E17:E31 E33" numberStoredAsText="1"/>
  </ignoredError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6067-D893-411E-921F-0CAE893FDCA2}">
  <dimension ref="A1:M84"/>
  <sheetViews>
    <sheetView view="pageBreakPreview" topLeftCell="A50" zoomScaleNormal="90" zoomScaleSheetLayoutView="100" workbookViewId="0">
      <selection activeCell="D79" sqref="D79"/>
    </sheetView>
  </sheetViews>
  <sheetFormatPr defaultRowHeight="12.75"/>
  <cols>
    <col min="1" max="1" width="9.42578125" customWidth="1"/>
    <col min="2" max="2" width="30.42578125" customWidth="1"/>
    <col min="3" max="3" width="48.42578125" customWidth="1"/>
    <col min="4" max="4" width="16.5703125" bestFit="1" customWidth="1"/>
    <col min="5" max="5" width="12.5703125" bestFit="1" customWidth="1"/>
    <col min="6" max="6" width="14.42578125" hidden="1" customWidth="1"/>
    <col min="8" max="8" width="12.5703125" style="519" bestFit="1" customWidth="1"/>
    <col min="9" max="9" width="10.5703125" bestFit="1" customWidth="1"/>
    <col min="11" max="11" width="11" bestFit="1" customWidth="1"/>
    <col min="12" max="12" width="23.42578125" customWidth="1"/>
    <col min="13" max="13" width="20.42578125" customWidth="1"/>
  </cols>
  <sheetData>
    <row r="1" spans="1:12" ht="15">
      <c r="B1" s="409" t="s">
        <v>667</v>
      </c>
      <c r="C1" s="410" t="s">
        <v>486</v>
      </c>
      <c r="D1" s="411"/>
      <c r="E1" s="411"/>
      <c r="F1" s="411"/>
      <c r="L1" s="649">
        <f>DATE</f>
        <v>44926</v>
      </c>
    </row>
    <row r="2" spans="1:12">
      <c r="B2" s="410" t="s">
        <v>668</v>
      </c>
      <c r="C2" s="410" t="s">
        <v>486</v>
      </c>
      <c r="D2" s="411"/>
      <c r="E2" s="411"/>
      <c r="F2" s="411"/>
      <c r="K2" s="657">
        <f>'Master Data (do not print)'!B23</f>
        <v>3.5190000000000001</v>
      </c>
      <c r="L2" s="510" t="s">
        <v>1091</v>
      </c>
    </row>
    <row r="3" spans="1:12">
      <c r="A3" s="853" t="s">
        <v>1404</v>
      </c>
      <c r="B3" s="853"/>
      <c r="C3" s="853"/>
      <c r="D3" s="411"/>
      <c r="E3" s="411"/>
      <c r="F3" s="411"/>
      <c r="K3" s="658">
        <f>'Master Data (do not print)'!B24</f>
        <v>3.7530000000000001</v>
      </c>
      <c r="L3" s="511" t="s">
        <v>1092</v>
      </c>
    </row>
    <row r="4" spans="1:12">
      <c r="B4" s="412" t="s">
        <v>486</v>
      </c>
      <c r="C4" s="410" t="s">
        <v>486</v>
      </c>
      <c r="D4" s="411"/>
      <c r="E4" s="411"/>
      <c r="F4" s="411"/>
      <c r="K4" s="507">
        <f>K3/K2</f>
        <v>1.0664961636828645</v>
      </c>
      <c r="L4" s="591" t="s">
        <v>1093</v>
      </c>
    </row>
    <row r="5" spans="1:12" ht="15">
      <c r="B5" s="409" t="s">
        <v>1023</v>
      </c>
      <c r="C5" s="410" t="s">
        <v>486</v>
      </c>
      <c r="D5" s="411"/>
      <c r="E5" s="411"/>
      <c r="F5" s="411"/>
    </row>
    <row r="6" spans="1:12">
      <c r="B6" s="412" t="s">
        <v>486</v>
      </c>
      <c r="C6" s="410" t="s">
        <v>486</v>
      </c>
      <c r="D6" s="411"/>
      <c r="E6" s="411"/>
      <c r="F6" s="411"/>
    </row>
    <row r="7" spans="1:12">
      <c r="B7" s="412" t="s">
        <v>484</v>
      </c>
      <c r="C7" s="410" t="s">
        <v>484</v>
      </c>
      <c r="D7" s="411" t="s">
        <v>484</v>
      </c>
      <c r="E7" s="411" t="s">
        <v>484</v>
      </c>
      <c r="F7" s="411" t="s">
        <v>484</v>
      </c>
    </row>
    <row r="8" spans="1:12">
      <c r="B8" s="412" t="s">
        <v>486</v>
      </c>
      <c r="C8" s="410" t="s">
        <v>486</v>
      </c>
      <c r="D8" s="411"/>
      <c r="E8" s="412" t="s">
        <v>490</v>
      </c>
      <c r="F8" s="412" t="s">
        <v>491</v>
      </c>
      <c r="H8" s="531" t="s">
        <v>117</v>
      </c>
    </row>
    <row r="9" spans="1:12">
      <c r="B9" s="412" t="s">
        <v>494</v>
      </c>
      <c r="C9" s="410" t="s">
        <v>495</v>
      </c>
      <c r="D9" s="412" t="s">
        <v>496</v>
      </c>
      <c r="E9" s="412" t="s">
        <v>496</v>
      </c>
      <c r="F9" s="412" t="s">
        <v>496</v>
      </c>
      <c r="H9" s="525"/>
    </row>
    <row r="10" spans="1:12">
      <c r="B10" s="412" t="s">
        <v>486</v>
      </c>
      <c r="C10" s="410" t="s">
        <v>486</v>
      </c>
      <c r="D10" s="411"/>
      <c r="E10" s="411"/>
      <c r="F10" s="411"/>
      <c r="H10" s="525"/>
    </row>
    <row r="11" spans="1:12" ht="15">
      <c r="B11" s="412" t="s">
        <v>486</v>
      </c>
      <c r="C11" s="409" t="s">
        <v>573</v>
      </c>
      <c r="D11" s="411"/>
      <c r="E11" s="411"/>
      <c r="F11" s="411"/>
      <c r="H11" s="525"/>
    </row>
    <row r="12" spans="1:12">
      <c r="A12">
        <v>7023</v>
      </c>
      <c r="B12" s="412" t="s">
        <v>572</v>
      </c>
      <c r="C12" s="410" t="s">
        <v>670</v>
      </c>
      <c r="D12" s="411"/>
      <c r="E12" s="779" t="s">
        <v>1392</v>
      </c>
      <c r="F12" s="411">
        <v>153998.81</v>
      </c>
      <c r="H12" s="526">
        <f>E12*$K$4</f>
        <v>477453.21521739132</v>
      </c>
    </row>
    <row r="13" spans="1:12">
      <c r="B13" s="412" t="s">
        <v>486</v>
      </c>
      <c r="C13" s="410" t="s">
        <v>486</v>
      </c>
      <c r="D13" s="411"/>
      <c r="E13" s="411"/>
      <c r="F13" s="411"/>
      <c r="H13" s="525"/>
    </row>
    <row r="14" spans="1:12" ht="30">
      <c r="B14" s="412" t="s">
        <v>486</v>
      </c>
      <c r="C14" s="413" t="s">
        <v>712</v>
      </c>
      <c r="D14" s="411"/>
      <c r="E14" s="411"/>
      <c r="F14" s="411"/>
      <c r="H14" s="525"/>
    </row>
    <row r="15" spans="1:12">
      <c r="A15">
        <v>7021</v>
      </c>
      <c r="B15" s="440" t="s">
        <v>1021</v>
      </c>
      <c r="C15" s="410" t="s">
        <v>714</v>
      </c>
      <c r="D15" s="411"/>
      <c r="E15" s="411"/>
      <c r="F15" s="411">
        <v>0</v>
      </c>
      <c r="H15" s="526">
        <f>E15*$K$4</f>
        <v>0</v>
      </c>
    </row>
    <row r="16" spans="1:12">
      <c r="B16" s="412" t="s">
        <v>486</v>
      </c>
      <c r="C16" s="410" t="s">
        <v>486</v>
      </c>
      <c r="D16" s="411"/>
      <c r="E16" s="411"/>
      <c r="F16" s="411"/>
      <c r="H16" s="525"/>
    </row>
    <row r="17" spans="1:8" ht="15">
      <c r="B17" s="412" t="s">
        <v>486</v>
      </c>
      <c r="C17" s="409" t="s">
        <v>577</v>
      </c>
      <c r="D17" s="411"/>
      <c r="E17" s="411"/>
      <c r="F17" s="411"/>
      <c r="H17" s="525"/>
    </row>
    <row r="18" spans="1:8">
      <c r="A18">
        <v>7020</v>
      </c>
      <c r="B18" s="412" t="s">
        <v>576</v>
      </c>
      <c r="C18" s="410" t="s">
        <v>577</v>
      </c>
      <c r="D18" s="411">
        <v>-139800</v>
      </c>
      <c r="E18" s="411"/>
      <c r="F18" s="411"/>
      <c r="H18" s="570">
        <f>D18*$K$4</f>
        <v>-149096.16368286446</v>
      </c>
    </row>
    <row r="19" spans="1:8">
      <c r="A19">
        <v>7020</v>
      </c>
      <c r="B19" s="412" t="s">
        <v>813</v>
      </c>
      <c r="C19" s="410" t="s">
        <v>1394</v>
      </c>
      <c r="D19" s="414">
        <v>-145286.79999999999</v>
      </c>
      <c r="F19" s="411">
        <v>-70333.31</v>
      </c>
      <c r="H19" s="571">
        <f>D19*$K$4</f>
        <v>-154947.81483375959</v>
      </c>
    </row>
    <row r="20" spans="1:8">
      <c r="B20" s="412" t="s">
        <v>486</v>
      </c>
      <c r="C20" s="410" t="s">
        <v>486</v>
      </c>
      <c r="D20" s="411"/>
      <c r="E20" s="425">
        <f>SUM(D18:D19)</f>
        <v>-285086.8</v>
      </c>
      <c r="F20" s="411"/>
      <c r="H20" s="527">
        <f>SUM(H18:H19)</f>
        <v>-304043.97851662408</v>
      </c>
    </row>
    <row r="21" spans="1:8" ht="45">
      <c r="B21" s="412" t="s">
        <v>486</v>
      </c>
      <c r="C21" s="413" t="s">
        <v>671</v>
      </c>
      <c r="D21" s="411"/>
      <c r="E21" s="411"/>
      <c r="F21" s="411"/>
      <c r="H21" s="528"/>
    </row>
    <row r="22" spans="1:8">
      <c r="A22">
        <v>7020</v>
      </c>
      <c r="B22" s="412" t="s">
        <v>579</v>
      </c>
      <c r="C22" s="410" t="s">
        <v>580</v>
      </c>
      <c r="D22" s="411">
        <v>-16651.400000000001</v>
      </c>
      <c r="E22" s="411"/>
      <c r="F22" s="411">
        <v>-11541.55</v>
      </c>
      <c r="H22" s="528">
        <f>D22*$K$4</f>
        <v>-17758.65421994885</v>
      </c>
    </row>
    <row r="23" spans="1:8">
      <c r="A23">
        <v>7020</v>
      </c>
      <c r="B23" s="412" t="s">
        <v>582</v>
      </c>
      <c r="C23" s="410" t="s">
        <v>672</v>
      </c>
      <c r="D23" s="735">
        <v>-102.17</v>
      </c>
      <c r="F23" s="411">
        <v>-156.19999999999999</v>
      </c>
      <c r="H23" s="529">
        <f>D23*$K$4</f>
        <v>-108.96391304347827</v>
      </c>
    </row>
    <row r="24" spans="1:8">
      <c r="B24" s="412" t="s">
        <v>486</v>
      </c>
      <c r="C24" s="410" t="s">
        <v>486</v>
      </c>
      <c r="D24" s="411"/>
      <c r="E24" s="411">
        <f>SUM(D22:D23)</f>
        <v>-16753.57</v>
      </c>
      <c r="F24" s="411"/>
      <c r="H24" s="527">
        <f>SUM(H22:H23)</f>
        <v>-17867.618132992327</v>
      </c>
    </row>
    <row r="25" spans="1:8" ht="30">
      <c r="B25" s="412" t="s">
        <v>486</v>
      </c>
      <c r="C25" s="413" t="s">
        <v>673</v>
      </c>
      <c r="D25" s="411"/>
      <c r="E25" s="411"/>
      <c r="F25" s="411"/>
      <c r="H25" s="528"/>
    </row>
    <row r="26" spans="1:8" ht="15">
      <c r="B26" s="412"/>
      <c r="C26" s="413"/>
      <c r="D26" s="411"/>
      <c r="E26" s="411"/>
      <c r="F26" s="411"/>
      <c r="H26" s="528"/>
    </row>
    <row r="27" spans="1:8">
      <c r="B27" s="412" t="s">
        <v>486</v>
      </c>
      <c r="C27" s="410" t="s">
        <v>486</v>
      </c>
      <c r="D27" s="411"/>
      <c r="E27" s="411"/>
      <c r="F27" s="411"/>
      <c r="H27" s="528"/>
    </row>
    <row r="28" spans="1:8" ht="75">
      <c r="B28" s="412" t="s">
        <v>486</v>
      </c>
      <c r="C28" s="413" t="s">
        <v>674</v>
      </c>
      <c r="D28" s="411"/>
      <c r="E28" s="411"/>
      <c r="F28" s="411"/>
      <c r="H28" s="528"/>
    </row>
    <row r="29" spans="1:8">
      <c r="A29" s="142">
        <v>7021</v>
      </c>
      <c r="B29" s="412" t="s">
        <v>586</v>
      </c>
      <c r="C29" s="410" t="s">
        <v>675</v>
      </c>
      <c r="D29" s="411"/>
      <c r="E29" s="411">
        <v>0</v>
      </c>
      <c r="F29" s="411">
        <v>-386.83</v>
      </c>
      <c r="H29" s="527">
        <f>E29*$K$4</f>
        <v>0</v>
      </c>
    </row>
    <row r="30" spans="1:8">
      <c r="A30">
        <v>7021</v>
      </c>
      <c r="B30" s="412">
        <v>4855</v>
      </c>
      <c r="C30" s="410" t="s">
        <v>1393</v>
      </c>
      <c r="D30" s="411">
        <v>-419.33</v>
      </c>
      <c r="F30" s="411"/>
      <c r="H30" s="570">
        <f>D30*$K$4</f>
        <v>-447.21383631713553</v>
      </c>
    </row>
    <row r="31" spans="1:8">
      <c r="B31" s="412"/>
      <c r="C31" s="410"/>
      <c r="D31" s="411"/>
      <c r="E31" s="411">
        <f>D30</f>
        <v>-419.33</v>
      </c>
      <c r="F31" s="411"/>
      <c r="H31" s="570"/>
    </row>
    <row r="32" spans="1:8">
      <c r="B32" s="412"/>
      <c r="C32" s="410"/>
      <c r="D32" s="411"/>
      <c r="E32" s="411"/>
      <c r="F32" s="411"/>
      <c r="H32" s="736">
        <f>H30+H29</f>
        <v>-447.21383631713553</v>
      </c>
    </row>
    <row r="33" spans="1:10" ht="15">
      <c r="B33" s="412" t="s">
        <v>486</v>
      </c>
      <c r="C33" s="409" t="s">
        <v>676</v>
      </c>
      <c r="D33" s="411"/>
      <c r="E33" s="411"/>
      <c r="F33" s="411"/>
      <c r="H33" s="528"/>
    </row>
    <row r="34" spans="1:10">
      <c r="A34">
        <v>7021</v>
      </c>
      <c r="B34" s="412" t="s">
        <v>589</v>
      </c>
      <c r="C34" s="410" t="s">
        <v>590</v>
      </c>
      <c r="D34" s="411">
        <v>0</v>
      </c>
      <c r="F34" s="411">
        <v>-5174.7299999999996</v>
      </c>
      <c r="H34" s="528">
        <f t="shared" ref="H34:H35" si="0">D34*$K$4</f>
        <v>0</v>
      </c>
    </row>
    <row r="35" spans="1:10">
      <c r="A35" s="142">
        <v>7021</v>
      </c>
      <c r="B35" s="440" t="s">
        <v>805</v>
      </c>
      <c r="C35" s="410" t="s">
        <v>806</v>
      </c>
      <c r="D35" s="411">
        <v>0</v>
      </c>
      <c r="E35" s="411">
        <v>0</v>
      </c>
      <c r="F35" s="411"/>
      <c r="H35" s="529">
        <f t="shared" si="0"/>
        <v>0</v>
      </c>
    </row>
    <row r="36" spans="1:10" ht="30">
      <c r="B36" s="412" t="s">
        <v>486</v>
      </c>
      <c r="C36" s="413" t="s">
        <v>743</v>
      </c>
      <c r="D36" s="411"/>
      <c r="E36" s="411"/>
      <c r="F36" s="411"/>
      <c r="H36" s="527">
        <f>SUM(H34:H35)</f>
        <v>0</v>
      </c>
    </row>
    <row r="37" spans="1:10">
      <c r="A37">
        <v>7054</v>
      </c>
      <c r="B37" s="412">
        <v>4360</v>
      </c>
      <c r="C37" s="410" t="s">
        <v>1099</v>
      </c>
      <c r="D37" s="411">
        <v>-99960</v>
      </c>
      <c r="E37" s="411"/>
      <c r="F37" s="411"/>
      <c r="H37" s="570">
        <f>D37*$K$4</f>
        <v>-106606.95652173914</v>
      </c>
    </row>
    <row r="38" spans="1:10">
      <c r="A38">
        <v>7020</v>
      </c>
      <c r="B38" s="412" t="s">
        <v>744</v>
      </c>
      <c r="C38" s="410" t="s">
        <v>745</v>
      </c>
      <c r="D38" s="411">
        <v>-168.28</v>
      </c>
      <c r="F38" s="411">
        <v>0</v>
      </c>
      <c r="H38" s="558">
        <f>D38*$K$4</f>
        <v>-179.46997442455245</v>
      </c>
    </row>
    <row r="39" spans="1:10">
      <c r="A39">
        <v>7020</v>
      </c>
      <c r="B39" s="142">
        <v>4397</v>
      </c>
      <c r="C39" s="410" t="s">
        <v>1024</v>
      </c>
      <c r="D39" s="411"/>
      <c r="E39" s="411">
        <v>0</v>
      </c>
      <c r="F39" s="411"/>
      <c r="H39" s="562">
        <f>E39*$K$4</f>
        <v>0</v>
      </c>
      <c r="J39" s="58"/>
    </row>
    <row r="40" spans="1:10">
      <c r="B40" s="412" t="s">
        <v>486</v>
      </c>
      <c r="C40" s="410" t="s">
        <v>486</v>
      </c>
      <c r="D40" s="411"/>
      <c r="E40" s="411">
        <f>D37+D38</f>
        <v>-100128.28</v>
      </c>
      <c r="F40" s="411"/>
      <c r="H40" s="527">
        <f>H37+H38</f>
        <v>-106786.42649616369</v>
      </c>
    </row>
    <row r="41" spans="1:10" ht="30">
      <c r="B41" s="412" t="s">
        <v>486</v>
      </c>
      <c r="C41" s="413" t="s">
        <v>677</v>
      </c>
      <c r="D41" s="411"/>
      <c r="E41" s="411"/>
      <c r="F41" s="411"/>
      <c r="H41" s="528"/>
    </row>
    <row r="42" spans="1:10">
      <c r="A42">
        <v>7026</v>
      </c>
      <c r="B42" s="142">
        <v>4600</v>
      </c>
      <c r="C42" s="410" t="s">
        <v>702</v>
      </c>
      <c r="D42" s="411">
        <v>-440</v>
      </c>
      <c r="E42" s="411"/>
      <c r="F42" s="411">
        <v>-27249.72</v>
      </c>
      <c r="H42" s="570">
        <f t="shared" ref="H42" si="1">D42*$K$4</f>
        <v>-469.25831202046038</v>
      </c>
    </row>
    <row r="43" spans="1:10">
      <c r="A43">
        <v>7026</v>
      </c>
      <c r="B43" s="142">
        <v>4655</v>
      </c>
      <c r="C43" s="410" t="s">
        <v>1025</v>
      </c>
      <c r="D43" s="729">
        <v>-4.5</v>
      </c>
      <c r="E43" s="411"/>
      <c r="F43" s="411">
        <v>-234.96</v>
      </c>
      <c r="H43" s="570">
        <f t="shared" ref="H43:H47" si="2">D43*$K$4</f>
        <v>-4.7992327365728897</v>
      </c>
    </row>
    <row r="44" spans="1:10">
      <c r="B44" s="412" t="s">
        <v>603</v>
      </c>
      <c r="C44" s="410" t="s">
        <v>604</v>
      </c>
      <c r="D44" s="411">
        <v>0</v>
      </c>
      <c r="E44" s="411"/>
      <c r="F44" s="411">
        <v>-937.19</v>
      </c>
      <c r="H44" s="570">
        <f t="shared" si="2"/>
        <v>0</v>
      </c>
    </row>
    <row r="45" spans="1:10">
      <c r="A45">
        <v>7025</v>
      </c>
      <c r="B45" s="412" t="s">
        <v>606</v>
      </c>
      <c r="C45" s="410" t="s">
        <v>607</v>
      </c>
      <c r="D45" s="411">
        <v>-3915.12</v>
      </c>
      <c r="E45" s="411"/>
      <c r="F45" s="411">
        <v>-1700.42</v>
      </c>
      <c r="H45" s="570">
        <f t="shared" si="2"/>
        <v>-4175.4604603580565</v>
      </c>
    </row>
    <row r="46" spans="1:10">
      <c r="A46">
        <v>7025</v>
      </c>
      <c r="B46" s="412" t="s">
        <v>609</v>
      </c>
      <c r="C46" s="410" t="s">
        <v>610</v>
      </c>
      <c r="D46" s="411">
        <v>0</v>
      </c>
      <c r="E46" s="411"/>
      <c r="F46" s="411">
        <v>-305</v>
      </c>
      <c r="H46" s="570">
        <f t="shared" si="2"/>
        <v>0</v>
      </c>
    </row>
    <row r="47" spans="1:10">
      <c r="A47">
        <v>7025</v>
      </c>
      <c r="B47" s="412" t="s">
        <v>612</v>
      </c>
      <c r="C47" s="410" t="s">
        <v>613</v>
      </c>
      <c r="D47" s="411">
        <v>-2355.7600000000002</v>
      </c>
      <c r="E47" s="411"/>
      <c r="F47" s="411">
        <v>-2245.81</v>
      </c>
      <c r="H47" s="570">
        <f t="shared" si="2"/>
        <v>-2512.4090025575451</v>
      </c>
    </row>
    <row r="48" spans="1:10">
      <c r="B48" s="412" t="s">
        <v>615</v>
      </c>
      <c r="C48" s="410" t="s">
        <v>616</v>
      </c>
      <c r="D48" s="414">
        <v>0</v>
      </c>
      <c r="E48" s="411">
        <f>SUM(D42:D48)</f>
        <v>-6715.38</v>
      </c>
      <c r="F48" s="411">
        <v>-612.6</v>
      </c>
      <c r="H48" s="562">
        <f>D48*$K$4</f>
        <v>0</v>
      </c>
    </row>
    <row r="49" spans="1:8">
      <c r="B49" s="412" t="s">
        <v>486</v>
      </c>
      <c r="C49" s="410" t="s">
        <v>486</v>
      </c>
      <c r="D49" s="411"/>
      <c r="E49" s="411"/>
      <c r="F49" s="411"/>
      <c r="H49" s="527">
        <f>SUM(H42:H48)</f>
        <v>-7161.9270076726352</v>
      </c>
    </row>
    <row r="50" spans="1:8" ht="30">
      <c r="B50" s="412" t="s">
        <v>486</v>
      </c>
      <c r="C50" s="413" t="s">
        <v>678</v>
      </c>
      <c r="D50" s="411"/>
      <c r="E50" s="411"/>
      <c r="F50" s="411"/>
      <c r="H50" s="528"/>
    </row>
    <row r="51" spans="1:8">
      <c r="B51" s="412" t="s">
        <v>619</v>
      </c>
      <c r="C51" s="410" t="s">
        <v>679</v>
      </c>
      <c r="D51" s="411"/>
      <c r="E51" s="411">
        <v>0</v>
      </c>
      <c r="F51" s="411">
        <v>-17280</v>
      </c>
      <c r="H51" s="528"/>
    </row>
    <row r="52" spans="1:8">
      <c r="B52" s="412" t="s">
        <v>486</v>
      </c>
      <c r="C52" s="410" t="s">
        <v>486</v>
      </c>
      <c r="D52" s="411"/>
      <c r="E52" s="411"/>
      <c r="F52" s="411"/>
      <c r="H52" s="528"/>
    </row>
    <row r="53" spans="1:8" ht="30">
      <c r="B53" s="412" t="s">
        <v>486</v>
      </c>
      <c r="C53" s="413" t="s">
        <v>680</v>
      </c>
      <c r="D53" s="411"/>
      <c r="E53" s="411"/>
      <c r="F53" s="411"/>
      <c r="H53" s="528"/>
    </row>
    <row r="54" spans="1:8">
      <c r="A54">
        <v>7021</v>
      </c>
      <c r="B54" s="412" t="s">
        <v>622</v>
      </c>
      <c r="C54" s="410" t="s">
        <v>623</v>
      </c>
      <c r="D54" s="592">
        <v>-1783.71</v>
      </c>
      <c r="E54" s="411"/>
      <c r="F54" s="411">
        <v>-239.5</v>
      </c>
      <c r="H54" s="528">
        <f>D54*$K$4</f>
        <v>-1902.3198721227623</v>
      </c>
    </row>
    <row r="55" spans="1:8">
      <c r="A55">
        <v>7021</v>
      </c>
      <c r="B55" s="412" t="s">
        <v>625</v>
      </c>
      <c r="C55" s="410" t="s">
        <v>626</v>
      </c>
      <c r="D55" s="411">
        <v>0</v>
      </c>
      <c r="E55" s="411"/>
      <c r="F55" s="411">
        <v>-648.57000000000005</v>
      </c>
      <c r="H55" s="528">
        <f t="shared" ref="H55:H56" si="3">D55*$K$4</f>
        <v>0</v>
      </c>
    </row>
    <row r="56" spans="1:8">
      <c r="A56">
        <v>7021</v>
      </c>
      <c r="B56" s="412" t="s">
        <v>628</v>
      </c>
      <c r="C56" s="410" t="s">
        <v>681</v>
      </c>
      <c r="D56" s="411">
        <v>0</v>
      </c>
      <c r="E56" s="411"/>
      <c r="F56" s="411">
        <v>-131.9</v>
      </c>
      <c r="H56" s="528">
        <f t="shared" si="3"/>
        <v>0</v>
      </c>
    </row>
    <row r="57" spans="1:8">
      <c r="A57">
        <v>7021</v>
      </c>
      <c r="B57" s="412" t="s">
        <v>630</v>
      </c>
      <c r="C57" s="410" t="s">
        <v>703</v>
      </c>
      <c r="D57" s="411">
        <v>-1220.42</v>
      </c>
      <c r="E57" s="411"/>
      <c r="F57" s="411">
        <v>-820</v>
      </c>
      <c r="H57" s="528">
        <f>D57*$K$4</f>
        <v>-1301.5732480818415</v>
      </c>
    </row>
    <row r="58" spans="1:8">
      <c r="A58">
        <v>7021</v>
      </c>
      <c r="B58" s="412" t="s">
        <v>633</v>
      </c>
      <c r="C58" s="410" t="s">
        <v>746</v>
      </c>
      <c r="D58" s="411">
        <v>-4114</v>
      </c>
      <c r="E58" s="411"/>
      <c r="F58" s="411"/>
      <c r="H58" s="528">
        <f>D58*$K$4</f>
        <v>-4387.5652173913049</v>
      </c>
    </row>
    <row r="59" spans="1:8">
      <c r="A59">
        <v>7021</v>
      </c>
      <c r="B59" s="412" t="s">
        <v>807</v>
      </c>
      <c r="C59" s="410" t="s">
        <v>808</v>
      </c>
      <c r="D59" s="411">
        <v>-3800</v>
      </c>
      <c r="E59" s="411"/>
      <c r="F59" s="411">
        <v>-2355.3000000000002</v>
      </c>
      <c r="H59" s="528">
        <f>D59*$K$4</f>
        <v>-4052.685421994885</v>
      </c>
    </row>
    <row r="60" spans="1:8">
      <c r="A60">
        <v>7021</v>
      </c>
      <c r="B60" s="412" t="s">
        <v>638</v>
      </c>
      <c r="C60" s="410" t="s">
        <v>639</v>
      </c>
      <c r="D60" s="411">
        <v>-434.73</v>
      </c>
      <c r="E60" s="411">
        <f>SUM(D54:D60)</f>
        <v>-11352.86</v>
      </c>
      <c r="F60" s="411">
        <v>-237.88</v>
      </c>
      <c r="H60" s="528">
        <f>D60*$K$4</f>
        <v>-463.63787723785168</v>
      </c>
    </row>
    <row r="61" spans="1:8">
      <c r="B61" s="412" t="s">
        <v>486</v>
      </c>
      <c r="C61" s="410" t="s">
        <v>486</v>
      </c>
      <c r="D61" s="411"/>
      <c r="E61" s="411"/>
      <c r="F61" s="411"/>
      <c r="H61" s="527">
        <f>SUM(H54:H60)</f>
        <v>-12107.781636828646</v>
      </c>
    </row>
    <row r="62" spans="1:8" ht="30">
      <c r="B62" s="412" t="s">
        <v>486</v>
      </c>
      <c r="C62" s="413" t="s">
        <v>1026</v>
      </c>
      <c r="D62" s="411"/>
      <c r="E62" s="411"/>
      <c r="F62" s="411"/>
      <c r="H62" s="527"/>
    </row>
    <row r="63" spans="1:8" s="99" customFormat="1">
      <c r="A63" s="99">
        <v>7900</v>
      </c>
      <c r="B63" s="277">
        <v>2650</v>
      </c>
      <c r="C63" s="555" t="s">
        <v>1027</v>
      </c>
      <c r="E63" s="590">
        <v>0</v>
      </c>
      <c r="F63" s="590"/>
      <c r="H63" s="570">
        <f>E63*$K$4</f>
        <v>0</v>
      </c>
    </row>
    <row r="64" spans="1:8">
      <c r="B64" s="412"/>
      <c r="C64" s="410"/>
      <c r="D64" s="411"/>
      <c r="E64" s="411"/>
      <c r="F64" s="411"/>
      <c r="H64" s="527"/>
    </row>
    <row r="65" spans="1:13">
      <c r="B65" s="412"/>
      <c r="C65" s="410"/>
      <c r="D65" s="411"/>
      <c r="E65" s="411"/>
      <c r="F65" s="411"/>
      <c r="H65" s="527"/>
    </row>
    <row r="66" spans="1:13">
      <c r="A66">
        <v>7901</v>
      </c>
      <c r="B66" s="412">
        <v>9004</v>
      </c>
      <c r="C66" s="410" t="s">
        <v>470</v>
      </c>
      <c r="D66" s="411"/>
      <c r="E66" s="411"/>
      <c r="F66" s="411"/>
      <c r="H66" s="527">
        <f>-('GMBH BS 31.12.2022'!J48+'GMBH BS 31.12.2022'!J51)</f>
        <v>-3237.8159335038363</v>
      </c>
    </row>
    <row r="67" spans="1:13">
      <c r="B67" s="412"/>
      <c r="C67" s="410"/>
      <c r="D67" s="411"/>
      <c r="E67" s="411"/>
      <c r="F67" s="411"/>
      <c r="H67" s="527"/>
    </row>
    <row r="68" spans="1:13" ht="30">
      <c r="B68" s="412" t="s">
        <v>486</v>
      </c>
      <c r="C68" s="413" t="s">
        <v>783</v>
      </c>
      <c r="D68" s="411"/>
      <c r="E68" s="411"/>
      <c r="F68" s="411"/>
      <c r="H68" s="528"/>
    </row>
    <row r="69" spans="1:13">
      <c r="A69">
        <v>7901</v>
      </c>
      <c r="B69" s="412" t="s">
        <v>784</v>
      </c>
      <c r="C69" s="410" t="s">
        <v>785</v>
      </c>
      <c r="D69" s="411"/>
      <c r="E69" s="411">
        <v>0</v>
      </c>
      <c r="F69" s="411">
        <v>0</v>
      </c>
      <c r="H69" s="527">
        <f>E69*$K$4</f>
        <v>0</v>
      </c>
    </row>
    <row r="70" spans="1:13">
      <c r="B70" s="412" t="s">
        <v>486</v>
      </c>
      <c r="C70" s="410" t="s">
        <v>486</v>
      </c>
      <c r="D70" s="411"/>
      <c r="E70" s="411"/>
      <c r="F70" s="411"/>
      <c r="H70" s="528"/>
    </row>
    <row r="71" spans="1:13" ht="15">
      <c r="B71" s="412" t="s">
        <v>486</v>
      </c>
      <c r="C71" s="409" t="s">
        <v>748</v>
      </c>
      <c r="D71" s="411"/>
      <c r="E71" s="411"/>
      <c r="F71" s="411"/>
      <c r="H71" s="528"/>
    </row>
    <row r="72" spans="1:13">
      <c r="A72">
        <v>7028</v>
      </c>
      <c r="B72" s="412" t="s">
        <v>762</v>
      </c>
      <c r="C72" s="410" t="s">
        <v>749</v>
      </c>
      <c r="D72" s="411">
        <v>-4084</v>
      </c>
      <c r="E72" s="411"/>
      <c r="F72" s="411">
        <v>0</v>
      </c>
      <c r="H72" s="528">
        <f>D72*$K$4</f>
        <v>-4355.5703324808183</v>
      </c>
    </row>
    <row r="73" spans="1:13">
      <c r="A73">
        <v>7028</v>
      </c>
      <c r="B73" s="412" t="s">
        <v>801</v>
      </c>
      <c r="C73" s="410" t="s">
        <v>802</v>
      </c>
      <c r="D73" s="411">
        <v>-224.62</v>
      </c>
      <c r="E73" s="411"/>
      <c r="F73" s="411"/>
      <c r="H73" s="528">
        <f>D73*$K$4</f>
        <v>-239.55636828644504</v>
      </c>
    </row>
    <row r="74" spans="1:13">
      <c r="A74">
        <v>7028</v>
      </c>
      <c r="B74" s="412">
        <v>2281</v>
      </c>
      <c r="C74" s="410" t="s">
        <v>1402</v>
      </c>
      <c r="D74" s="411">
        <v>-583.5</v>
      </c>
      <c r="E74" s="411"/>
      <c r="F74" s="411"/>
      <c r="H74" s="528">
        <f>D74*$K$4</f>
        <v>-622.30051150895144</v>
      </c>
    </row>
    <row r="75" spans="1:13">
      <c r="A75">
        <v>7028</v>
      </c>
      <c r="B75" s="412" t="s">
        <v>809</v>
      </c>
      <c r="C75" s="410" t="s">
        <v>810</v>
      </c>
      <c r="D75" s="414">
        <v>-4665</v>
      </c>
      <c r="E75" s="411">
        <f>SUM(D72:D75)</f>
        <v>-9557.119999999999</v>
      </c>
      <c r="F75" s="411"/>
      <c r="H75" s="528">
        <f>D75*$K$4</f>
        <v>-4975.2046035805624</v>
      </c>
    </row>
    <row r="76" spans="1:13">
      <c r="B76" s="412" t="s">
        <v>486</v>
      </c>
      <c r="C76" s="410" t="s">
        <v>486</v>
      </c>
      <c r="D76" s="411"/>
      <c r="E76" s="411"/>
      <c r="F76" s="414"/>
      <c r="H76" s="562">
        <f>SUM(H72:H75)</f>
        <v>-10192.631815856777</v>
      </c>
    </row>
    <row r="77" spans="1:13">
      <c r="B77" s="412" t="s">
        <v>486</v>
      </c>
      <c r="C77" s="410" t="s">
        <v>486</v>
      </c>
      <c r="D77" s="411"/>
      <c r="E77" s="411"/>
      <c r="F77" s="411"/>
      <c r="H77" s="525"/>
    </row>
    <row r="78" spans="1:13" ht="30">
      <c r="B78" s="412" t="s">
        <v>486</v>
      </c>
      <c r="C78" s="413" t="s">
        <v>545</v>
      </c>
      <c r="D78" s="411"/>
      <c r="E78" s="411"/>
      <c r="F78" s="411"/>
      <c r="H78" s="525"/>
    </row>
    <row r="79" spans="1:13">
      <c r="B79" s="412" t="s">
        <v>486</v>
      </c>
      <c r="C79" s="410" t="s">
        <v>546</v>
      </c>
      <c r="D79" s="411">
        <f>E12+E20+E24+E48+E60+E75+E40+E31</f>
        <v>17670.610000000015</v>
      </c>
      <c r="E79" s="411"/>
      <c r="F79" s="411">
        <v>11407.34</v>
      </c>
      <c r="H79" s="526">
        <f>H12+H15+H20+H24+H40+H49+H61+H63+H66+H76+H32</f>
        <v>15607.821841432189</v>
      </c>
      <c r="I79" s="285">
        <f>D79*K4+H66-H79</f>
        <v>5.0931703299283981E-11</v>
      </c>
      <c r="L79" s="99"/>
      <c r="M79" s="746"/>
    </row>
    <row r="80" spans="1:13" ht="13.5" thickBot="1">
      <c r="B80" s="412" t="s">
        <v>486</v>
      </c>
      <c r="C80" s="410" t="s">
        <v>486</v>
      </c>
      <c r="D80" s="411"/>
      <c r="E80" s="415"/>
      <c r="F80" s="415"/>
      <c r="H80" s="530"/>
    </row>
    <row r="81" spans="4:4" ht="13.5" thickTop="1"/>
    <row r="84" spans="4:4">
      <c r="D84" s="504"/>
    </row>
  </sheetData>
  <mergeCells count="1">
    <mergeCell ref="A3:C3"/>
  </mergeCells>
  <pageMargins left="0.7" right="0.7" top="0.75" bottom="0.75" header="0.3" footer="0.3"/>
  <pageSetup paperSize="9" scale="47" orientation="portrait" r:id="rId1"/>
  <ignoredErrors>
    <ignoredError sqref="B75:B78 B40:B41 B38 B44:B61 B27:B29 E12 B12:B25 B33:B36 B68:B73" numberStoredAsText="1"/>
    <ignoredError sqref="H36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9">
    <pageSetUpPr fitToPage="1"/>
  </sheetPr>
  <dimension ref="A1:AU137"/>
  <sheetViews>
    <sheetView view="pageBreakPreview" zoomScaleNormal="85" zoomScaleSheetLayoutView="100" workbookViewId="0">
      <pane xSplit="1" ySplit="2" topLeftCell="B23" activePane="bottomRight" state="frozen"/>
      <selection activeCell="F335" sqref="F335"/>
      <selection pane="topRight" activeCell="F335" sqref="F335"/>
      <selection pane="bottomLeft" activeCell="F335" sqref="F335"/>
      <selection pane="bottomRight" activeCell="B45" sqref="B45"/>
    </sheetView>
  </sheetViews>
  <sheetFormatPr defaultColWidth="9.42578125" defaultRowHeight="12.75"/>
  <cols>
    <col min="1" max="1" width="5.5703125" style="147" customWidth="1"/>
    <col min="2" max="2" width="10" style="136" customWidth="1"/>
    <col min="3" max="3" width="47.42578125" style="138" bestFit="1" customWidth="1"/>
    <col min="4" max="4" width="15.5703125" style="131" customWidth="1"/>
    <col min="5" max="5" width="13.42578125" style="131" bestFit="1" customWidth="1"/>
    <col min="6" max="6" width="18.42578125" style="131" hidden="1" customWidth="1"/>
    <col min="7" max="7" width="13" style="131" hidden="1" customWidth="1"/>
    <col min="8" max="8" width="77.42578125" style="139" bestFit="1" customWidth="1"/>
    <col min="9" max="9" width="45.42578125" style="58" bestFit="1" customWidth="1"/>
    <col min="10" max="10" width="16" style="140" customWidth="1"/>
    <col min="11" max="11" width="18.42578125" style="140" customWidth="1"/>
    <col min="12" max="12" width="12.42578125" style="271" bestFit="1" customWidth="1"/>
    <col min="13" max="16384" width="9.42578125" style="58"/>
  </cols>
  <sheetData>
    <row r="1" spans="1:47" ht="18">
      <c r="B1" s="135"/>
      <c r="C1" s="144"/>
      <c r="D1" s="133">
        <f>SUM(D3:D194)</f>
        <v>1060950.0109702174</v>
      </c>
      <c r="E1" s="133">
        <f>SUM(E3:E194)</f>
        <v>1060951.0109702174</v>
      </c>
      <c r="F1" s="133">
        <f>SUM(F3:F194)</f>
        <v>2321</v>
      </c>
      <c r="G1" s="133">
        <f>SUM(G3:G194)</f>
        <v>0</v>
      </c>
      <c r="H1" s="58"/>
      <c r="I1" s="140"/>
      <c r="J1" s="58"/>
    </row>
    <row r="2" spans="1:47">
      <c r="A2" s="136" t="s">
        <v>98</v>
      </c>
      <c r="B2" s="136" t="s">
        <v>99</v>
      </c>
      <c r="C2" s="145" t="s">
        <v>100</v>
      </c>
      <c r="D2" s="134" t="s">
        <v>101</v>
      </c>
      <c r="E2" s="134" t="s">
        <v>102</v>
      </c>
      <c r="F2" s="133" t="s">
        <v>123</v>
      </c>
      <c r="G2" s="133" t="s">
        <v>122</v>
      </c>
      <c r="H2" s="141" t="s">
        <v>231</v>
      </c>
    </row>
    <row r="3" spans="1:47">
      <c r="H3" s="275"/>
      <c r="I3" s="205"/>
      <c r="AU3" s="58" t="s">
        <v>11</v>
      </c>
    </row>
    <row r="4" spans="1:47">
      <c r="A4" s="314">
        <v>1</v>
      </c>
      <c r="B4" s="137">
        <v>9410</v>
      </c>
      <c r="C4" s="138" t="str">
        <f>VLOOKUP(B4,SAP!A:B,2,0)</f>
        <v>Opening Retained Earnings (Deficit)</v>
      </c>
      <c r="E4" s="131">
        <f>2322-241</f>
        <v>2081</v>
      </c>
      <c r="F4" s="131">
        <v>2321</v>
      </c>
    </row>
    <row r="5" spans="1:47">
      <c r="B5" s="136">
        <v>7901</v>
      </c>
      <c r="C5" s="138" t="str">
        <f>VLOOKUP(B5,SAP!A:B,2,0)</f>
        <v>Exchange difference rate</v>
      </c>
      <c r="D5" s="131">
        <f>E4</f>
        <v>2081</v>
      </c>
      <c r="H5" s="141"/>
      <c r="AU5" s="58">
        <v>52986</v>
      </c>
    </row>
    <row r="6" spans="1:47">
      <c r="H6" s="141"/>
    </row>
    <row r="7" spans="1:47">
      <c r="AU7" s="58">
        <v>15114299</v>
      </c>
    </row>
    <row r="8" spans="1:47">
      <c r="AU8" s="58">
        <v>44500</v>
      </c>
    </row>
    <row r="9" spans="1:47">
      <c r="A9" s="655">
        <v>2</v>
      </c>
      <c r="B9" s="136">
        <v>7023</v>
      </c>
      <c r="C9" s="138" t="str">
        <f>VLOOKUP(B9,SAP!A:B,2,0)</f>
        <v>Subcontructors GMBH</v>
      </c>
      <c r="E9" s="131">
        <f>-SAP!C38-SAP!D38</f>
        <v>-11375.21521739132</v>
      </c>
      <c r="H9" s="505" t="s">
        <v>1090</v>
      </c>
      <c r="AU9" s="58" t="s">
        <v>11</v>
      </c>
    </row>
    <row r="10" spans="1:47">
      <c r="B10" s="136">
        <v>7901</v>
      </c>
      <c r="C10" s="138" t="str">
        <f>VLOOKUP(B10,SAP!A:B,2,0)</f>
        <v>Exchange difference rate</v>
      </c>
      <c r="D10" s="569">
        <f>E9</f>
        <v>-11375.21521739132</v>
      </c>
      <c r="AU10" s="58">
        <v>0</v>
      </c>
    </row>
    <row r="11" spans="1:47">
      <c r="I11" s="205"/>
      <c r="AU11" s="58">
        <v>4276</v>
      </c>
    </row>
    <row r="12" spans="1:47">
      <c r="A12" s="655">
        <v>3</v>
      </c>
      <c r="B12" s="136">
        <v>1351</v>
      </c>
      <c r="C12" s="138" t="str">
        <f>VLOOKUP(B12,SAP!A:B,2,0)</f>
        <v>Related company</v>
      </c>
      <c r="E12" s="131">
        <f>-SAP!D6</f>
        <v>238143.0795652174</v>
      </c>
      <c r="H12" s="505" t="s">
        <v>1090</v>
      </c>
      <c r="AU12" s="58">
        <v>23516</v>
      </c>
    </row>
    <row r="13" spans="1:47">
      <c r="B13" s="136">
        <v>2686</v>
      </c>
      <c r="C13" s="138" t="str">
        <f>VLOOKUP(B13,SAP!A:B,2,0)</f>
        <v>Related company</v>
      </c>
      <c r="D13" s="131">
        <f>SAP!C23</f>
        <v>234727</v>
      </c>
      <c r="H13" s="141"/>
      <c r="AU13" s="58">
        <v>14869</v>
      </c>
    </row>
    <row r="14" spans="1:47">
      <c r="B14" s="136">
        <v>7901</v>
      </c>
      <c r="C14" s="138" t="str">
        <f>VLOOKUP(B14,SAP!A:B,2,0)</f>
        <v>Exchange difference rate</v>
      </c>
      <c r="D14" s="131">
        <f>E12-D13</f>
        <v>3416.0795652173983</v>
      </c>
      <c r="H14" s="229"/>
      <c r="AU14" s="58">
        <v>26154</v>
      </c>
    </row>
    <row r="15" spans="1:47">
      <c r="H15" s="229"/>
    </row>
    <row r="16" spans="1:47">
      <c r="H16" s="229"/>
    </row>
    <row r="17" spans="1:47">
      <c r="A17" s="655">
        <v>4</v>
      </c>
      <c r="B17" s="136">
        <v>7054</v>
      </c>
      <c r="C17" s="138" t="str">
        <f>VLOOKUP(B17,SAP!A:B,2,0)</f>
        <v>Insurance</v>
      </c>
      <c r="E17" s="131">
        <f>D18</f>
        <v>-1180.7231600240411</v>
      </c>
      <c r="H17" s="505" t="s">
        <v>1130</v>
      </c>
    </row>
    <row r="18" spans="1:47">
      <c r="B18" s="136">
        <v>1354</v>
      </c>
      <c r="C18" s="138" t="str">
        <f>VLOOKUP(B18,SAP!A:B,2,0)</f>
        <v>Prepaid expenses</v>
      </c>
      <c r="D18" s="131">
        <f>'Prepaid expenses'!K9</f>
        <v>-1180.7231600240411</v>
      </c>
      <c r="H18" s="229"/>
    </row>
    <row r="19" spans="1:47">
      <c r="H19" s="229"/>
    </row>
    <row r="20" spans="1:47">
      <c r="H20" s="229"/>
    </row>
    <row r="21" spans="1:47">
      <c r="A21" s="655">
        <v>5</v>
      </c>
      <c r="B21" s="136">
        <v>7020</v>
      </c>
      <c r="C21" s="138" t="str">
        <f>VLOOKUP(B21,SAP!A:B,2,0)</f>
        <v>Salaries and social benefits</v>
      </c>
      <c r="E21" s="131">
        <v>154682</v>
      </c>
      <c r="H21" s="505" t="s">
        <v>1395</v>
      </c>
      <c r="I21" s="205" t="s">
        <v>1396</v>
      </c>
    </row>
    <row r="22" spans="1:47">
      <c r="B22" s="136">
        <v>9410</v>
      </c>
      <c r="C22" s="138" t="str">
        <f>VLOOKUP(B22,SAP!A:B,2,0)</f>
        <v>Opening Retained Earnings (Deficit)</v>
      </c>
      <c r="D22" s="131">
        <f>E21</f>
        <v>154682</v>
      </c>
      <c r="H22" s="229"/>
    </row>
    <row r="23" spans="1:47">
      <c r="H23" s="229"/>
    </row>
    <row r="24" spans="1:47">
      <c r="B24" s="136">
        <v>7901</v>
      </c>
      <c r="C24" s="138" t="str">
        <f>VLOOKUP(B24,SAP!A:B,2,0)</f>
        <v>Exchange difference rate</v>
      </c>
      <c r="D24" s="131">
        <v>-1</v>
      </c>
      <c r="H24" s="229"/>
    </row>
    <row r="25" spans="1:47">
      <c r="B25" s="136">
        <v>2685</v>
      </c>
      <c r="C25" s="138" t="str">
        <f>VLOOKUP(B25,SAP!A:B,2,0)</f>
        <v>Employees</v>
      </c>
      <c r="H25" s="229"/>
    </row>
    <row r="26" spans="1:47">
      <c r="H26" s="229"/>
    </row>
    <row r="27" spans="1:47" s="647" customFormat="1">
      <c r="A27" s="737"/>
      <c r="B27" s="738"/>
      <c r="C27" s="739"/>
      <c r="D27" s="740"/>
      <c r="E27" s="740"/>
      <c r="F27" s="740"/>
      <c r="G27" s="740"/>
      <c r="H27" s="741"/>
      <c r="J27" s="646"/>
      <c r="K27" s="646"/>
      <c r="L27" s="742"/>
    </row>
    <row r="28" spans="1:47">
      <c r="AU28" s="58">
        <v>0</v>
      </c>
    </row>
    <row r="29" spans="1:47">
      <c r="A29" s="717"/>
      <c r="I29" s="719"/>
      <c r="AU29" s="58">
        <v>13953</v>
      </c>
    </row>
    <row r="30" spans="1:47">
      <c r="A30" s="720">
        <v>6</v>
      </c>
      <c r="B30" s="136">
        <v>1842</v>
      </c>
      <c r="C30" s="138" t="str">
        <f>VLOOKUP(B30,SAP!A:B,2,0)</f>
        <v>Investment in subsidiary</v>
      </c>
      <c r="D30" s="131">
        <v>154947.81483375959</v>
      </c>
      <c r="H30" s="505" t="s">
        <v>1405</v>
      </c>
      <c r="I30" s="718" t="s">
        <v>1022</v>
      </c>
      <c r="AU30" s="58">
        <v>253871</v>
      </c>
    </row>
    <row r="31" spans="1:47">
      <c r="A31" s="137"/>
      <c r="B31" s="137">
        <v>7020</v>
      </c>
      <c r="C31" s="138" t="str">
        <f>VLOOKUP(B31,SAP!A:B,2,0)</f>
        <v>Salaries and social benefits</v>
      </c>
      <c r="E31" s="131">
        <f>D30</f>
        <v>154947.81483375959</v>
      </c>
      <c r="H31" s="275"/>
      <c r="I31" s="205"/>
    </row>
    <row r="32" spans="1:47">
      <c r="H32" s="743"/>
      <c r="I32" s="205" t="s">
        <v>1406</v>
      </c>
      <c r="AU32" s="58">
        <v>44500</v>
      </c>
    </row>
    <row r="33" spans="1:47">
      <c r="AU33" s="58">
        <v>44500</v>
      </c>
    </row>
    <row r="34" spans="1:47">
      <c r="A34" s="137"/>
      <c r="B34" s="137"/>
      <c r="H34" s="275"/>
      <c r="I34" s="205"/>
      <c r="AU34" s="58" t="s">
        <v>11</v>
      </c>
    </row>
    <row r="35" spans="1:47">
      <c r="A35" s="137"/>
      <c r="B35" s="137"/>
      <c r="H35" s="275"/>
      <c r="I35" s="205"/>
    </row>
    <row r="36" spans="1:47">
      <c r="A36" s="137"/>
      <c r="B36" s="137"/>
      <c r="H36" s="275" t="s">
        <v>1414</v>
      </c>
      <c r="I36" s="205"/>
    </row>
    <row r="37" spans="1:47">
      <c r="A37" s="137"/>
      <c r="B37" s="137"/>
      <c r="H37" s="275"/>
      <c r="I37" s="205"/>
    </row>
    <row r="38" spans="1:47">
      <c r="A38" s="720">
        <v>7</v>
      </c>
      <c r="B38" s="137">
        <v>1410</v>
      </c>
      <c r="C38" s="138" t="str">
        <f>VLOOKUP(B38,SAP!A:B,2,0)</f>
        <v>Leased property under capital lease, net</v>
      </c>
      <c r="D38" s="131">
        <v>300242.05494865571</v>
      </c>
      <c r="H38" s="275" t="s">
        <v>1419</v>
      </c>
      <c r="I38" s="205"/>
    </row>
    <row r="39" spans="1:47">
      <c r="A39" s="137"/>
      <c r="B39" s="137">
        <v>3010</v>
      </c>
      <c r="C39" s="138" t="str">
        <f>VLOOKUP(B39,SAP!A:B,2,0)</f>
        <v>Long Term Lease</v>
      </c>
      <c r="E39" s="131">
        <f>D38</f>
        <v>300242.05494865571</v>
      </c>
      <c r="H39" s="275"/>
      <c r="I39" s="205"/>
    </row>
    <row r="40" spans="1:47">
      <c r="A40" s="137"/>
      <c r="B40" s="137"/>
      <c r="H40" s="275"/>
      <c r="I40" s="205"/>
    </row>
    <row r="41" spans="1:47">
      <c r="A41" s="137"/>
      <c r="B41" s="137"/>
      <c r="H41" s="275"/>
      <c r="I41" s="205"/>
    </row>
    <row r="42" spans="1:47">
      <c r="A42" s="137"/>
      <c r="B42" s="137"/>
      <c r="H42" s="275"/>
      <c r="I42" s="205"/>
    </row>
    <row r="43" spans="1:47">
      <c r="A43" s="720">
        <v>8</v>
      </c>
      <c r="B43" s="137">
        <v>3010</v>
      </c>
      <c r="C43" s="138" t="str">
        <f>VLOOKUP(B43,SAP!A:B,2,0)</f>
        <v>Long Term Lease</v>
      </c>
      <c r="D43" s="131">
        <v>149136</v>
      </c>
      <c r="H43" s="275" t="s">
        <v>1415</v>
      </c>
      <c r="I43" s="205"/>
    </row>
    <row r="44" spans="1:47">
      <c r="A44" s="137"/>
      <c r="B44" s="137">
        <v>2630</v>
      </c>
      <c r="C44" s="138" t="str">
        <f>VLOOKUP(B44,SAP!A:B,2,0)</f>
        <v>Current maturities of obligation under capital lease</v>
      </c>
      <c r="E44" s="131">
        <f>D43</f>
        <v>149136</v>
      </c>
      <c r="H44" s="275"/>
      <c r="I44" s="205"/>
      <c r="AU44" s="58">
        <v>78285</v>
      </c>
    </row>
    <row r="45" spans="1:47">
      <c r="A45" s="137"/>
      <c r="B45" s="137"/>
      <c r="H45" s="275"/>
      <c r="I45" s="205"/>
      <c r="AU45" s="58">
        <v>13689</v>
      </c>
    </row>
    <row r="46" spans="1:47">
      <c r="B46" s="276"/>
      <c r="D46" s="150"/>
      <c r="E46" s="150"/>
      <c r="F46" s="148"/>
      <c r="G46" s="148"/>
      <c r="H46" s="146"/>
      <c r="I46" s="204"/>
      <c r="AU46" s="58">
        <v>91974</v>
      </c>
    </row>
    <row r="47" spans="1:47">
      <c r="B47" s="276"/>
      <c r="D47" s="150"/>
      <c r="E47" s="150"/>
      <c r="F47" s="148"/>
      <c r="G47" s="148"/>
      <c r="H47" s="146"/>
      <c r="I47" s="204"/>
    </row>
    <row r="48" spans="1:47">
      <c r="A48" s="655">
        <v>9</v>
      </c>
      <c r="B48" s="276">
        <v>1410</v>
      </c>
      <c r="C48" s="138" t="str">
        <f>VLOOKUP(B48,SAP!A:B,2,0)</f>
        <v>Leased property under capital lease, net</v>
      </c>
      <c r="D48" s="150"/>
      <c r="E48" s="131">
        <v>74275</v>
      </c>
      <c r="F48" s="148"/>
      <c r="G48" s="148"/>
      <c r="H48" s="146" t="s">
        <v>1417</v>
      </c>
      <c r="I48" s="204" t="s">
        <v>1418</v>
      </c>
    </row>
    <row r="49" spans="2:47">
      <c r="B49" s="276">
        <v>3010</v>
      </c>
      <c r="C49" s="138" t="str">
        <f>VLOOKUP(B49,SAP!A:B,2,0)</f>
        <v>Long Term Lease</v>
      </c>
      <c r="D49" s="131">
        <v>75752</v>
      </c>
      <c r="E49" s="150"/>
      <c r="F49" s="148"/>
      <c r="G49" s="148"/>
      <c r="H49" s="146"/>
      <c r="I49" s="204"/>
    </row>
    <row r="50" spans="2:47">
      <c r="B50" s="276">
        <v>7901</v>
      </c>
      <c r="C50" s="138" t="str">
        <f>VLOOKUP(B50,SAP!A:B,2,0)</f>
        <v>Exchange difference rate</v>
      </c>
      <c r="D50" s="131">
        <f>E48-D49-D51</f>
        <v>-3377</v>
      </c>
      <c r="E50" s="150"/>
      <c r="F50" s="148"/>
      <c r="G50" s="148"/>
      <c r="H50" s="146"/>
      <c r="I50" s="204"/>
    </row>
    <row r="51" spans="2:47">
      <c r="B51" s="221">
        <v>7900</v>
      </c>
      <c r="C51" s="138" t="str">
        <f>VLOOKUP(B51,SAP!A:B,2,0)</f>
        <v>Bank commission and interest</v>
      </c>
      <c r="D51" s="131">
        <v>1900</v>
      </c>
      <c r="H51" s="275"/>
      <c r="I51" s="140"/>
      <c r="J51" s="271"/>
      <c r="K51" s="302"/>
      <c r="L51" s="58"/>
      <c r="AU51" s="58">
        <v>0</v>
      </c>
    </row>
    <row r="52" spans="2:47">
      <c r="B52" s="264"/>
    </row>
    <row r="53" spans="2:47">
      <c r="B53" s="221"/>
      <c r="H53" s="275"/>
    </row>
    <row r="54" spans="2:47">
      <c r="B54" s="221"/>
      <c r="AU54" s="58">
        <v>44500</v>
      </c>
    </row>
    <row r="55" spans="2:47">
      <c r="B55" s="230"/>
      <c r="AU55" s="58">
        <v>44500</v>
      </c>
    </row>
    <row r="56" spans="2:47">
      <c r="B56" s="149"/>
      <c r="AU56" s="58" t="s">
        <v>11</v>
      </c>
    </row>
    <row r="57" spans="2:47">
      <c r="B57" s="221"/>
      <c r="H57" s="275"/>
      <c r="AU57" s="58">
        <v>351042</v>
      </c>
    </row>
    <row r="58" spans="2:47">
      <c r="B58" s="221"/>
      <c r="AU58" s="58">
        <v>569612</v>
      </c>
    </row>
    <row r="59" spans="2:47">
      <c r="B59" s="221"/>
      <c r="AU59" s="58">
        <v>0</v>
      </c>
    </row>
    <row r="60" spans="2:47">
      <c r="B60" s="221"/>
      <c r="H60" s="146"/>
      <c r="AU60" s="58">
        <v>132452</v>
      </c>
    </row>
    <row r="61" spans="2:47">
      <c r="B61" s="221"/>
      <c r="H61" s="275"/>
      <c r="K61" s="270"/>
      <c r="AU61" s="58">
        <v>240</v>
      </c>
    </row>
    <row r="62" spans="2:47">
      <c r="B62" s="265"/>
      <c r="AU62" s="58">
        <v>0</v>
      </c>
    </row>
    <row r="63" spans="2:47">
      <c r="B63" s="276"/>
      <c r="AU63" s="58">
        <v>1053346</v>
      </c>
    </row>
    <row r="64" spans="2:47">
      <c r="B64" s="230"/>
    </row>
    <row r="65" spans="2:47">
      <c r="AU65" s="58">
        <v>0</v>
      </c>
    </row>
    <row r="66" spans="2:47">
      <c r="B66" s="137"/>
      <c r="H66" s="275"/>
    </row>
    <row r="67" spans="2:47">
      <c r="B67" s="137"/>
      <c r="H67" s="229"/>
      <c r="AU67" s="58">
        <v>44500</v>
      </c>
    </row>
    <row r="68" spans="2:47">
      <c r="AU68" s="58">
        <v>44500</v>
      </c>
    </row>
    <row r="69" spans="2:47">
      <c r="AU69" s="58" t="s">
        <v>11</v>
      </c>
    </row>
    <row r="70" spans="2:47">
      <c r="AU70" s="58">
        <v>1859</v>
      </c>
    </row>
    <row r="71" spans="2:47">
      <c r="AU71" s="58">
        <v>1859</v>
      </c>
    </row>
    <row r="72" spans="2:47">
      <c r="AU72" s="58">
        <v>0</v>
      </c>
    </row>
    <row r="78" spans="2:47" hidden="1"/>
    <row r="79" spans="2:47" hidden="1"/>
    <row r="80" spans="2:47">
      <c r="F80" s="312"/>
    </row>
    <row r="82" spans="1:8">
      <c r="A82" s="314"/>
      <c r="B82" s="137"/>
      <c r="H82" s="275"/>
    </row>
    <row r="83" spans="1:8">
      <c r="B83" s="137"/>
      <c r="H83" s="229"/>
    </row>
    <row r="110" spans="1:8">
      <c r="H110" s="275"/>
    </row>
    <row r="111" spans="1:8">
      <c r="A111" s="314"/>
    </row>
    <row r="115" spans="1:9">
      <c r="A115" s="314"/>
      <c r="H115" s="275"/>
      <c r="I115" s="205"/>
    </row>
    <row r="119" spans="1:9">
      <c r="A119" s="314"/>
      <c r="H119" s="275"/>
    </row>
    <row r="123" spans="1:9">
      <c r="A123" s="314"/>
      <c r="H123" s="275"/>
      <c r="I123" s="205"/>
    </row>
    <row r="124" spans="1:9">
      <c r="B124" s="149"/>
      <c r="E124" s="316"/>
    </row>
    <row r="127" spans="1:9">
      <c r="A127" s="314"/>
      <c r="B127" s="149"/>
      <c r="H127" s="275"/>
      <c r="I127" s="205"/>
    </row>
    <row r="131" spans="1:9">
      <c r="A131" s="314"/>
      <c r="H131" s="275"/>
    </row>
    <row r="134" spans="1:9">
      <c r="A134" s="314"/>
      <c r="B134" s="272"/>
      <c r="H134" s="146"/>
    </row>
    <row r="135" spans="1:9">
      <c r="B135" s="149"/>
    </row>
    <row r="137" spans="1:9">
      <c r="A137" s="314"/>
      <c r="H137" s="275"/>
      <c r="I137" s="205"/>
    </row>
  </sheetData>
  <phoneticPr fontId="31" type="noConversion"/>
  <conditionalFormatting sqref="C1">
    <cfRule type="expression" dxfId="6" priority="105" stopIfTrue="1">
      <formula>$D$1-$E$1&lt;&gt;0</formula>
    </cfRule>
  </conditionalFormatting>
  <conditionalFormatting sqref="D66 D67:E81">
    <cfRule type="expression" dxfId="5" priority="29" stopIfTrue="1">
      <formula>AND($D66&lt;&gt;0,$E66&lt;&gt;0)</formula>
    </cfRule>
  </conditionalFormatting>
  <conditionalFormatting sqref="D109:E136">
    <cfRule type="expression" dxfId="4" priority="2" stopIfTrue="1">
      <formula>AND($D109&lt;&gt;0,$E109&lt;&gt;0)</formula>
    </cfRule>
  </conditionalFormatting>
  <conditionalFormatting sqref="E51 D52:E59 D60 D61:E62 D62:D63 D64:E65 D83:E83 D84:D108 E87:E98 E100:E108 D139:E64756">
    <cfRule type="expression" dxfId="3" priority="136" stopIfTrue="1">
      <formula>AND($D51&lt;&gt;0,$E51&lt;&gt;0)</formula>
    </cfRule>
  </conditionalFormatting>
  <conditionalFormatting sqref="E84:E85">
    <cfRule type="expression" dxfId="2" priority="15" stopIfTrue="1">
      <formula>AND($D84&lt;&gt;0,$E84&lt;&gt;0)</formula>
    </cfRule>
  </conditionalFormatting>
  <conditionalFormatting sqref="E86">
    <cfRule type="expression" dxfId="1" priority="138" stopIfTrue="1">
      <formula>AND(#REF!&lt;&gt;0,$E86&lt;&gt;0)</formula>
    </cfRule>
  </conditionalFormatting>
  <conditionalFormatting sqref="G53:G54">
    <cfRule type="expression" dxfId="0" priority="37" stopIfTrue="1">
      <formula>AND($D53&lt;&gt;0,$E53&lt;&gt;0)</formula>
    </cfRule>
  </conditionalFormatting>
  <pageMargins left="0.74803149606299213" right="0.74803149606299213" top="0.98425196850393704" bottom="0.98425196850393704" header="0.51181102362204722" footer="0.51181102362204722"/>
  <pageSetup paperSize="9" scale="41" fitToHeight="0" orientation="portrait" r:id="rId1"/>
  <headerFooter alignWithMargins="0"/>
  <ignoredErrors>
    <ignoredError sqref="B2:H2 J3:M3 K1:M2 B1 A1:A2 C4:C5 C12:C14 C9:C10 C8 C11 C28:E28 D1:G1 C29:E29 C30 D7:E9 C17 C18 D12:E13 D16:E17 D18:E18 D14:E14 E5 D22 C21:C22 C24:C25 C31 E31 E39:E44 C38:C44 C48:C49 C50:D50 C51" unlocked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76DF7-41D3-467D-BD23-B711DD4062E3}">
  <dimension ref="A1:AU89"/>
  <sheetViews>
    <sheetView view="pageBreakPreview" topLeftCell="A37" zoomScale="85" zoomScaleNormal="85" zoomScaleSheetLayoutView="85" workbookViewId="0">
      <selection activeCell="Q57" sqref="Q57"/>
    </sheetView>
  </sheetViews>
  <sheetFormatPr defaultRowHeight="12.75"/>
  <cols>
    <col min="1" max="1" width="10.5703125" style="58" customWidth="1"/>
    <col min="2" max="2" width="36.42578125" customWidth="1"/>
    <col min="3" max="3" width="37" customWidth="1"/>
    <col min="4" max="4" width="11.5703125" customWidth="1"/>
    <col min="5" max="5" width="12.5703125" bestFit="1" customWidth="1"/>
    <col min="6" max="6" width="12.42578125" hidden="1" customWidth="1"/>
    <col min="8" max="8" width="14" style="519" customWidth="1"/>
    <col min="9" max="9" width="10.42578125" bestFit="1" customWidth="1"/>
    <col min="10" max="10" width="19.5703125" customWidth="1"/>
    <col min="11" max="11" width="11.5703125" customWidth="1"/>
    <col min="12" max="12" width="12" bestFit="1" customWidth="1"/>
    <col min="13" max="13" width="13.28515625" bestFit="1" customWidth="1"/>
    <col min="16" max="16" width="15" bestFit="1" customWidth="1"/>
    <col min="17" max="17" width="16.28515625" bestFit="1" customWidth="1"/>
    <col min="19" max="19" width="9.7109375" style="771" bestFit="1" customWidth="1"/>
  </cols>
  <sheetData>
    <row r="1" spans="1:47" ht="15">
      <c r="B1" s="409" t="s">
        <v>485</v>
      </c>
      <c r="C1" s="410" t="s">
        <v>486</v>
      </c>
      <c r="D1" s="411"/>
      <c r="E1" s="411"/>
      <c r="F1" s="411"/>
    </row>
    <row r="2" spans="1:47">
      <c r="B2" s="410" t="s">
        <v>487</v>
      </c>
      <c r="C2" s="410" t="s">
        <v>486</v>
      </c>
      <c r="D2" s="411"/>
      <c r="E2" s="411"/>
      <c r="F2" s="411"/>
      <c r="J2" s="649">
        <f>DATE</f>
        <v>44926</v>
      </c>
    </row>
    <row r="3" spans="1:47">
      <c r="B3" s="555" t="s">
        <v>1131</v>
      </c>
      <c r="C3" s="410" t="s">
        <v>486</v>
      </c>
      <c r="D3" s="411"/>
      <c r="E3" s="411"/>
      <c r="F3" s="411"/>
      <c r="I3" s="506">
        <f>'Master Data (do not print)'!B23</f>
        <v>3.5190000000000001</v>
      </c>
      <c r="J3" s="510" t="s">
        <v>1091</v>
      </c>
    </row>
    <row r="4" spans="1:47">
      <c r="B4" s="412" t="s">
        <v>486</v>
      </c>
      <c r="C4" s="410" t="s">
        <v>486</v>
      </c>
      <c r="D4" s="411"/>
      <c r="E4" s="411"/>
      <c r="F4" s="411"/>
      <c r="I4" s="656">
        <f>'Master Data (do not print)'!B24</f>
        <v>3.7530000000000001</v>
      </c>
      <c r="J4" s="511" t="s">
        <v>1092</v>
      </c>
      <c r="K4" s="649"/>
    </row>
    <row r="5" spans="1:47" ht="15">
      <c r="B5" s="409" t="s">
        <v>1023</v>
      </c>
      <c r="C5" s="410" t="s">
        <v>486</v>
      </c>
      <c r="D5" s="411"/>
      <c r="E5" s="411"/>
      <c r="F5" s="411"/>
      <c r="I5" s="507">
        <f>I4/I3</f>
        <v>1.0664961636828645</v>
      </c>
      <c r="J5" s="591" t="s">
        <v>1093</v>
      </c>
      <c r="K5" s="649"/>
    </row>
    <row r="6" spans="1:47">
      <c r="B6" s="412" t="s">
        <v>486</v>
      </c>
      <c r="C6" s="410" t="s">
        <v>486</v>
      </c>
      <c r="D6" s="411"/>
      <c r="E6" s="411"/>
      <c r="F6" s="411"/>
    </row>
    <row r="7" spans="1:47">
      <c r="B7" s="410" t="s">
        <v>489</v>
      </c>
      <c r="C7" s="410" t="s">
        <v>486</v>
      </c>
      <c r="D7" s="411"/>
      <c r="E7" s="411"/>
      <c r="F7" s="411"/>
      <c r="I7">
        <v>1.1318006430868166</v>
      </c>
      <c r="J7" t="s">
        <v>1030</v>
      </c>
    </row>
    <row r="8" spans="1:47">
      <c r="B8" s="412" t="s">
        <v>484</v>
      </c>
      <c r="C8" s="410" t="s">
        <v>484</v>
      </c>
      <c r="D8" s="411" t="s">
        <v>484</v>
      </c>
      <c r="E8" s="411" t="s">
        <v>484</v>
      </c>
      <c r="F8" s="411" t="s">
        <v>484</v>
      </c>
    </row>
    <row r="9" spans="1:47">
      <c r="B9" s="412" t="s">
        <v>486</v>
      </c>
      <c r="C9" s="410" t="s">
        <v>486</v>
      </c>
      <c r="D9" s="411"/>
      <c r="E9" s="412" t="s">
        <v>490</v>
      </c>
      <c r="F9" s="412" t="s">
        <v>491</v>
      </c>
      <c r="H9" s="520" t="s">
        <v>117</v>
      </c>
    </row>
    <row r="10" spans="1:47">
      <c r="B10" s="412" t="s">
        <v>494</v>
      </c>
      <c r="C10" s="410" t="s">
        <v>495</v>
      </c>
      <c r="D10" s="412" t="s">
        <v>496</v>
      </c>
      <c r="E10" s="412" t="s">
        <v>496</v>
      </c>
      <c r="F10" s="412" t="s">
        <v>496</v>
      </c>
      <c r="H10" s="521"/>
      <c r="L10" t="s">
        <v>1397</v>
      </c>
      <c r="M10" t="s">
        <v>1398</v>
      </c>
      <c r="P10" t="s">
        <v>1400</v>
      </c>
      <c r="Q10" t="s">
        <v>1401</v>
      </c>
    </row>
    <row r="11" spans="1:47">
      <c r="B11" s="412" t="s">
        <v>486</v>
      </c>
      <c r="C11" s="410" t="s">
        <v>486</v>
      </c>
      <c r="D11" s="411"/>
      <c r="E11" s="411"/>
      <c r="F11" s="411"/>
      <c r="H11" s="521"/>
      <c r="M11" t="s">
        <v>1399</v>
      </c>
      <c r="N11" t="s">
        <v>117</v>
      </c>
      <c r="Q11" t="s">
        <v>1399</v>
      </c>
      <c r="R11" t="s">
        <v>117</v>
      </c>
    </row>
    <row r="12" spans="1:47" ht="45">
      <c r="B12" s="412" t="s">
        <v>486</v>
      </c>
      <c r="C12" s="413" t="s">
        <v>497</v>
      </c>
      <c r="D12" s="411"/>
      <c r="E12" s="411"/>
      <c r="F12" s="411"/>
      <c r="H12" s="521"/>
    </row>
    <row r="13" spans="1:47">
      <c r="A13" s="58">
        <v>1904</v>
      </c>
      <c r="B13" s="412" t="s">
        <v>498</v>
      </c>
      <c r="C13" s="410" t="s">
        <v>499</v>
      </c>
      <c r="D13" s="411"/>
      <c r="E13" s="745">
        <v>1</v>
      </c>
      <c r="F13" s="411">
        <v>739.17</v>
      </c>
      <c r="H13" s="524">
        <f>E13*$I$5</f>
        <v>1.0664961636828645</v>
      </c>
    </row>
    <row r="14" spans="1:47">
      <c r="B14" s="412" t="s">
        <v>486</v>
      </c>
      <c r="C14" s="410" t="s">
        <v>486</v>
      </c>
      <c r="D14" s="411"/>
      <c r="E14" s="411"/>
      <c r="F14" s="411"/>
      <c r="H14" s="521"/>
      <c r="AU14">
        <v>0</v>
      </c>
    </row>
    <row r="15" spans="1:47" ht="15">
      <c r="B15" s="412" t="s">
        <v>486</v>
      </c>
      <c r="C15" s="409" t="s">
        <v>538</v>
      </c>
      <c r="D15" s="411"/>
      <c r="E15" s="411"/>
      <c r="F15" s="411"/>
      <c r="H15" s="521"/>
    </row>
    <row r="16" spans="1:47" s="731" customFormat="1">
      <c r="A16" s="640">
        <v>1351</v>
      </c>
      <c r="B16" s="749" t="s">
        <v>539</v>
      </c>
      <c r="C16" s="750" t="s">
        <v>538</v>
      </c>
      <c r="E16" s="754">
        <v>223139.75</v>
      </c>
      <c r="F16" s="752">
        <v>50112.19</v>
      </c>
      <c r="H16" s="755">
        <f>E16*$I$5</f>
        <v>237977.68734015347</v>
      </c>
      <c r="J16" s="638"/>
      <c r="K16" s="766"/>
      <c r="L16" s="731">
        <v>223294.83</v>
      </c>
      <c r="M16" s="756">
        <f>E16-L16</f>
        <v>-155.07999999998719</v>
      </c>
      <c r="N16" s="731">
        <f>M16*$I$5</f>
        <v>-165.39222506392497</v>
      </c>
      <c r="P16" s="731">
        <v>223294.83</v>
      </c>
      <c r="Q16" s="756">
        <f>P16-E16</f>
        <v>155.07999999998719</v>
      </c>
      <c r="R16" s="756">
        <f>Q16*$I$5</f>
        <v>165.39222506392497</v>
      </c>
      <c r="S16" s="772">
        <f>R16+N16</f>
        <v>0</v>
      </c>
    </row>
    <row r="17" spans="1:47">
      <c r="B17" s="412" t="s">
        <v>486</v>
      </c>
      <c r="C17" s="410" t="s">
        <v>486</v>
      </c>
      <c r="D17" s="411"/>
      <c r="E17" s="411"/>
      <c r="F17" s="411"/>
      <c r="H17" s="521"/>
    </row>
    <row r="18" spans="1:47" ht="15">
      <c r="B18" s="412" t="s">
        <v>486</v>
      </c>
      <c r="C18" s="409" t="s">
        <v>500</v>
      </c>
      <c r="D18" s="411"/>
      <c r="E18" s="411"/>
      <c r="F18" s="411"/>
      <c r="H18" s="521"/>
      <c r="K18" s="285"/>
    </row>
    <row r="19" spans="1:47">
      <c r="A19" s="58">
        <v>1355</v>
      </c>
      <c r="B19" s="412" t="s">
        <v>501</v>
      </c>
      <c r="C19" s="410" t="s">
        <v>502</v>
      </c>
      <c r="D19" s="411"/>
      <c r="E19" s="411"/>
      <c r="F19" s="411">
        <v>1119.6199999999999</v>
      </c>
      <c r="H19" s="521">
        <f>D19*$I$5</f>
        <v>0</v>
      </c>
    </row>
    <row r="20" spans="1:47">
      <c r="A20" s="58">
        <v>1356</v>
      </c>
      <c r="B20" s="412" t="s">
        <v>776</v>
      </c>
      <c r="C20" s="410" t="s">
        <v>777</v>
      </c>
      <c r="D20" s="411"/>
      <c r="E20" s="411"/>
      <c r="F20" s="411">
        <v>0</v>
      </c>
      <c r="H20" s="521">
        <f t="shared" ref="H20:H31" si="0">D20*$I$5</f>
        <v>0</v>
      </c>
    </row>
    <row r="21" spans="1:47" s="731" customFormat="1">
      <c r="A21" s="640">
        <v>2688</v>
      </c>
      <c r="B21" s="763" t="s">
        <v>687</v>
      </c>
      <c r="C21" s="750" t="s">
        <v>688</v>
      </c>
      <c r="D21" s="751">
        <v>0</v>
      </c>
      <c r="E21" s="751"/>
      <c r="F21" s="752">
        <v>165.72</v>
      </c>
      <c r="H21" s="753">
        <f>D21*$I$5</f>
        <v>0</v>
      </c>
      <c r="L21" s="731">
        <v>437.93</v>
      </c>
      <c r="M21" s="731">
        <f>D21-L21</f>
        <v>-437.93</v>
      </c>
      <c r="N21" s="731">
        <f>M21*$I$5</f>
        <v>-467.05066496163687</v>
      </c>
      <c r="P21" s="731">
        <v>437.93</v>
      </c>
      <c r="Q21" s="756">
        <f>P21-D21</f>
        <v>437.93</v>
      </c>
      <c r="R21" s="756">
        <f>Q21*$I$5</f>
        <v>467.05066496163687</v>
      </c>
      <c r="S21" s="772">
        <f>R21+N21</f>
        <v>0</v>
      </c>
    </row>
    <row r="22" spans="1:47" s="731" customFormat="1">
      <c r="A22" s="640">
        <v>1357</v>
      </c>
      <c r="B22" s="749">
        <v>1736</v>
      </c>
      <c r="C22" s="750" t="s">
        <v>1029</v>
      </c>
      <c r="D22" s="751">
        <v>155.08000000000001</v>
      </c>
      <c r="E22" s="751"/>
      <c r="F22" s="752">
        <v>209.4</v>
      </c>
      <c r="H22" s="753">
        <f>D22*$I$5</f>
        <v>165.39222506393864</v>
      </c>
      <c r="L22" s="731">
        <v>0</v>
      </c>
      <c r="M22" s="731">
        <f>D22-L22</f>
        <v>155.08000000000001</v>
      </c>
      <c r="N22" s="731">
        <f>M22*$I$5</f>
        <v>165.39222506393864</v>
      </c>
      <c r="P22" s="731">
        <v>0</v>
      </c>
      <c r="Q22" s="756">
        <f>P22-D22</f>
        <v>-155.08000000000001</v>
      </c>
      <c r="R22" s="756">
        <f>Q22*$I$5</f>
        <v>-165.39222506393864</v>
      </c>
      <c r="S22" s="772">
        <f>R22+N22</f>
        <v>0</v>
      </c>
    </row>
    <row r="23" spans="1:47">
      <c r="A23" s="58">
        <v>1357</v>
      </c>
      <c r="B23" s="142">
        <v>1570</v>
      </c>
      <c r="C23" s="410" t="s">
        <v>504</v>
      </c>
      <c r="D23" s="745">
        <v>149.46</v>
      </c>
      <c r="E23" s="411"/>
      <c r="F23" s="411">
        <v>0</v>
      </c>
      <c r="H23" s="521">
        <f t="shared" si="0"/>
        <v>159.39851662404092</v>
      </c>
    </row>
    <row r="24" spans="1:47">
      <c r="A24" s="58">
        <v>1357</v>
      </c>
      <c r="B24" s="277">
        <v>1571</v>
      </c>
      <c r="C24" s="410" t="s">
        <v>506</v>
      </c>
      <c r="D24" s="748">
        <v>81.89</v>
      </c>
      <c r="E24" s="411"/>
      <c r="F24" s="411"/>
      <c r="H24" s="521">
        <f t="shared" si="0"/>
        <v>87.335370843989779</v>
      </c>
    </row>
    <row r="25" spans="1:47" s="731" customFormat="1">
      <c r="A25" s="640">
        <v>1357</v>
      </c>
      <c r="B25" s="757">
        <v>1576</v>
      </c>
      <c r="C25" s="750" t="s">
        <v>779</v>
      </c>
      <c r="D25" s="754">
        <v>1722.7</v>
      </c>
      <c r="E25" s="752"/>
      <c r="F25" s="752">
        <v>10262.01</v>
      </c>
      <c r="H25" s="753">
        <f>D25*$I$5</f>
        <v>1837.2529411764706</v>
      </c>
      <c r="P25" s="731">
        <v>1737</v>
      </c>
      <c r="Q25" s="756">
        <f>P25-D25</f>
        <v>14.299999999999955</v>
      </c>
      <c r="R25" s="756">
        <f>Q25*$I$5</f>
        <v>15.250895140664914</v>
      </c>
      <c r="S25" s="772">
        <f>R25+N25</f>
        <v>15.250895140664914</v>
      </c>
    </row>
    <row r="26" spans="1:47">
      <c r="A26" s="58">
        <v>1357</v>
      </c>
      <c r="B26" s="142">
        <v>1741</v>
      </c>
      <c r="C26" s="589" t="s">
        <v>529</v>
      </c>
      <c r="D26" s="729">
        <v>0</v>
      </c>
      <c r="E26" s="729"/>
      <c r="F26" s="411"/>
      <c r="H26" s="521">
        <f>D26*$I$5</f>
        <v>0</v>
      </c>
    </row>
    <row r="27" spans="1:47">
      <c r="A27" s="58">
        <v>1357</v>
      </c>
      <c r="B27" s="142">
        <v>1742</v>
      </c>
      <c r="C27" s="589" t="s">
        <v>558</v>
      </c>
      <c r="D27" s="729">
        <v>0</v>
      </c>
      <c r="E27" s="729"/>
      <c r="F27" s="411"/>
      <c r="H27" s="521">
        <f>D27*$I$5</f>
        <v>0</v>
      </c>
    </row>
    <row r="28" spans="1:47">
      <c r="A28" s="58">
        <v>1357</v>
      </c>
      <c r="B28" s="412" t="s">
        <v>509</v>
      </c>
      <c r="C28" s="410" t="s">
        <v>510</v>
      </c>
      <c r="D28" s="411"/>
      <c r="E28" s="411"/>
      <c r="F28" s="411">
        <v>-6442.09</v>
      </c>
      <c r="H28" s="521">
        <f t="shared" si="0"/>
        <v>0</v>
      </c>
    </row>
    <row r="29" spans="1:47">
      <c r="A29" s="58">
        <v>1357</v>
      </c>
      <c r="B29" s="412" t="s">
        <v>803</v>
      </c>
      <c r="C29" s="410" t="s">
        <v>804</v>
      </c>
      <c r="D29" s="411"/>
      <c r="E29" s="411"/>
      <c r="F29" s="411"/>
      <c r="H29" s="521">
        <f t="shared" si="0"/>
        <v>0</v>
      </c>
    </row>
    <row r="30" spans="1:47" s="731" customFormat="1">
      <c r="A30" s="640">
        <v>1357</v>
      </c>
      <c r="B30" s="749" t="s">
        <v>511</v>
      </c>
      <c r="C30" s="750" t="s">
        <v>512</v>
      </c>
      <c r="D30" s="769">
        <v>3078.63</v>
      </c>
      <c r="E30" s="752"/>
      <c r="F30" s="752">
        <v>536.28</v>
      </c>
      <c r="H30" s="770">
        <f>D30*$I$5</f>
        <v>3283.3470843989771</v>
      </c>
      <c r="P30" s="731">
        <v>3078.63</v>
      </c>
      <c r="Q30" s="756">
        <f>P30-D30</f>
        <v>0</v>
      </c>
      <c r="R30" s="756">
        <f>Q30*$I$5</f>
        <v>0</v>
      </c>
      <c r="S30" s="772">
        <f>R30+N30</f>
        <v>0</v>
      </c>
    </row>
    <row r="31" spans="1:47">
      <c r="A31" s="58">
        <v>1357</v>
      </c>
      <c r="B31" s="440" t="s">
        <v>689</v>
      </c>
      <c r="C31" s="410" t="s">
        <v>690</v>
      </c>
      <c r="D31" s="414"/>
      <c r="E31" s="411"/>
      <c r="F31" s="411"/>
      <c r="H31" s="522">
        <f t="shared" si="0"/>
        <v>0</v>
      </c>
    </row>
    <row r="32" spans="1:47">
      <c r="B32" s="412" t="s">
        <v>486</v>
      </c>
      <c r="C32" s="410" t="s">
        <v>486</v>
      </c>
      <c r="E32" s="411">
        <f>SUM(D19:D31)</f>
        <v>5187.76</v>
      </c>
      <c r="F32" s="411"/>
      <c r="H32" s="524">
        <f>SUM(H19:H31)</f>
        <v>5532.7261381074168</v>
      </c>
      <c r="L32" s="40"/>
      <c r="AU32">
        <v>0</v>
      </c>
    </row>
    <row r="33" spans="1:19" ht="45">
      <c r="B33" s="412" t="s">
        <v>486</v>
      </c>
      <c r="C33" s="413" t="s">
        <v>513</v>
      </c>
      <c r="D33" s="411"/>
      <c r="E33" s="411"/>
      <c r="F33" s="411"/>
      <c r="H33" s="521"/>
    </row>
    <row r="34" spans="1:19" s="731" customFormat="1">
      <c r="A34" s="640">
        <v>1307</v>
      </c>
      <c r="B34" s="749" t="s">
        <v>514</v>
      </c>
      <c r="C34" s="750" t="s">
        <v>515</v>
      </c>
      <c r="D34" s="752"/>
      <c r="E34" s="754">
        <v>2167.7199999999998</v>
      </c>
      <c r="F34" s="752">
        <v>8432.4500000000007</v>
      </c>
      <c r="H34" s="755">
        <f>E34*$I$5</f>
        <v>2311.8650639386187</v>
      </c>
      <c r="L34" s="756">
        <v>2061.2199999999998</v>
      </c>
      <c r="M34" s="756">
        <f>E34-L34</f>
        <v>106.5</v>
      </c>
      <c r="N34" s="731">
        <f>M34*$I$5</f>
        <v>113.58184143222506</v>
      </c>
      <c r="P34" s="731">
        <v>2061</v>
      </c>
      <c r="Q34" s="756">
        <f>P34-E34</f>
        <v>-106.7199999999998</v>
      </c>
      <c r="R34" s="756">
        <f>Q34*$I$5</f>
        <v>-113.81647058823508</v>
      </c>
      <c r="S34" s="772">
        <f>R34+N34</f>
        <v>-0.23462915601001555</v>
      </c>
    </row>
    <row r="35" spans="1:19">
      <c r="B35" s="412" t="s">
        <v>486</v>
      </c>
      <c r="C35" s="410" t="s">
        <v>486</v>
      </c>
      <c r="D35" s="411"/>
      <c r="E35" s="411"/>
      <c r="F35" s="411"/>
      <c r="H35" s="521"/>
    </row>
    <row r="36" spans="1:19" ht="15">
      <c r="B36" s="412" t="s">
        <v>486</v>
      </c>
      <c r="C36" s="409" t="s">
        <v>500</v>
      </c>
      <c r="D36" s="411"/>
      <c r="E36" s="411"/>
      <c r="F36" s="411"/>
      <c r="H36" s="521"/>
    </row>
    <row r="37" spans="1:19" s="572" customFormat="1">
      <c r="A37" s="140">
        <v>1356</v>
      </c>
      <c r="B37" s="277">
        <v>980</v>
      </c>
      <c r="C37" s="589" t="s">
        <v>40</v>
      </c>
      <c r="D37" s="590"/>
      <c r="E37" s="590"/>
      <c r="F37" s="590">
        <v>0</v>
      </c>
      <c r="G37" s="99"/>
      <c r="H37" s="524">
        <f>E37*$I$5</f>
        <v>0</v>
      </c>
      <c r="S37" s="773"/>
    </row>
    <row r="38" spans="1:19">
      <c r="B38" s="412" t="s">
        <v>486</v>
      </c>
      <c r="C38" s="410" t="s">
        <v>486</v>
      </c>
      <c r="D38" s="411"/>
      <c r="E38" s="414"/>
      <c r="F38" s="414"/>
      <c r="H38" s="522"/>
    </row>
    <row r="39" spans="1:19">
      <c r="B39" s="412" t="s">
        <v>486</v>
      </c>
      <c r="C39" s="410" t="s">
        <v>486</v>
      </c>
      <c r="D39" s="411"/>
      <c r="E39" s="411"/>
      <c r="F39" s="411"/>
      <c r="H39" s="521"/>
    </row>
    <row r="40" spans="1:19">
      <c r="B40" s="412" t="s">
        <v>486</v>
      </c>
      <c r="C40" s="410" t="s">
        <v>518</v>
      </c>
      <c r="D40" s="411"/>
      <c r="E40" s="438">
        <f>E34+E32+E16+E13+E37</f>
        <v>230496.23</v>
      </c>
      <c r="F40" s="411">
        <v>65134.75</v>
      </c>
      <c r="H40" s="615">
        <f>H34+H32+H16+H13+H37</f>
        <v>245823.34503836319</v>
      </c>
      <c r="I40" s="285">
        <f>H37+H34+H32+H16+H13-H40</f>
        <v>0</v>
      </c>
    </row>
    <row r="41" spans="1:19" ht="13.5" thickBot="1">
      <c r="B41" s="412" t="s">
        <v>486</v>
      </c>
      <c r="C41" s="410" t="s">
        <v>486</v>
      </c>
      <c r="D41" s="411"/>
      <c r="E41" s="415"/>
      <c r="F41" s="415"/>
      <c r="H41" s="523"/>
    </row>
    <row r="42" spans="1:19" ht="13.5" thickTop="1">
      <c r="B42" s="410" t="s">
        <v>519</v>
      </c>
      <c r="C42" s="410" t="s">
        <v>486</v>
      </c>
      <c r="D42" s="411"/>
      <c r="E42" s="411"/>
      <c r="F42" s="411"/>
      <c r="H42" s="521"/>
    </row>
    <row r="43" spans="1:19">
      <c r="B43" s="412" t="s">
        <v>484</v>
      </c>
      <c r="C43" s="410" t="s">
        <v>484</v>
      </c>
      <c r="D43" s="411" t="s">
        <v>484</v>
      </c>
      <c r="E43" s="411" t="s">
        <v>484</v>
      </c>
      <c r="F43" s="411" t="s">
        <v>484</v>
      </c>
      <c r="H43" s="521"/>
    </row>
    <row r="44" spans="1:19">
      <c r="B44" s="412" t="s">
        <v>486</v>
      </c>
      <c r="C44" s="410" t="s">
        <v>486</v>
      </c>
      <c r="D44" s="411"/>
      <c r="E44" s="412" t="s">
        <v>490</v>
      </c>
      <c r="F44" s="412" t="s">
        <v>491</v>
      </c>
      <c r="H44" s="521"/>
    </row>
    <row r="45" spans="1:19">
      <c r="B45" s="412" t="s">
        <v>494</v>
      </c>
      <c r="C45" s="410" t="s">
        <v>495</v>
      </c>
      <c r="D45" s="412" t="s">
        <v>496</v>
      </c>
      <c r="E45" s="412" t="s">
        <v>496</v>
      </c>
      <c r="F45" s="412" t="s">
        <v>496</v>
      </c>
      <c r="H45" s="521"/>
    </row>
    <row r="46" spans="1:19">
      <c r="B46" s="412" t="s">
        <v>486</v>
      </c>
      <c r="C46" s="410" t="s">
        <v>486</v>
      </c>
      <c r="D46" s="411"/>
      <c r="E46" s="411"/>
      <c r="F46" s="411"/>
      <c r="H46" s="521"/>
    </row>
    <row r="47" spans="1:19" ht="15">
      <c r="B47" s="412" t="s">
        <v>486</v>
      </c>
      <c r="C47" s="409" t="s">
        <v>520</v>
      </c>
      <c r="D47" s="411"/>
      <c r="E47" s="411"/>
      <c r="F47" s="411"/>
      <c r="H47" s="521"/>
      <c r="I47" s="475" t="s">
        <v>665</v>
      </c>
      <c r="J47" s="439" t="s">
        <v>407</v>
      </c>
    </row>
    <row r="48" spans="1:19">
      <c r="A48" s="58">
        <v>1842</v>
      </c>
      <c r="B48" s="412" t="s">
        <v>521</v>
      </c>
      <c r="C48" s="410" t="s">
        <v>520</v>
      </c>
      <c r="D48" s="411"/>
      <c r="E48" s="745">
        <v>25000</v>
      </c>
      <c r="F48" s="411">
        <v>25000</v>
      </c>
      <c r="H48" s="490">
        <f>E48*$I$5</f>
        <v>26662.404092071611</v>
      </c>
      <c r="I48" s="476">
        <v>28054</v>
      </c>
      <c r="J48" s="43">
        <f>I48-H48</f>
        <v>1391.5959079283894</v>
      </c>
      <c r="K48" s="99" t="s">
        <v>811</v>
      </c>
    </row>
    <row r="49" spans="1:47">
      <c r="B49" s="412" t="s">
        <v>486</v>
      </c>
      <c r="C49" s="410" t="s">
        <v>486</v>
      </c>
      <c r="D49" s="411"/>
      <c r="E49" s="411"/>
      <c r="F49" s="411"/>
      <c r="H49" s="521"/>
    </row>
    <row r="50" spans="1:47" ht="30">
      <c r="B50" s="412" t="s">
        <v>486</v>
      </c>
      <c r="C50" s="413" t="s">
        <v>656</v>
      </c>
      <c r="D50" s="411"/>
      <c r="E50" s="411"/>
      <c r="F50" s="411"/>
      <c r="H50" s="521"/>
      <c r="I50" s="475" t="s">
        <v>665</v>
      </c>
    </row>
    <row r="51" spans="1:47">
      <c r="A51" s="58">
        <v>9410</v>
      </c>
      <c r="B51" s="412" t="s">
        <v>657</v>
      </c>
      <c r="C51" s="410" t="s">
        <v>658</v>
      </c>
      <c r="D51" s="411"/>
      <c r="E51" s="745">
        <v>24578.41</v>
      </c>
      <c r="F51" s="411">
        <v>6553.33</v>
      </c>
      <c r="H51" s="490">
        <f>E51*$I$5</f>
        <v>26212.779974424553</v>
      </c>
      <c r="I51" s="476">
        <f>E51*I7</f>
        <v>27817.860244051444</v>
      </c>
      <c r="J51" s="43">
        <f>I51-H51</f>
        <v>1605.0802696268911</v>
      </c>
      <c r="K51" s="99" t="s">
        <v>811</v>
      </c>
      <c r="P51">
        <v>24578.41</v>
      </c>
      <c r="Q51" s="768">
        <f>P51-E51</f>
        <v>0</v>
      </c>
      <c r="AU51">
        <v>0</v>
      </c>
    </row>
    <row r="52" spans="1:47">
      <c r="B52" s="412" t="s">
        <v>486</v>
      </c>
      <c r="C52" s="410" t="s">
        <v>486</v>
      </c>
      <c r="D52" s="411"/>
      <c r="E52" s="411"/>
      <c r="F52" s="411"/>
      <c r="H52" s="521"/>
    </row>
    <row r="53" spans="1:47" ht="30">
      <c r="B53" s="412" t="s">
        <v>486</v>
      </c>
      <c r="C53" s="413" t="s">
        <v>545</v>
      </c>
      <c r="D53" s="411"/>
      <c r="E53" s="411"/>
      <c r="F53" s="411"/>
      <c r="H53" s="521"/>
    </row>
    <row r="54" spans="1:47" s="309" customFormat="1">
      <c r="A54" s="58"/>
      <c r="B54" s="512" t="s">
        <v>486</v>
      </c>
      <c r="C54" s="441" t="s">
        <v>546</v>
      </c>
      <c r="D54" s="420"/>
      <c r="E54" s="420">
        <f>'GMBH P&amp;L 12.2022'!D79</f>
        <v>17670.610000000015</v>
      </c>
      <c r="F54" s="420">
        <v>11407.34</v>
      </c>
      <c r="H54" s="490">
        <f>E54*$I$5</f>
        <v>18845.637774936076</v>
      </c>
      <c r="I54" s="502">
        <f>'GMBH P&amp;L 12.2022'!H79</f>
        <v>15607.821841432189</v>
      </c>
      <c r="L54" s="309">
        <v>25850</v>
      </c>
      <c r="M54" s="767">
        <f>E54-L54</f>
        <v>-8179.3899999999849</v>
      </c>
      <c r="P54" s="309">
        <v>17670.61</v>
      </c>
      <c r="Q54" s="768">
        <f>P54-E54</f>
        <v>0</v>
      </c>
      <c r="S54" s="775">
        <f>Q54+M54</f>
        <v>-8179.3899999999849</v>
      </c>
    </row>
    <row r="55" spans="1:47">
      <c r="B55" s="412" t="s">
        <v>486</v>
      </c>
      <c r="C55" s="410" t="s">
        <v>486</v>
      </c>
      <c r="D55" s="411"/>
      <c r="E55" s="411"/>
      <c r="F55" s="411"/>
      <c r="H55" s="521"/>
    </row>
    <row r="56" spans="1:47" ht="15">
      <c r="B56" s="412" t="s">
        <v>486</v>
      </c>
      <c r="C56" s="409" t="s">
        <v>548</v>
      </c>
      <c r="D56" s="411"/>
      <c r="E56" s="411"/>
      <c r="F56" s="411"/>
      <c r="H56" s="521"/>
      <c r="J56" s="630"/>
    </row>
    <row r="57" spans="1:47" s="731" customFormat="1">
      <c r="A57" s="640">
        <v>2688</v>
      </c>
      <c r="B57" s="749" t="s">
        <v>549</v>
      </c>
      <c r="C57" s="750" t="s">
        <v>550</v>
      </c>
      <c r="D57" s="751">
        <v>73</v>
      </c>
      <c r="E57" s="752"/>
      <c r="F57" s="752">
        <v>1040</v>
      </c>
      <c r="H57" s="758">
        <f>D57*$I$5</f>
        <v>77.854219948849106</v>
      </c>
      <c r="L57" s="731">
        <v>0</v>
      </c>
      <c r="M57" s="731">
        <f>D57-L57</f>
        <v>73</v>
      </c>
      <c r="N57" s="731">
        <f>M57*$I$5</f>
        <v>77.854219948849106</v>
      </c>
      <c r="P57" s="731">
        <v>4665</v>
      </c>
      <c r="Q57" s="756">
        <f>P57-D57</f>
        <v>4592</v>
      </c>
      <c r="R57" s="756">
        <f>Q57*$I$5</f>
        <v>4897.3503836317141</v>
      </c>
      <c r="S57" s="772">
        <f>R57+N57</f>
        <v>4975.2046035805633</v>
      </c>
    </row>
    <row r="58" spans="1:47" s="731" customFormat="1">
      <c r="A58" s="640">
        <v>2688</v>
      </c>
      <c r="B58" s="749" t="s">
        <v>551</v>
      </c>
      <c r="C58" s="750" t="s">
        <v>552</v>
      </c>
      <c r="D58" s="759">
        <v>293.47000000000003</v>
      </c>
      <c r="E58" s="752">
        <f>SUM(D57:D58)</f>
        <v>366.47</v>
      </c>
      <c r="F58" s="752">
        <v>1436.91</v>
      </c>
      <c r="H58" s="760">
        <f>D58*$I$5</f>
        <v>312.98462915601027</v>
      </c>
      <c r="L58" s="731">
        <v>0</v>
      </c>
      <c r="M58" s="731">
        <f>D58-L58</f>
        <v>293.47000000000003</v>
      </c>
      <c r="N58" s="731">
        <f>M58*$I$5</f>
        <v>312.98462915601027</v>
      </c>
      <c r="P58" s="731">
        <v>3080.62</v>
      </c>
      <c r="Q58" s="756">
        <f>P58-D58</f>
        <v>2787.1499999999996</v>
      </c>
      <c r="R58" s="756">
        <f>Q58*$I$5</f>
        <v>2972.4847826086952</v>
      </c>
      <c r="S58" s="772">
        <f>R58+N58</f>
        <v>3285.4694117647055</v>
      </c>
    </row>
    <row r="59" spans="1:47">
      <c r="B59" s="412" t="s">
        <v>486</v>
      </c>
      <c r="C59" s="410" t="s">
        <v>486</v>
      </c>
      <c r="D59" s="411"/>
      <c r="E59" s="411"/>
      <c r="F59" s="411"/>
      <c r="H59" s="488">
        <f>SUM(H57:H58)</f>
        <v>390.83884910485938</v>
      </c>
    </row>
    <row r="60" spans="1:47" ht="15">
      <c r="B60" s="412" t="s">
        <v>486</v>
      </c>
      <c r="C60" s="409" t="s">
        <v>523</v>
      </c>
      <c r="D60" s="411"/>
      <c r="E60" s="411"/>
      <c r="F60" s="411"/>
      <c r="H60" s="521"/>
    </row>
    <row r="61" spans="1:47" s="731" customFormat="1">
      <c r="A61" s="640">
        <v>2688</v>
      </c>
      <c r="B61" s="761">
        <v>970</v>
      </c>
      <c r="C61" s="762" t="s">
        <v>523</v>
      </c>
      <c r="D61" s="752">
        <v>172</v>
      </c>
      <c r="E61" s="752"/>
      <c r="F61" s="752"/>
      <c r="H61" s="758">
        <f>D61*$I$5</f>
        <v>183.43734015345268</v>
      </c>
      <c r="L61" s="731">
        <v>0</v>
      </c>
      <c r="M61" s="731">
        <f>D61-L61</f>
        <v>172</v>
      </c>
      <c r="N61" s="731">
        <f>M61*$I$5</f>
        <v>183.43734015345268</v>
      </c>
      <c r="P61" s="731">
        <v>0</v>
      </c>
      <c r="Q61" s="756">
        <f>P61-D61</f>
        <v>-172</v>
      </c>
      <c r="R61" s="756">
        <f>Q61*$I$5</f>
        <v>-183.43734015345268</v>
      </c>
      <c r="S61" s="772">
        <f>R61+N61</f>
        <v>0</v>
      </c>
    </row>
    <row r="62" spans="1:47" s="731" customFormat="1">
      <c r="A62" s="640">
        <v>2688</v>
      </c>
      <c r="B62" s="757">
        <v>977</v>
      </c>
      <c r="C62" s="750" t="s">
        <v>525</v>
      </c>
      <c r="D62" s="764">
        <v>0</v>
      </c>
      <c r="E62" s="752">
        <f>SUM(D61:D62)</f>
        <v>172</v>
      </c>
      <c r="F62" s="752">
        <v>2600</v>
      </c>
      <c r="H62" s="760">
        <f>D62*$I$5</f>
        <v>0</v>
      </c>
      <c r="L62" s="731">
        <v>3500</v>
      </c>
      <c r="M62" s="731">
        <f>D62-L62</f>
        <v>-3500</v>
      </c>
      <c r="N62" s="731">
        <f>M62*$I$5</f>
        <v>-3732.7365728900259</v>
      </c>
      <c r="P62" s="731">
        <v>3500</v>
      </c>
      <c r="Q62" s="756">
        <f>P62-D62</f>
        <v>3500</v>
      </c>
      <c r="R62" s="756">
        <f>Q62*$I$5</f>
        <v>3732.7365728900259</v>
      </c>
      <c r="S62" s="772">
        <f>R62+N62</f>
        <v>0</v>
      </c>
    </row>
    <row r="63" spans="1:47">
      <c r="B63" s="412"/>
      <c r="C63" s="410"/>
      <c r="D63" s="411"/>
      <c r="E63" s="411"/>
      <c r="F63" s="411"/>
      <c r="H63" s="524">
        <f>SUM(H61:H62)</f>
        <v>183.43734015345268</v>
      </c>
      <c r="AU63">
        <v>0</v>
      </c>
    </row>
    <row r="64" spans="1:47" ht="15">
      <c r="B64" s="412" t="s">
        <v>486</v>
      </c>
      <c r="C64" s="409" t="s">
        <v>691</v>
      </c>
      <c r="D64" s="411"/>
      <c r="E64" s="411"/>
      <c r="F64" s="411"/>
      <c r="H64" s="521"/>
    </row>
    <row r="65" spans="1:19">
      <c r="A65" s="58">
        <v>2652</v>
      </c>
      <c r="B65" s="142">
        <v>1610</v>
      </c>
      <c r="C65" s="410" t="s">
        <v>693</v>
      </c>
      <c r="D65" s="411"/>
      <c r="E65" s="592"/>
      <c r="F65" s="411"/>
      <c r="H65" s="524">
        <f>E65*$I$5</f>
        <v>0</v>
      </c>
    </row>
    <row r="66" spans="1:19">
      <c r="B66" s="412" t="s">
        <v>486</v>
      </c>
      <c r="C66" s="410" t="s">
        <v>486</v>
      </c>
      <c r="D66" s="411"/>
      <c r="E66" s="411"/>
      <c r="F66" s="411"/>
      <c r="H66" s="521"/>
    </row>
    <row r="67" spans="1:19" ht="15">
      <c r="B67" s="412" t="s">
        <v>486</v>
      </c>
      <c r="C67" s="409" t="s">
        <v>9</v>
      </c>
      <c r="D67" s="411"/>
      <c r="E67" s="411"/>
      <c r="F67" s="411"/>
      <c r="H67" s="521"/>
    </row>
    <row r="68" spans="1:19" s="731" customFormat="1">
      <c r="A68" s="640">
        <v>2685</v>
      </c>
      <c r="B68" s="761">
        <v>1700</v>
      </c>
      <c r="C68" s="750" t="s">
        <v>9</v>
      </c>
      <c r="D68" s="752">
        <v>0</v>
      </c>
      <c r="E68" s="752"/>
      <c r="F68" s="752"/>
      <c r="H68" s="758">
        <f t="shared" ref="H68:H73" si="1">D68*$I$5</f>
        <v>0</v>
      </c>
      <c r="L68" s="731">
        <v>2742.83</v>
      </c>
      <c r="M68" s="731">
        <f>D68-L68</f>
        <v>-2742.83</v>
      </c>
      <c r="N68" s="731">
        <f>M68*$I$5</f>
        <v>-2925.2176726342709</v>
      </c>
      <c r="P68" s="731">
        <v>3192</v>
      </c>
      <c r="Q68" s="756">
        <f>P68-D68</f>
        <v>3192</v>
      </c>
      <c r="R68" s="756">
        <f>Q68*$I$5</f>
        <v>3404.2557544757033</v>
      </c>
      <c r="S68" s="772">
        <f>R68+N68</f>
        <v>479.03808184143236</v>
      </c>
    </row>
    <row r="69" spans="1:19">
      <c r="A69" s="640">
        <v>1842</v>
      </c>
      <c r="B69" s="277">
        <v>1705</v>
      </c>
      <c r="C69" s="410" t="s">
        <v>1391</v>
      </c>
      <c r="D69" s="747">
        <v>145286.79999999999</v>
      </c>
      <c r="E69" s="411"/>
      <c r="F69" s="411"/>
      <c r="H69" s="520">
        <f t="shared" si="1"/>
        <v>154947.81483375959</v>
      </c>
    </row>
    <row r="70" spans="1:19">
      <c r="A70" s="58">
        <v>2685</v>
      </c>
      <c r="B70" s="142">
        <v>1740</v>
      </c>
      <c r="C70" s="410" t="s">
        <v>556</v>
      </c>
      <c r="D70" s="729"/>
      <c r="E70" s="411"/>
      <c r="F70" s="411">
        <v>12940.04</v>
      </c>
      <c r="H70" s="520">
        <f t="shared" si="1"/>
        <v>0</v>
      </c>
    </row>
    <row r="71" spans="1:19" s="731" customFormat="1">
      <c r="A71" s="640">
        <v>2685</v>
      </c>
      <c r="B71" s="757">
        <v>1741</v>
      </c>
      <c r="C71" s="750" t="s">
        <v>529</v>
      </c>
      <c r="D71" s="754">
        <v>3742.26</v>
      </c>
      <c r="E71" s="752"/>
      <c r="F71" s="752">
        <v>3332</v>
      </c>
      <c r="H71" s="758">
        <f t="shared" si="1"/>
        <v>3991.1059335038367</v>
      </c>
      <c r="L71" s="731">
        <v>3502</v>
      </c>
      <c r="M71" s="731">
        <f>D71-L71</f>
        <v>240.26000000000022</v>
      </c>
      <c r="N71" s="731">
        <f>M71*$I$5</f>
        <v>256.23636828644527</v>
      </c>
      <c r="P71" s="731">
        <v>3502</v>
      </c>
      <c r="Q71" s="756">
        <f>P71-D71</f>
        <v>-240.26000000000022</v>
      </c>
      <c r="R71" s="756">
        <f>Q71*$I$5</f>
        <v>-256.23636828644527</v>
      </c>
      <c r="S71" s="772">
        <f>R71+N71</f>
        <v>0</v>
      </c>
    </row>
    <row r="72" spans="1:19">
      <c r="A72" s="58">
        <v>2685</v>
      </c>
      <c r="B72" s="142">
        <v>1742</v>
      </c>
      <c r="C72" s="410" t="s">
        <v>558</v>
      </c>
      <c r="D72" s="411">
        <v>0</v>
      </c>
      <c r="F72" s="411">
        <v>825.13</v>
      </c>
      <c r="H72" s="520">
        <f t="shared" si="1"/>
        <v>0</v>
      </c>
    </row>
    <row r="73" spans="1:19" s="731" customFormat="1">
      <c r="A73" s="640">
        <v>2685</v>
      </c>
      <c r="B73" s="761">
        <v>1736</v>
      </c>
      <c r="C73" s="765" t="s">
        <v>1029</v>
      </c>
      <c r="D73" s="764"/>
      <c r="F73" s="752"/>
      <c r="H73" s="760">
        <f t="shared" si="1"/>
        <v>0</v>
      </c>
      <c r="L73" s="731">
        <v>366.47</v>
      </c>
      <c r="M73" s="731">
        <f>D73-L73</f>
        <v>-366.47</v>
      </c>
      <c r="N73" s="731">
        <f>M73*$I$5</f>
        <v>-390.83884910485938</v>
      </c>
      <c r="P73" s="731">
        <v>366.47</v>
      </c>
      <c r="Q73" s="756">
        <f>P73-D73</f>
        <v>366.47</v>
      </c>
      <c r="R73" s="756">
        <f>Q73*$I$5</f>
        <v>390.83884910485938</v>
      </c>
      <c r="S73" s="772">
        <f>R73+N73</f>
        <v>0</v>
      </c>
    </row>
    <row r="74" spans="1:19">
      <c r="B74" s="412"/>
      <c r="C74" s="410"/>
      <c r="D74" s="411"/>
      <c r="E74" s="411">
        <f>SUM(D68:D73)</f>
        <v>149029.06</v>
      </c>
      <c r="F74" s="411"/>
      <c r="H74" s="524">
        <f>SUM(H68:H73)</f>
        <v>158938.92076726342</v>
      </c>
    </row>
    <row r="75" spans="1:19" ht="30">
      <c r="B75" s="412" t="s">
        <v>486</v>
      </c>
      <c r="C75" s="413" t="s">
        <v>759</v>
      </c>
      <c r="D75" s="411"/>
      <c r="E75" s="411"/>
      <c r="F75" s="411"/>
      <c r="H75" s="521"/>
    </row>
    <row r="76" spans="1:19">
      <c r="B76" s="412" t="s">
        <v>661</v>
      </c>
      <c r="C76" s="410" t="s">
        <v>529</v>
      </c>
      <c r="D76" s="411"/>
      <c r="E76" s="411"/>
      <c r="F76" s="411"/>
      <c r="H76" s="521"/>
    </row>
    <row r="77" spans="1:19">
      <c r="B77" s="412" t="s">
        <v>486</v>
      </c>
      <c r="C77" s="410" t="s">
        <v>486</v>
      </c>
      <c r="D77" s="411"/>
      <c r="E77" s="411"/>
      <c r="F77" s="411"/>
      <c r="H77" s="521"/>
    </row>
    <row r="78" spans="1:19" ht="45">
      <c r="B78" s="412" t="s">
        <v>486</v>
      </c>
      <c r="C78" s="413" t="s">
        <v>786</v>
      </c>
      <c r="D78" s="411"/>
      <c r="E78" s="411"/>
      <c r="F78" s="411"/>
      <c r="H78" s="521"/>
    </row>
    <row r="79" spans="1:19">
      <c r="B79" s="412" t="s">
        <v>526</v>
      </c>
      <c r="C79" s="410" t="s">
        <v>9</v>
      </c>
      <c r="D79" s="411">
        <v>0</v>
      </c>
      <c r="E79" s="411"/>
      <c r="F79" s="411"/>
      <c r="H79" s="521"/>
    </row>
    <row r="80" spans="1:19">
      <c r="B80" s="412" t="s">
        <v>527</v>
      </c>
      <c r="C80" s="410" t="s">
        <v>528</v>
      </c>
      <c r="D80" s="411">
        <v>0</v>
      </c>
      <c r="E80" s="411"/>
      <c r="F80" s="411"/>
      <c r="H80" s="521"/>
    </row>
    <row r="81" spans="1:19">
      <c r="B81" s="412" t="s">
        <v>486</v>
      </c>
      <c r="C81" s="410" t="s">
        <v>486</v>
      </c>
      <c r="D81" s="411"/>
      <c r="E81" s="414">
        <f>SUM(D79:D80)</f>
        <v>0</v>
      </c>
      <c r="F81" s="414"/>
      <c r="H81" s="560">
        <f>E81*$I$5</f>
        <v>0</v>
      </c>
    </row>
    <row r="82" spans="1:19">
      <c r="B82" s="412"/>
      <c r="C82" s="410"/>
      <c r="D82" s="411"/>
      <c r="E82" s="425"/>
      <c r="F82" s="425"/>
      <c r="H82" s="559"/>
    </row>
    <row r="83" spans="1:19" ht="30">
      <c r="B83" s="412" t="s">
        <v>486</v>
      </c>
      <c r="C83" s="413" t="s">
        <v>812</v>
      </c>
      <c r="D83" s="411"/>
      <c r="E83" s="425"/>
      <c r="F83" s="425"/>
      <c r="H83" s="559"/>
    </row>
    <row r="84" spans="1:19">
      <c r="A84" s="58">
        <v>2658</v>
      </c>
      <c r="B84" s="412" t="s">
        <v>501</v>
      </c>
      <c r="C84" s="410" t="s">
        <v>502</v>
      </c>
      <c r="D84" s="411"/>
      <c r="E84" s="425">
        <v>0</v>
      </c>
      <c r="F84" s="425"/>
      <c r="H84" s="524">
        <f>E84*$I$5</f>
        <v>0</v>
      </c>
    </row>
    <row r="85" spans="1:19">
      <c r="B85" s="412" t="s">
        <v>486</v>
      </c>
      <c r="C85" s="410" t="s">
        <v>486</v>
      </c>
      <c r="D85" s="411"/>
      <c r="E85" s="411"/>
      <c r="F85" s="411"/>
      <c r="H85" s="521"/>
    </row>
    <row r="86" spans="1:19">
      <c r="B86" s="412" t="s">
        <v>486</v>
      </c>
      <c r="C86" s="410" t="s">
        <v>530</v>
      </c>
      <c r="D86" s="411"/>
      <c r="E86" s="438">
        <f>E84+E74+E65+E62+E58+E51+E48+E54+E81</f>
        <v>216816.55000000002</v>
      </c>
      <c r="F86" s="438">
        <v>65134.75</v>
      </c>
      <c r="G86" s="439"/>
      <c r="H86" s="438">
        <f>H84+H74+H65+H63+H59+I51+I48+I54+H81</f>
        <v>230992.87904200534</v>
      </c>
      <c r="I86" s="285">
        <f>H74+H59+I54+I51+I48-H86+H62+H65+H84+H61</f>
        <v>1.3244516594568267E-11</v>
      </c>
      <c r="M86" s="100">
        <f>SUM(M16:M34)-SUM(M57:M73)</f>
        <v>5499.1400000000122</v>
      </c>
      <c r="N86" s="100">
        <f>SUM(N16:N34)-SUM(N57:N73)</f>
        <v>5864.8117135550001</v>
      </c>
      <c r="Q86" s="100">
        <f>SUM(Q16:Q34)-SUM(Q57:Q73)</f>
        <v>-13679.850000000011</v>
      </c>
      <c r="R86" s="100">
        <f>SUM(R16:R34)-SUM(R57:R73)</f>
        <v>-14589.507544757045</v>
      </c>
      <c r="S86" s="774">
        <f>SUM(S16:S34)-SUM(S57:S73)</f>
        <v>-8724.6958312020452</v>
      </c>
    </row>
    <row r="87" spans="1:19" ht="13.5" thickBot="1">
      <c r="B87" s="412" t="s">
        <v>486</v>
      </c>
      <c r="C87" s="410" t="s">
        <v>486</v>
      </c>
      <c r="D87" s="411"/>
      <c r="E87" s="415"/>
      <c r="F87" s="415"/>
      <c r="H87" s="523"/>
      <c r="M87" s="746"/>
    </row>
    <row r="88" spans="1:19" ht="13.5" thickTop="1">
      <c r="H88" s="521"/>
    </row>
    <row r="89" spans="1:19">
      <c r="E89" s="491">
        <f>E86-E40</f>
        <v>-13679.679999999993</v>
      </c>
      <c r="H89" s="519">
        <f>H86-H40</f>
        <v>-14830.465996357845</v>
      </c>
    </row>
  </sheetData>
  <autoFilter ref="A1:H89" xr:uid="{EA27BDAB-8E4E-4648-9AA9-DE353C961CF5}"/>
  <pageMargins left="0.7" right="0.7" top="0.75" bottom="0.75" header="0.3" footer="0.3"/>
  <pageSetup paperSize="9" scale="55" orientation="portrait" r:id="rId1"/>
  <colBreaks count="1" manualBreakCount="1">
    <brk id="10" max="87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4F596-5E5C-4C9A-BDFF-267E5ECE35F8}">
  <dimension ref="A1:M83"/>
  <sheetViews>
    <sheetView view="pageBreakPreview" topLeftCell="A45" zoomScaleNormal="90" zoomScaleSheetLayoutView="100" workbookViewId="0">
      <selection activeCell="K56" sqref="K56"/>
    </sheetView>
  </sheetViews>
  <sheetFormatPr defaultRowHeight="12.75"/>
  <cols>
    <col min="1" max="1" width="9.42578125" customWidth="1"/>
    <col min="2" max="2" width="30.42578125" customWidth="1"/>
    <col min="3" max="3" width="48.42578125" customWidth="1"/>
    <col min="4" max="4" width="16.5703125" bestFit="1" customWidth="1"/>
    <col min="5" max="5" width="12.5703125" bestFit="1" customWidth="1"/>
    <col min="6" max="6" width="14.42578125" hidden="1" customWidth="1"/>
    <col min="8" max="8" width="12.5703125" style="519" bestFit="1" customWidth="1"/>
    <col min="9" max="9" width="10.5703125" bestFit="1" customWidth="1"/>
    <col min="11" max="11" width="11" bestFit="1" customWidth="1"/>
    <col min="12" max="12" width="20.42578125" customWidth="1"/>
    <col min="13" max="13" width="17.140625" bestFit="1" customWidth="1"/>
  </cols>
  <sheetData>
    <row r="1" spans="1:12" ht="15">
      <c r="B1" s="409" t="s">
        <v>667</v>
      </c>
      <c r="C1" s="410" t="s">
        <v>486</v>
      </c>
      <c r="D1" s="411"/>
      <c r="E1" s="411"/>
      <c r="F1" s="411"/>
      <c r="L1" s="649">
        <f>DATE</f>
        <v>44926</v>
      </c>
    </row>
    <row r="2" spans="1:12">
      <c r="B2" s="410" t="s">
        <v>668</v>
      </c>
      <c r="C2" s="410" t="s">
        <v>486</v>
      </c>
      <c r="D2" s="411"/>
      <c r="E2" s="411"/>
      <c r="F2" s="411"/>
      <c r="K2" s="657">
        <f>'Master Data (do not print)'!B23</f>
        <v>3.5190000000000001</v>
      </c>
      <c r="L2" s="510" t="s">
        <v>1091</v>
      </c>
    </row>
    <row r="3" spans="1:12">
      <c r="A3" s="555" t="s">
        <v>1379</v>
      </c>
      <c r="C3" s="410" t="s">
        <v>486</v>
      </c>
      <c r="D3" s="411"/>
      <c r="E3" s="411"/>
      <c r="F3" s="411"/>
      <c r="K3" s="658">
        <f>'Master Data (do not print)'!B24</f>
        <v>3.7530000000000001</v>
      </c>
      <c r="L3" s="511" t="s">
        <v>1092</v>
      </c>
    </row>
    <row r="4" spans="1:12">
      <c r="B4" s="412" t="s">
        <v>486</v>
      </c>
      <c r="C4" s="410" t="s">
        <v>486</v>
      </c>
      <c r="D4" s="411"/>
      <c r="E4" s="411"/>
      <c r="F4" s="411"/>
      <c r="K4" s="507">
        <f>K3/K2</f>
        <v>1.0664961636828645</v>
      </c>
      <c r="L4" s="591" t="s">
        <v>1093</v>
      </c>
    </row>
    <row r="5" spans="1:12" ht="15">
      <c r="B5" s="409" t="s">
        <v>1023</v>
      </c>
      <c r="C5" s="410" t="s">
        <v>486</v>
      </c>
      <c r="D5" s="411"/>
      <c r="E5" s="411"/>
      <c r="F5" s="411"/>
    </row>
    <row r="6" spans="1:12">
      <c r="B6" s="412" t="s">
        <v>486</v>
      </c>
      <c r="C6" s="410" t="s">
        <v>486</v>
      </c>
      <c r="D6" s="411"/>
      <c r="E6" s="411"/>
      <c r="F6" s="411"/>
    </row>
    <row r="7" spans="1:12">
      <c r="B7" s="412" t="s">
        <v>484</v>
      </c>
      <c r="C7" s="410" t="s">
        <v>484</v>
      </c>
      <c r="D7" s="411" t="s">
        <v>484</v>
      </c>
      <c r="E7" s="411" t="s">
        <v>484</v>
      </c>
      <c r="F7" s="411" t="s">
        <v>484</v>
      </c>
    </row>
    <row r="8" spans="1:12">
      <c r="B8" s="412" t="s">
        <v>486</v>
      </c>
      <c r="C8" s="410" t="s">
        <v>486</v>
      </c>
      <c r="D8" s="411"/>
      <c r="E8" s="412" t="s">
        <v>490</v>
      </c>
      <c r="F8" s="412" t="s">
        <v>491</v>
      </c>
      <c r="H8" s="531" t="s">
        <v>117</v>
      </c>
    </row>
    <row r="9" spans="1:12">
      <c r="B9" s="412" t="s">
        <v>494</v>
      </c>
      <c r="C9" s="410" t="s">
        <v>495</v>
      </c>
      <c r="D9" s="412" t="s">
        <v>496</v>
      </c>
      <c r="E9" s="412" t="s">
        <v>496</v>
      </c>
      <c r="F9" s="412" t="s">
        <v>496</v>
      </c>
      <c r="H9" s="525"/>
    </row>
    <row r="10" spans="1:12">
      <c r="B10" s="412" t="s">
        <v>486</v>
      </c>
      <c r="C10" s="410" t="s">
        <v>486</v>
      </c>
      <c r="D10" s="411"/>
      <c r="E10" s="411"/>
      <c r="F10" s="411"/>
      <c r="H10" s="525"/>
    </row>
    <row r="11" spans="1:12" ht="15">
      <c r="B11" s="412" t="s">
        <v>486</v>
      </c>
      <c r="C11" s="409" t="s">
        <v>573</v>
      </c>
      <c r="D11" s="411"/>
      <c r="E11" s="411"/>
      <c r="F11" s="411"/>
      <c r="H11" s="525"/>
    </row>
    <row r="12" spans="1:12">
      <c r="A12">
        <v>7023</v>
      </c>
      <c r="B12" s="412" t="s">
        <v>572</v>
      </c>
      <c r="C12" s="410" t="s">
        <v>670</v>
      </c>
      <c r="D12" s="411"/>
      <c r="E12" s="744" t="s">
        <v>1392</v>
      </c>
      <c r="F12" s="411">
        <v>153998.81</v>
      </c>
      <c r="H12" s="526">
        <f>E12*$K$4</f>
        <v>477453.21521739132</v>
      </c>
    </row>
    <row r="13" spans="1:12">
      <c r="B13" s="412" t="s">
        <v>486</v>
      </c>
      <c r="C13" s="410" t="s">
        <v>486</v>
      </c>
      <c r="D13" s="411"/>
      <c r="E13" s="411"/>
      <c r="F13" s="411"/>
      <c r="H13" s="525"/>
    </row>
    <row r="14" spans="1:12" ht="30">
      <c r="B14" s="412" t="s">
        <v>486</v>
      </c>
      <c r="C14" s="413" t="s">
        <v>712</v>
      </c>
      <c r="D14" s="411"/>
      <c r="E14" s="411"/>
      <c r="F14" s="411"/>
      <c r="H14" s="525"/>
    </row>
    <row r="15" spans="1:12">
      <c r="A15">
        <v>7021</v>
      </c>
      <c r="B15" s="440" t="s">
        <v>1021</v>
      </c>
      <c r="C15" s="410" t="s">
        <v>714</v>
      </c>
      <c r="D15" s="411"/>
      <c r="E15" s="411"/>
      <c r="F15" s="411">
        <v>0</v>
      </c>
      <c r="H15" s="526">
        <f>E15*$K$4</f>
        <v>0</v>
      </c>
    </row>
    <row r="16" spans="1:12">
      <c r="B16" s="412" t="s">
        <v>486</v>
      </c>
      <c r="C16" s="410" t="s">
        <v>486</v>
      </c>
      <c r="D16" s="411"/>
      <c r="E16" s="411"/>
      <c r="F16" s="411"/>
      <c r="H16" s="525"/>
    </row>
    <row r="17" spans="1:8" ht="15">
      <c r="B17" s="412" t="s">
        <v>486</v>
      </c>
      <c r="C17" s="409" t="s">
        <v>577</v>
      </c>
      <c r="D17" s="411"/>
      <c r="E17" s="411"/>
      <c r="F17" s="411"/>
      <c r="H17" s="525"/>
    </row>
    <row r="18" spans="1:8">
      <c r="A18">
        <v>7020</v>
      </c>
      <c r="B18" s="412" t="s">
        <v>576</v>
      </c>
      <c r="C18" s="410" t="s">
        <v>577</v>
      </c>
      <c r="D18" s="411">
        <v>-140100</v>
      </c>
      <c r="E18" s="411"/>
      <c r="F18" s="411"/>
      <c r="H18" s="570">
        <f>D18*$K$4</f>
        <v>-149416.11253196932</v>
      </c>
    </row>
    <row r="19" spans="1:8">
      <c r="A19">
        <v>7020</v>
      </c>
      <c r="B19" s="412" t="s">
        <v>813</v>
      </c>
      <c r="C19" s="410" t="s">
        <v>1394</v>
      </c>
      <c r="D19" s="414">
        <v>-145286.79999999999</v>
      </c>
      <c r="F19" s="411">
        <v>-70333.31</v>
      </c>
      <c r="H19" s="571">
        <f>D19*$K$4</f>
        <v>-154947.81483375959</v>
      </c>
    </row>
    <row r="20" spans="1:8">
      <c r="B20" s="412" t="s">
        <v>486</v>
      </c>
      <c r="C20" s="410" t="s">
        <v>486</v>
      </c>
      <c r="D20" s="411"/>
      <c r="E20" s="425">
        <f>SUM(D18:D19)</f>
        <v>-285386.8</v>
      </c>
      <c r="F20" s="411"/>
      <c r="H20" s="527">
        <f>SUM(H18:H19)</f>
        <v>-304363.92736572889</v>
      </c>
    </row>
    <row r="21" spans="1:8" ht="45">
      <c r="B21" s="412" t="s">
        <v>486</v>
      </c>
      <c r="C21" s="413" t="s">
        <v>671</v>
      </c>
      <c r="D21" s="411"/>
      <c r="E21" s="411"/>
      <c r="F21" s="411"/>
      <c r="H21" s="528"/>
    </row>
    <row r="22" spans="1:8">
      <c r="A22">
        <v>7020</v>
      </c>
      <c r="B22" s="412" t="s">
        <v>579</v>
      </c>
      <c r="C22" s="410" t="s">
        <v>580</v>
      </c>
      <c r="D22" s="411">
        <v>-16651.400000000001</v>
      </c>
      <c r="E22" s="411"/>
      <c r="F22" s="411">
        <v>-11541.55</v>
      </c>
      <c r="H22" s="528">
        <f>D22*$K$4</f>
        <v>-17758.65421994885</v>
      </c>
    </row>
    <row r="23" spans="1:8">
      <c r="A23">
        <v>7020</v>
      </c>
      <c r="B23" s="412" t="s">
        <v>582</v>
      </c>
      <c r="C23" s="410" t="s">
        <v>672</v>
      </c>
      <c r="D23" s="735">
        <v>-274.17</v>
      </c>
      <c r="F23" s="411">
        <v>-156.19999999999999</v>
      </c>
      <c r="H23" s="529">
        <f>D23*$K$4</f>
        <v>-292.40125319693095</v>
      </c>
    </row>
    <row r="24" spans="1:8">
      <c r="B24" s="412" t="s">
        <v>486</v>
      </c>
      <c r="C24" s="410" t="s">
        <v>486</v>
      </c>
      <c r="D24" s="411"/>
      <c r="E24" s="411">
        <f>SUM(D22:D23)</f>
        <v>-16925.57</v>
      </c>
      <c r="F24" s="411"/>
      <c r="H24" s="527">
        <f>SUM(H22:H23)</f>
        <v>-18051.055473145781</v>
      </c>
    </row>
    <row r="25" spans="1:8" ht="30">
      <c r="B25" s="412" t="s">
        <v>486</v>
      </c>
      <c r="C25" s="413" t="s">
        <v>673</v>
      </c>
      <c r="D25" s="411"/>
      <c r="E25" s="411"/>
      <c r="F25" s="411"/>
      <c r="H25" s="528"/>
    </row>
    <row r="26" spans="1:8" ht="15">
      <c r="B26" s="412"/>
      <c r="C26" s="413"/>
      <c r="D26" s="411"/>
      <c r="E26" s="411"/>
      <c r="F26" s="411"/>
      <c r="H26" s="528"/>
    </row>
    <row r="27" spans="1:8">
      <c r="B27" s="412" t="s">
        <v>486</v>
      </c>
      <c r="C27" s="410" t="s">
        <v>486</v>
      </c>
      <c r="D27" s="411"/>
      <c r="E27" s="411"/>
      <c r="F27" s="411"/>
      <c r="H27" s="528"/>
    </row>
    <row r="28" spans="1:8" ht="75">
      <c r="B28" s="412" t="s">
        <v>486</v>
      </c>
      <c r="C28" s="413" t="s">
        <v>674</v>
      </c>
      <c r="D28" s="411"/>
      <c r="E28" s="411"/>
      <c r="F28" s="411"/>
      <c r="H28" s="528"/>
    </row>
    <row r="29" spans="1:8">
      <c r="A29" s="142">
        <v>7021</v>
      </c>
      <c r="B29" s="412" t="s">
        <v>586</v>
      </c>
      <c r="C29" s="410" t="s">
        <v>675</v>
      </c>
      <c r="D29" s="411"/>
      <c r="E29" s="411">
        <v>0</v>
      </c>
      <c r="F29" s="411">
        <v>-386.83</v>
      </c>
      <c r="H29" s="527">
        <f>E29*$K$4</f>
        <v>0</v>
      </c>
    </row>
    <row r="30" spans="1:8">
      <c r="A30">
        <v>7021</v>
      </c>
      <c r="B30" s="412">
        <v>4855</v>
      </c>
      <c r="C30" s="410" t="s">
        <v>1393</v>
      </c>
      <c r="D30" s="411">
        <v>-419.33</v>
      </c>
      <c r="F30" s="411"/>
      <c r="H30" s="570">
        <f>D30*$K$4</f>
        <v>-447.21383631713553</v>
      </c>
    </row>
    <row r="31" spans="1:8">
      <c r="B31" s="412"/>
      <c r="C31" s="410"/>
      <c r="D31" s="411"/>
      <c r="E31" s="745">
        <f>D30</f>
        <v>-419.33</v>
      </c>
      <c r="F31" s="411"/>
      <c r="H31" s="570"/>
    </row>
    <row r="32" spans="1:8">
      <c r="B32" s="412"/>
      <c r="C32" s="410"/>
      <c r="D32" s="411"/>
      <c r="E32" s="411"/>
      <c r="F32" s="411"/>
      <c r="H32" s="736">
        <f>H30+H29</f>
        <v>-447.21383631713553</v>
      </c>
    </row>
    <row r="33" spans="1:10" ht="15">
      <c r="B33" s="412" t="s">
        <v>486</v>
      </c>
      <c r="C33" s="409" t="s">
        <v>676</v>
      </c>
      <c r="D33" s="411"/>
      <c r="E33" s="411"/>
      <c r="F33" s="411"/>
      <c r="H33" s="528"/>
    </row>
    <row r="34" spans="1:10">
      <c r="A34">
        <v>7021</v>
      </c>
      <c r="B34" s="412" t="s">
        <v>589</v>
      </c>
      <c r="C34" s="410" t="s">
        <v>590</v>
      </c>
      <c r="D34" s="411">
        <v>0</v>
      </c>
      <c r="F34" s="411">
        <v>-5174.7299999999996</v>
      </c>
      <c r="H34" s="528">
        <f t="shared" ref="H34:H35" si="0">D34*$K$4</f>
        <v>0</v>
      </c>
    </row>
    <row r="35" spans="1:10">
      <c r="A35" s="142">
        <v>7021</v>
      </c>
      <c r="B35" s="440" t="s">
        <v>805</v>
      </c>
      <c r="C35" s="410" t="s">
        <v>806</v>
      </c>
      <c r="D35" s="411">
        <v>0</v>
      </c>
      <c r="E35" s="411">
        <v>0</v>
      </c>
      <c r="F35" s="411"/>
      <c r="H35" s="529">
        <f t="shared" si="0"/>
        <v>0</v>
      </c>
    </row>
    <row r="36" spans="1:10" ht="30">
      <c r="B36" s="412" t="s">
        <v>486</v>
      </c>
      <c r="C36" s="413" t="s">
        <v>743</v>
      </c>
      <c r="D36" s="411"/>
      <c r="E36" s="411"/>
      <c r="F36" s="411"/>
      <c r="H36" s="527">
        <f>SUM(H34:H35)</f>
        <v>0</v>
      </c>
    </row>
    <row r="37" spans="1:10">
      <c r="A37">
        <v>7054</v>
      </c>
      <c r="B37" s="412">
        <v>4360</v>
      </c>
      <c r="C37" s="410" t="s">
        <v>1099</v>
      </c>
      <c r="D37" s="411">
        <v>-99960</v>
      </c>
      <c r="E37" s="411"/>
      <c r="F37" s="411"/>
      <c r="H37" s="570">
        <f>D37*$K$4</f>
        <v>-106606.95652173914</v>
      </c>
    </row>
    <row r="38" spans="1:10">
      <c r="A38">
        <v>7020</v>
      </c>
      <c r="B38" s="412" t="s">
        <v>744</v>
      </c>
      <c r="C38" s="410" t="s">
        <v>745</v>
      </c>
      <c r="D38" s="411">
        <v>-108.28</v>
      </c>
      <c r="F38" s="411">
        <v>0</v>
      </c>
      <c r="H38" s="558">
        <f>D38*$K$4</f>
        <v>-115.48020460358057</v>
      </c>
    </row>
    <row r="39" spans="1:10">
      <c r="A39">
        <v>7020</v>
      </c>
      <c r="B39" s="142">
        <v>4397</v>
      </c>
      <c r="C39" s="410" t="s">
        <v>1024</v>
      </c>
      <c r="D39" s="411"/>
      <c r="E39" s="411">
        <v>0</v>
      </c>
      <c r="F39" s="411"/>
      <c r="H39" s="562">
        <f>E39*$K$4</f>
        <v>0</v>
      </c>
      <c r="J39" s="58"/>
    </row>
    <row r="40" spans="1:10">
      <c r="B40" s="412" t="s">
        <v>486</v>
      </c>
      <c r="C40" s="410" t="s">
        <v>486</v>
      </c>
      <c r="D40" s="411"/>
      <c r="E40" s="411">
        <f>D37+D38</f>
        <v>-100068.28</v>
      </c>
      <c r="F40" s="411"/>
      <c r="H40" s="527">
        <f>H37+H38</f>
        <v>-106722.43672634271</v>
      </c>
    </row>
    <row r="41" spans="1:10" ht="30">
      <c r="B41" s="412" t="s">
        <v>486</v>
      </c>
      <c r="C41" s="413" t="s">
        <v>677</v>
      </c>
      <c r="D41" s="411"/>
      <c r="E41" s="411"/>
      <c r="F41" s="411"/>
      <c r="H41" s="528"/>
    </row>
    <row r="42" spans="1:10">
      <c r="A42">
        <v>7026</v>
      </c>
      <c r="B42" s="142">
        <v>4600</v>
      </c>
      <c r="C42" s="410" t="s">
        <v>702</v>
      </c>
      <c r="D42" s="411">
        <v>-440</v>
      </c>
      <c r="E42" s="411"/>
      <c r="F42" s="411">
        <v>-27249.72</v>
      </c>
      <c r="H42" s="570">
        <f t="shared" ref="H42:H47" si="1">D42*$K$4</f>
        <v>-469.25831202046038</v>
      </c>
    </row>
    <row r="43" spans="1:10">
      <c r="A43">
        <v>7026</v>
      </c>
      <c r="B43" s="142">
        <v>4655</v>
      </c>
      <c r="C43" s="410" t="s">
        <v>1025</v>
      </c>
      <c r="D43" s="729">
        <v>-4.5</v>
      </c>
      <c r="E43" s="411"/>
      <c r="F43" s="411">
        <v>-234.96</v>
      </c>
      <c r="H43" s="570">
        <f t="shared" si="1"/>
        <v>-4.7992327365728897</v>
      </c>
    </row>
    <row r="44" spans="1:10">
      <c r="B44" s="412" t="s">
        <v>603</v>
      </c>
      <c r="C44" s="410" t="s">
        <v>604</v>
      </c>
      <c r="D44" s="411">
        <v>0</v>
      </c>
      <c r="E44" s="411"/>
      <c r="F44" s="411">
        <v>-937.19</v>
      </c>
      <c r="H44" s="570">
        <f t="shared" si="1"/>
        <v>0</v>
      </c>
    </row>
    <row r="45" spans="1:10">
      <c r="A45">
        <v>7025</v>
      </c>
      <c r="B45" s="412" t="s">
        <v>606</v>
      </c>
      <c r="C45" s="410" t="s">
        <v>607</v>
      </c>
      <c r="D45" s="411">
        <v>-3480.46</v>
      </c>
      <c r="E45" s="411"/>
      <c r="F45" s="411">
        <v>-1700.42</v>
      </c>
      <c r="H45" s="570">
        <f t="shared" si="1"/>
        <v>-3711.8972378516623</v>
      </c>
    </row>
    <row r="46" spans="1:10">
      <c r="A46">
        <v>7025</v>
      </c>
      <c r="B46" s="412" t="s">
        <v>609</v>
      </c>
      <c r="C46" s="410" t="s">
        <v>610</v>
      </c>
      <c r="D46" s="411">
        <v>0</v>
      </c>
      <c r="E46" s="411"/>
      <c r="F46" s="411">
        <v>-305</v>
      </c>
      <c r="H46" s="570">
        <f t="shared" si="1"/>
        <v>0</v>
      </c>
    </row>
    <row r="47" spans="1:10">
      <c r="A47">
        <v>7025</v>
      </c>
      <c r="B47" s="412" t="s">
        <v>612</v>
      </c>
      <c r="C47" s="410" t="s">
        <v>613</v>
      </c>
      <c r="D47" s="411">
        <v>-2355.7600000000002</v>
      </c>
      <c r="E47" s="411"/>
      <c r="F47" s="411">
        <v>-2245.81</v>
      </c>
      <c r="H47" s="570">
        <f t="shared" si="1"/>
        <v>-2512.4090025575451</v>
      </c>
    </row>
    <row r="48" spans="1:10">
      <c r="B48" s="412" t="s">
        <v>615</v>
      </c>
      <c r="C48" s="410" t="s">
        <v>616</v>
      </c>
      <c r="D48" s="414">
        <v>0</v>
      </c>
      <c r="E48" s="411">
        <f>SUM(D42:D48)</f>
        <v>-6280.72</v>
      </c>
      <c r="F48" s="411">
        <v>-612.6</v>
      </c>
      <c r="H48" s="562">
        <f>D48*$K$4</f>
        <v>0</v>
      </c>
    </row>
    <row r="49" spans="1:8">
      <c r="B49" s="412" t="s">
        <v>486</v>
      </c>
      <c r="C49" s="410" t="s">
        <v>486</v>
      </c>
      <c r="D49" s="411"/>
      <c r="E49" s="411"/>
      <c r="F49" s="411"/>
      <c r="H49" s="527">
        <f>SUM(H42:H48)</f>
        <v>-6698.3637851662406</v>
      </c>
    </row>
    <row r="50" spans="1:8" ht="30">
      <c r="B50" s="412" t="s">
        <v>486</v>
      </c>
      <c r="C50" s="413" t="s">
        <v>678</v>
      </c>
      <c r="D50" s="411"/>
      <c r="E50" s="411"/>
      <c r="F50" s="411"/>
      <c r="H50" s="528"/>
    </row>
    <row r="51" spans="1:8">
      <c r="B51" s="412" t="s">
        <v>619</v>
      </c>
      <c r="C51" s="410" t="s">
        <v>679</v>
      </c>
      <c r="D51" s="411"/>
      <c r="E51" s="411">
        <v>0</v>
      </c>
      <c r="F51" s="411">
        <v>-17280</v>
      </c>
      <c r="H51" s="528"/>
    </row>
    <row r="52" spans="1:8">
      <c r="B52" s="412" t="s">
        <v>486</v>
      </c>
      <c r="C52" s="410" t="s">
        <v>486</v>
      </c>
      <c r="D52" s="411"/>
      <c r="E52" s="411"/>
      <c r="F52" s="411"/>
      <c r="H52" s="528"/>
    </row>
    <row r="53" spans="1:8" ht="30">
      <c r="B53" s="412" t="s">
        <v>486</v>
      </c>
      <c r="C53" s="413" t="s">
        <v>680</v>
      </c>
      <c r="D53" s="411"/>
      <c r="E53" s="411"/>
      <c r="F53" s="411"/>
      <c r="H53" s="528"/>
    </row>
    <row r="54" spans="1:8">
      <c r="A54">
        <v>7021</v>
      </c>
      <c r="B54" s="412" t="s">
        <v>622</v>
      </c>
      <c r="C54" s="410" t="s">
        <v>623</v>
      </c>
      <c r="D54" s="592">
        <v>-1783.71</v>
      </c>
      <c r="E54" s="411"/>
      <c r="F54" s="411">
        <v>-239.5</v>
      </c>
      <c r="H54" s="528">
        <f>D54*$K$4</f>
        <v>-1902.3198721227623</v>
      </c>
    </row>
    <row r="55" spans="1:8">
      <c r="A55">
        <v>7021</v>
      </c>
      <c r="B55" s="412" t="s">
        <v>625</v>
      </c>
      <c r="C55" s="410" t="s">
        <v>626</v>
      </c>
      <c r="D55" s="411">
        <v>0</v>
      </c>
      <c r="E55" s="411"/>
      <c r="F55" s="411">
        <v>-648.57000000000005</v>
      </c>
      <c r="H55" s="528">
        <f t="shared" ref="H55:H56" si="2">D55*$K$4</f>
        <v>0</v>
      </c>
    </row>
    <row r="56" spans="1:8">
      <c r="A56">
        <v>7021</v>
      </c>
      <c r="B56" s="412" t="s">
        <v>628</v>
      </c>
      <c r="C56" s="410" t="s">
        <v>681</v>
      </c>
      <c r="D56" s="411">
        <v>0</v>
      </c>
      <c r="E56" s="411"/>
      <c r="F56" s="411">
        <v>-131.9</v>
      </c>
      <c r="H56" s="528">
        <f t="shared" si="2"/>
        <v>0</v>
      </c>
    </row>
    <row r="57" spans="1:8">
      <c r="A57">
        <v>7021</v>
      </c>
      <c r="B57" s="412" t="s">
        <v>630</v>
      </c>
      <c r="C57" s="410" t="s">
        <v>703</v>
      </c>
      <c r="D57" s="411">
        <v>-1220.42</v>
      </c>
      <c r="E57" s="411"/>
      <c r="F57" s="411">
        <v>-820</v>
      </c>
      <c r="H57" s="528">
        <f>D57*$K$4</f>
        <v>-1301.5732480818415</v>
      </c>
    </row>
    <row r="58" spans="1:8">
      <c r="A58">
        <v>7021</v>
      </c>
      <c r="B58" s="412" t="s">
        <v>633</v>
      </c>
      <c r="C58" s="410" t="s">
        <v>746</v>
      </c>
      <c r="D58" s="411">
        <v>-1809.1</v>
      </c>
      <c r="E58" s="411"/>
      <c r="F58" s="411"/>
      <c r="H58" s="528">
        <f>D58*$K$4</f>
        <v>-1929.3982097186699</v>
      </c>
    </row>
    <row r="59" spans="1:8">
      <c r="A59">
        <v>7021</v>
      </c>
      <c r="B59" s="412" t="s">
        <v>807</v>
      </c>
      <c r="C59" s="410" t="s">
        <v>808</v>
      </c>
      <c r="D59" s="411">
        <v>-300</v>
      </c>
      <c r="E59" s="411"/>
      <c r="F59" s="411">
        <v>-2355.3000000000002</v>
      </c>
      <c r="H59" s="528">
        <f>D59*$K$4</f>
        <v>-319.94884910485933</v>
      </c>
    </row>
    <row r="60" spans="1:8">
      <c r="A60">
        <v>7021</v>
      </c>
      <c r="B60" s="412" t="s">
        <v>638</v>
      </c>
      <c r="C60" s="410" t="s">
        <v>639</v>
      </c>
      <c r="D60" s="411">
        <v>-328.23</v>
      </c>
      <c r="E60" s="411">
        <f>SUM(D54:D60)</f>
        <v>-5441.4599999999991</v>
      </c>
      <c r="F60" s="411">
        <v>-237.88</v>
      </c>
      <c r="H60" s="528">
        <f>D60*$K$4</f>
        <v>-350.05603580562661</v>
      </c>
    </row>
    <row r="61" spans="1:8">
      <c r="B61" s="412" t="s">
        <v>486</v>
      </c>
      <c r="C61" s="410" t="s">
        <v>486</v>
      </c>
      <c r="D61" s="411"/>
      <c r="E61" s="411"/>
      <c r="F61" s="411"/>
      <c r="H61" s="527">
        <f>SUM(H54:H60)</f>
        <v>-5803.2962148337592</v>
      </c>
    </row>
    <row r="62" spans="1:8" ht="30">
      <c r="B62" s="412" t="s">
        <v>486</v>
      </c>
      <c r="C62" s="413" t="s">
        <v>1026</v>
      </c>
      <c r="D62" s="411"/>
      <c r="E62" s="411"/>
      <c r="F62" s="411"/>
      <c r="H62" s="527"/>
    </row>
    <row r="63" spans="1:8" s="99" customFormat="1">
      <c r="A63" s="99">
        <v>7900</v>
      </c>
      <c r="B63" s="277">
        <v>2650</v>
      </c>
      <c r="C63" s="555" t="s">
        <v>1027</v>
      </c>
      <c r="E63" s="590">
        <v>0</v>
      </c>
      <c r="F63" s="590"/>
      <c r="H63" s="570">
        <f>E63*$K$4</f>
        <v>0</v>
      </c>
    </row>
    <row r="64" spans="1:8">
      <c r="B64" s="412"/>
      <c r="C64" s="410"/>
      <c r="D64" s="411"/>
      <c r="E64" s="411"/>
      <c r="F64" s="411"/>
      <c r="H64" s="527"/>
    </row>
    <row r="65" spans="1:13">
      <c r="B65" s="412"/>
      <c r="C65" s="410"/>
      <c r="D65" s="411"/>
      <c r="E65" s="411"/>
      <c r="F65" s="411"/>
      <c r="H65" s="527"/>
    </row>
    <row r="66" spans="1:13">
      <c r="A66">
        <v>7901</v>
      </c>
      <c r="B66" s="412">
        <v>9004</v>
      </c>
      <c r="C66" s="410" t="s">
        <v>470</v>
      </c>
      <c r="D66" s="411"/>
      <c r="E66" s="411"/>
      <c r="F66" s="411"/>
      <c r="H66" s="527">
        <f>-('GMBH BS 31.12.2022'!J48+'GMBH BS 31.12.2022'!J51)</f>
        <v>-3237.8159335038363</v>
      </c>
    </row>
    <row r="67" spans="1:13">
      <c r="B67" s="412"/>
      <c r="C67" s="410"/>
      <c r="D67" s="411"/>
      <c r="E67" s="411"/>
      <c r="F67" s="411"/>
      <c r="H67" s="527"/>
    </row>
    <row r="68" spans="1:13" ht="30">
      <c r="B68" s="412" t="s">
        <v>486</v>
      </c>
      <c r="C68" s="413" t="s">
        <v>783</v>
      </c>
      <c r="D68" s="411"/>
      <c r="E68" s="411"/>
      <c r="F68" s="411"/>
      <c r="H68" s="528"/>
    </row>
    <row r="69" spans="1:13">
      <c r="A69">
        <v>7901</v>
      </c>
      <c r="B69" s="412" t="s">
        <v>784</v>
      </c>
      <c r="C69" s="410" t="s">
        <v>785</v>
      </c>
      <c r="D69" s="411"/>
      <c r="E69" s="411">
        <v>0</v>
      </c>
      <c r="F69" s="411">
        <v>0</v>
      </c>
      <c r="H69" s="527">
        <f>E69*$K$4</f>
        <v>0</v>
      </c>
    </row>
    <row r="70" spans="1:13">
      <c r="B70" s="412" t="s">
        <v>486</v>
      </c>
      <c r="C70" s="410" t="s">
        <v>486</v>
      </c>
      <c r="D70" s="411"/>
      <c r="E70" s="411"/>
      <c r="F70" s="411"/>
      <c r="H70" s="528"/>
    </row>
    <row r="71" spans="1:13" ht="15">
      <c r="B71" s="412" t="s">
        <v>486</v>
      </c>
      <c r="C71" s="409" t="s">
        <v>748</v>
      </c>
      <c r="D71" s="411"/>
      <c r="E71" s="411"/>
      <c r="F71" s="411"/>
      <c r="H71" s="528"/>
    </row>
    <row r="72" spans="1:13">
      <c r="A72">
        <v>7028</v>
      </c>
      <c r="B72" s="412" t="s">
        <v>762</v>
      </c>
      <c r="C72" s="410" t="s">
        <v>749</v>
      </c>
      <c r="D72" s="411">
        <v>-1164</v>
      </c>
      <c r="E72" s="411"/>
      <c r="F72" s="411">
        <v>0</v>
      </c>
      <c r="H72" s="528">
        <f>D72*$K$4</f>
        <v>-1241.4015345268542</v>
      </c>
    </row>
    <row r="73" spans="1:13">
      <c r="A73">
        <v>7028</v>
      </c>
      <c r="B73" s="412" t="s">
        <v>801</v>
      </c>
      <c r="C73" s="410" t="s">
        <v>802</v>
      </c>
      <c r="D73" s="411">
        <v>-64</v>
      </c>
      <c r="E73" s="411"/>
      <c r="F73" s="411"/>
      <c r="H73" s="558">
        <f>D73*$K$4</f>
        <v>-68.255754475703327</v>
      </c>
    </row>
    <row r="74" spans="1:13" ht="15">
      <c r="A74">
        <v>7028</v>
      </c>
      <c r="B74" s="412" t="s">
        <v>809</v>
      </c>
      <c r="C74" s="410" t="s">
        <v>810</v>
      </c>
      <c r="D74" s="414">
        <v>-583.5</v>
      </c>
      <c r="E74" s="411">
        <f>SUM(D72:D74)</f>
        <v>-1811.5</v>
      </c>
      <c r="F74" s="411"/>
      <c r="H74" s="561">
        <f>D74*$K$4</f>
        <v>-622.30051150895144</v>
      </c>
    </row>
    <row r="75" spans="1:13">
      <c r="B75" s="412" t="s">
        <v>486</v>
      </c>
      <c r="C75" s="410" t="s">
        <v>486</v>
      </c>
      <c r="D75" s="411"/>
      <c r="E75" s="411"/>
      <c r="F75" s="414"/>
      <c r="H75" s="562">
        <f>SUM(H72:H74)</f>
        <v>-1931.957800511509</v>
      </c>
    </row>
    <row r="76" spans="1:13">
      <c r="B76" s="412" t="s">
        <v>486</v>
      </c>
      <c r="C76" s="410" t="s">
        <v>486</v>
      </c>
      <c r="D76" s="411"/>
      <c r="E76" s="411"/>
      <c r="F76" s="411"/>
      <c r="H76" s="525"/>
    </row>
    <row r="77" spans="1:13" ht="30">
      <c r="B77" s="412" t="s">
        <v>486</v>
      </c>
      <c r="C77" s="413" t="s">
        <v>545</v>
      </c>
      <c r="D77" s="411"/>
      <c r="E77" s="411"/>
      <c r="F77" s="411"/>
      <c r="H77" s="525"/>
    </row>
    <row r="78" spans="1:13">
      <c r="B78" s="412" t="s">
        <v>486</v>
      </c>
      <c r="C78" s="410" t="s">
        <v>546</v>
      </c>
      <c r="D78" s="411">
        <f>E12+E20+E24+E48+E60+E74+E40+E31</f>
        <v>31350.290000000023</v>
      </c>
      <c r="E78" s="411"/>
      <c r="F78" s="411">
        <v>11407.34</v>
      </c>
      <c r="H78" s="526">
        <f>H12+H15+H20+H24+H40+H49+H61+H63+H66+H75+H32</f>
        <v>30197.148081841438</v>
      </c>
      <c r="I78" s="285">
        <f>D78*K4+H66-H78</f>
        <v>0</v>
      </c>
      <c r="L78" s="99">
        <v>25850.89</v>
      </c>
      <c r="M78" s="746">
        <f>D78-L78</f>
        <v>5499.4000000000233</v>
      </c>
    </row>
    <row r="79" spans="1:13" ht="13.5" thickBot="1">
      <c r="B79" s="412" t="s">
        <v>486</v>
      </c>
      <c r="C79" s="410" t="s">
        <v>486</v>
      </c>
      <c r="D79" s="411"/>
      <c r="E79" s="415"/>
      <c r="F79" s="415"/>
      <c r="H79" s="530"/>
    </row>
    <row r="80" spans="1:13" ht="13.5" thickTop="1"/>
    <row r="83" spans="4:4">
      <c r="D83" s="504"/>
    </row>
  </sheetData>
  <pageMargins left="0.7" right="0.7" top="0.75" bottom="0.75" header="0.3" footer="0.3"/>
  <pageSetup paperSize="9" scale="4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0EB63-E245-451F-893B-2B113B2A4C97}">
  <dimension ref="A1:O25"/>
  <sheetViews>
    <sheetView zoomScale="85" zoomScaleNormal="85" workbookViewId="0">
      <selection activeCell="C11" sqref="C11"/>
    </sheetView>
  </sheetViews>
  <sheetFormatPr defaultColWidth="8.5703125" defaultRowHeight="15"/>
  <cols>
    <col min="1" max="1" width="45.42578125" style="709" bestFit="1" customWidth="1"/>
    <col min="2" max="2" width="2.42578125" style="709" customWidth="1"/>
    <col min="3" max="3" width="32.42578125" style="709" customWidth="1"/>
    <col min="4" max="4" width="24.5703125" style="709" customWidth="1"/>
    <col min="5" max="5" width="19.42578125" style="709" customWidth="1"/>
    <col min="6" max="6" width="29.42578125" style="709" customWidth="1"/>
    <col min="7" max="7" width="27.42578125" style="709" customWidth="1"/>
    <col min="8" max="8" width="21.42578125" style="701" customWidth="1"/>
    <col min="9" max="9" width="16.42578125" style="709" customWidth="1"/>
    <col min="10" max="10" width="23.42578125" style="709" bestFit="1" customWidth="1"/>
    <col min="11" max="11" width="21.42578125" style="709" customWidth="1"/>
    <col min="12" max="12" width="13.5703125" style="709" customWidth="1"/>
    <col min="13" max="14" width="8.5703125" style="709"/>
    <col min="15" max="15" width="11.42578125" style="709" bestFit="1" customWidth="1"/>
    <col min="16" max="16384" width="8.5703125" style="709"/>
  </cols>
  <sheetData>
    <row r="1" spans="1:15">
      <c r="C1" s="679">
        <f>DATE</f>
        <v>44926</v>
      </c>
      <c r="D1" s="715">
        <f>'Master Data (do not print)'!B23</f>
        <v>3.5190000000000001</v>
      </c>
      <c r="E1" s="709" t="s">
        <v>1100</v>
      </c>
      <c r="F1" s="690"/>
    </row>
    <row r="2" spans="1:15">
      <c r="C2" s="679"/>
      <c r="D2" s="715">
        <f>'Master Data (do not print)'!B24</f>
        <v>3.7530000000000001</v>
      </c>
      <c r="E2" s="709" t="s">
        <v>1101</v>
      </c>
    </row>
    <row r="3" spans="1:15">
      <c r="C3" s="679"/>
      <c r="D3" s="709">
        <f>'GMBH P&amp;L 12.2022'!K4</f>
        <v>1.0664961636828645</v>
      </c>
      <c r="E3" s="591" t="s">
        <v>1093</v>
      </c>
    </row>
    <row r="4" spans="1:15">
      <c r="A4" s="705" t="s">
        <v>40</v>
      </c>
      <c r="B4" s="696"/>
      <c r="C4" s="714"/>
      <c r="D4" s="685"/>
      <c r="E4" s="685"/>
      <c r="G4" s="696"/>
      <c r="I4" s="716"/>
      <c r="J4" s="716" t="s">
        <v>1102</v>
      </c>
      <c r="K4" s="716"/>
    </row>
    <row r="5" spans="1:15" ht="39">
      <c r="A5" s="681" t="s">
        <v>1103</v>
      </c>
      <c r="B5" s="681"/>
      <c r="C5" s="681" t="s">
        <v>1104</v>
      </c>
      <c r="D5" s="681" t="s">
        <v>1105</v>
      </c>
      <c r="E5" s="681" t="s">
        <v>1106</v>
      </c>
      <c r="F5" s="681" t="s">
        <v>1107</v>
      </c>
      <c r="G5" s="681" t="s">
        <v>1108</v>
      </c>
      <c r="H5" s="703" t="s">
        <v>1129</v>
      </c>
      <c r="I5" s="676" t="s">
        <v>1109</v>
      </c>
      <c r="J5" s="713" t="s">
        <v>1110</v>
      </c>
      <c r="K5" s="711" t="s">
        <v>1111</v>
      </c>
      <c r="L5" s="688" t="s">
        <v>1112</v>
      </c>
    </row>
    <row r="6" spans="1:15" ht="19.5" customHeight="1">
      <c r="A6" s="675" t="s">
        <v>1128</v>
      </c>
      <c r="B6" s="681"/>
      <c r="C6" s="683">
        <v>44454</v>
      </c>
      <c r="D6" s="683">
        <v>45550</v>
      </c>
      <c r="E6" s="683">
        <f>$C$1</f>
        <v>44926</v>
      </c>
      <c r="F6" s="698">
        <f>+D6-C6+1</f>
        <v>1097</v>
      </c>
      <c r="G6" s="698">
        <f t="shared" ref="G6" si="0">IF(D6&lt;E6,0,D6-E6)</f>
        <v>624</v>
      </c>
      <c r="H6" s="706">
        <v>99960</v>
      </c>
      <c r="I6" s="680">
        <f>IF(G6&gt;0,H6*G6/F6,0)</f>
        <v>56859.65360072926</v>
      </c>
      <c r="J6" s="680">
        <v>59684.41203281677</v>
      </c>
      <c r="K6" s="722">
        <f>J6-I6</f>
        <v>2824.7584320875103</v>
      </c>
      <c r="L6" s="686">
        <v>8019</v>
      </c>
      <c r="N6" s="670">
        <f>SUM(K6:K6)</f>
        <v>2824.7584320875103</v>
      </c>
      <c r="O6" s="709">
        <v>8019</v>
      </c>
    </row>
    <row r="7" spans="1:15" ht="17.25" customHeight="1" thickBot="1">
      <c r="B7" s="681"/>
      <c r="C7" s="683"/>
      <c r="D7" s="683"/>
      <c r="E7" s="683"/>
      <c r="F7" s="687"/>
      <c r="G7" s="687"/>
      <c r="H7" s="706"/>
      <c r="I7" s="700">
        <f>SUM(I6:I6)</f>
        <v>56859.65360072926</v>
      </c>
      <c r="J7" s="700">
        <f>SUM(J6:J6)</f>
        <v>59684.41203281677</v>
      </c>
      <c r="K7" s="700">
        <f>SUM(K6:K6)</f>
        <v>2824.7584320875103</v>
      </c>
      <c r="L7" s="686"/>
    </row>
    <row r="8" spans="1:15" s="699" customFormat="1" ht="16.5" thickTop="1" thickBot="1">
      <c r="A8" s="672"/>
      <c r="C8" s="683"/>
      <c r="D8" s="683"/>
      <c r="E8" s="683"/>
      <c r="F8" s="698"/>
      <c r="G8" s="687"/>
      <c r="H8" s="712"/>
      <c r="I8" s="673">
        <f>I7*$D$3</f>
        <v>60640.60243351433</v>
      </c>
      <c r="J8" s="673">
        <v>61821.325593538371</v>
      </c>
      <c r="K8" s="673">
        <f>I8-J8</f>
        <v>-1180.7231600240411</v>
      </c>
      <c r="L8" s="686">
        <v>6003</v>
      </c>
    </row>
    <row r="9" spans="1:15" s="699" customFormat="1" ht="15.75" thickTop="1">
      <c r="A9" s="672"/>
      <c r="C9" s="683"/>
      <c r="D9" s="683"/>
      <c r="E9" s="683"/>
      <c r="F9" s="698"/>
      <c r="G9" s="687"/>
      <c r="H9" s="710"/>
      <c r="J9" s="667"/>
      <c r="K9" s="721">
        <f>I8-J8</f>
        <v>-1180.7231600240411</v>
      </c>
      <c r="L9" s="686"/>
    </row>
    <row r="11" spans="1:15">
      <c r="C11" s="229" t="s">
        <v>1098</v>
      </c>
    </row>
    <row r="12" spans="1:15" hidden="1"/>
    <row r="13" spans="1:15" hidden="1">
      <c r="A13" s="684" t="s">
        <v>1113</v>
      </c>
    </row>
    <row r="14" spans="1:15" hidden="1">
      <c r="A14" s="693" t="s">
        <v>1114</v>
      </c>
    </row>
    <row r="15" spans="1:15" hidden="1"/>
    <row r="16" spans="1:15" hidden="1">
      <c r="I16" s="709" t="s">
        <v>1115</v>
      </c>
    </row>
    <row r="17" spans="1:9" hidden="1">
      <c r="A17" s="677" t="s">
        <v>1116</v>
      </c>
      <c r="B17" s="677" t="s">
        <v>313</v>
      </c>
      <c r="C17" s="677" t="s">
        <v>1117</v>
      </c>
      <c r="D17" s="677" t="s">
        <v>1118</v>
      </c>
      <c r="E17" s="694" t="s">
        <v>1119</v>
      </c>
      <c r="F17" s="677" t="s">
        <v>1120</v>
      </c>
      <c r="G17" s="677" t="s">
        <v>1121</v>
      </c>
      <c r="H17" s="708" t="s">
        <v>1122</v>
      </c>
    </row>
    <row r="18" spans="1:9" hidden="1">
      <c r="A18" s="709">
        <v>80394</v>
      </c>
      <c r="B18" s="690">
        <v>44116</v>
      </c>
      <c r="C18" s="678">
        <v>5282.5</v>
      </c>
      <c r="D18" s="678">
        <v>1725</v>
      </c>
      <c r="E18" s="671">
        <f>D18*0.8</f>
        <v>1380</v>
      </c>
      <c r="F18" s="678">
        <v>3000</v>
      </c>
      <c r="G18" s="678">
        <f>0.8*(C18-F18)</f>
        <v>1826</v>
      </c>
      <c r="H18" s="689" t="s">
        <v>1123</v>
      </c>
      <c r="I18" s="709">
        <v>3.383</v>
      </c>
    </row>
    <row r="19" spans="1:9" hidden="1">
      <c r="A19" s="709">
        <v>80394</v>
      </c>
      <c r="B19" s="690">
        <v>44116</v>
      </c>
      <c r="C19" s="678">
        <v>24981.25</v>
      </c>
      <c r="D19" s="678">
        <v>24981.25</v>
      </c>
      <c r="E19" s="671">
        <f>D19*0.8</f>
        <v>19985</v>
      </c>
      <c r="F19" s="678">
        <v>3000</v>
      </c>
      <c r="G19" s="678">
        <f>0.8*(C19-F19)</f>
        <v>17585</v>
      </c>
      <c r="H19" s="689" t="s">
        <v>1124</v>
      </c>
      <c r="I19" s="709">
        <v>3.383</v>
      </c>
    </row>
    <row r="20" spans="1:9" hidden="1">
      <c r="A20" s="709">
        <v>80394</v>
      </c>
      <c r="B20" s="690">
        <v>44116</v>
      </c>
      <c r="C20" s="678">
        <v>2000</v>
      </c>
      <c r="D20" s="674" t="s">
        <v>1125</v>
      </c>
      <c r="E20" s="671"/>
      <c r="F20" s="669" t="s">
        <v>1125</v>
      </c>
      <c r="G20" s="669">
        <f>C20</f>
        <v>2000</v>
      </c>
      <c r="H20" s="689" t="s">
        <v>1126</v>
      </c>
      <c r="I20" s="709">
        <v>3.383</v>
      </c>
    </row>
    <row r="21" spans="1:9" ht="15.75" hidden="1" thickBot="1">
      <c r="A21" s="682">
        <v>81223</v>
      </c>
      <c r="B21" s="692">
        <v>44143</v>
      </c>
      <c r="C21" s="702">
        <v>2000</v>
      </c>
      <c r="D21" s="668" t="s">
        <v>1125</v>
      </c>
      <c r="E21" s="697"/>
      <c r="F21" s="707" t="s">
        <v>1125</v>
      </c>
      <c r="G21" s="707">
        <f>C21</f>
        <v>2000</v>
      </c>
      <c r="H21" s="704" t="s">
        <v>1127</v>
      </c>
      <c r="I21" s="709">
        <v>3.3769999999999998</v>
      </c>
    </row>
    <row r="22" spans="1:9" hidden="1">
      <c r="C22" s="678"/>
      <c r="E22" s="671"/>
      <c r="F22" s="678"/>
    </row>
    <row r="23" spans="1:9" hidden="1">
      <c r="C23" s="678">
        <f>SUM(C18:C22)</f>
        <v>34263.75</v>
      </c>
      <c r="D23" s="678">
        <f>SUM(D18:D22)</f>
        <v>26706.25</v>
      </c>
      <c r="E23" s="671">
        <f>D23*0.8</f>
        <v>21365</v>
      </c>
      <c r="F23" s="678"/>
      <c r="G23" s="678">
        <f>SUM(G18:G22)</f>
        <v>23411</v>
      </c>
    </row>
    <row r="24" spans="1:9" hidden="1">
      <c r="E24" s="695"/>
    </row>
    <row r="25" spans="1:9" hidden="1">
      <c r="E25" s="691">
        <f>E23*I18</f>
        <v>72277.794999999998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4DCA2-6246-40B2-B108-732C7AEECF7C}">
  <dimension ref="A1:E75"/>
  <sheetViews>
    <sheetView topLeftCell="A34" zoomScaleNormal="100" workbookViewId="0">
      <selection sqref="A1:D1"/>
    </sheetView>
  </sheetViews>
  <sheetFormatPr defaultRowHeight="12.75"/>
  <cols>
    <col min="1" max="1" width="15.5703125" style="619" customWidth="1"/>
    <col min="2" max="2" width="63.5703125" style="619" customWidth="1"/>
    <col min="3" max="5" width="24.5703125" style="619" customWidth="1"/>
    <col min="6" max="256" width="11.42578125" style="619" customWidth="1"/>
    <col min="257" max="257" width="15.5703125" style="619" customWidth="1"/>
    <col min="258" max="258" width="63.5703125" style="619" customWidth="1"/>
    <col min="259" max="261" width="24.5703125" style="619" customWidth="1"/>
    <col min="262" max="512" width="11.42578125" style="619" customWidth="1"/>
    <col min="513" max="513" width="15.5703125" style="619" customWidth="1"/>
    <col min="514" max="514" width="63.5703125" style="619" customWidth="1"/>
    <col min="515" max="517" width="24.5703125" style="619" customWidth="1"/>
    <col min="518" max="768" width="11.42578125" style="619" customWidth="1"/>
    <col min="769" max="769" width="15.5703125" style="619" customWidth="1"/>
    <col min="770" max="770" width="63.5703125" style="619" customWidth="1"/>
    <col min="771" max="773" width="24.5703125" style="619" customWidth="1"/>
    <col min="774" max="1024" width="11.42578125" style="619" customWidth="1"/>
    <col min="1025" max="1025" width="15.5703125" style="619" customWidth="1"/>
    <col min="1026" max="1026" width="63.5703125" style="619" customWidth="1"/>
    <col min="1027" max="1029" width="24.5703125" style="619" customWidth="1"/>
    <col min="1030" max="1280" width="11.42578125" style="619" customWidth="1"/>
    <col min="1281" max="1281" width="15.5703125" style="619" customWidth="1"/>
    <col min="1282" max="1282" width="63.5703125" style="619" customWidth="1"/>
    <col min="1283" max="1285" width="24.5703125" style="619" customWidth="1"/>
    <col min="1286" max="1536" width="11.42578125" style="619" customWidth="1"/>
    <col min="1537" max="1537" width="15.5703125" style="619" customWidth="1"/>
    <col min="1538" max="1538" width="63.5703125" style="619" customWidth="1"/>
    <col min="1539" max="1541" width="24.5703125" style="619" customWidth="1"/>
    <col min="1542" max="1792" width="11.42578125" style="619" customWidth="1"/>
    <col min="1793" max="1793" width="15.5703125" style="619" customWidth="1"/>
    <col min="1794" max="1794" width="63.5703125" style="619" customWidth="1"/>
    <col min="1795" max="1797" width="24.5703125" style="619" customWidth="1"/>
    <col min="1798" max="2048" width="11.42578125" style="619" customWidth="1"/>
    <col min="2049" max="2049" width="15.5703125" style="619" customWidth="1"/>
    <col min="2050" max="2050" width="63.5703125" style="619" customWidth="1"/>
    <col min="2051" max="2053" width="24.5703125" style="619" customWidth="1"/>
    <col min="2054" max="2304" width="11.42578125" style="619" customWidth="1"/>
    <col min="2305" max="2305" width="15.5703125" style="619" customWidth="1"/>
    <col min="2306" max="2306" width="63.5703125" style="619" customWidth="1"/>
    <col min="2307" max="2309" width="24.5703125" style="619" customWidth="1"/>
    <col min="2310" max="2560" width="11.42578125" style="619" customWidth="1"/>
    <col min="2561" max="2561" width="15.5703125" style="619" customWidth="1"/>
    <col min="2562" max="2562" width="63.5703125" style="619" customWidth="1"/>
    <col min="2563" max="2565" width="24.5703125" style="619" customWidth="1"/>
    <col min="2566" max="2816" width="11.42578125" style="619" customWidth="1"/>
    <col min="2817" max="2817" width="15.5703125" style="619" customWidth="1"/>
    <col min="2818" max="2818" width="63.5703125" style="619" customWidth="1"/>
    <col min="2819" max="2821" width="24.5703125" style="619" customWidth="1"/>
    <col min="2822" max="3072" width="11.42578125" style="619" customWidth="1"/>
    <col min="3073" max="3073" width="15.5703125" style="619" customWidth="1"/>
    <col min="3074" max="3074" width="63.5703125" style="619" customWidth="1"/>
    <col min="3075" max="3077" width="24.5703125" style="619" customWidth="1"/>
    <col min="3078" max="3328" width="11.42578125" style="619" customWidth="1"/>
    <col min="3329" max="3329" width="15.5703125" style="619" customWidth="1"/>
    <col min="3330" max="3330" width="63.5703125" style="619" customWidth="1"/>
    <col min="3331" max="3333" width="24.5703125" style="619" customWidth="1"/>
    <col min="3334" max="3584" width="11.42578125" style="619" customWidth="1"/>
    <col min="3585" max="3585" width="15.5703125" style="619" customWidth="1"/>
    <col min="3586" max="3586" width="63.5703125" style="619" customWidth="1"/>
    <col min="3587" max="3589" width="24.5703125" style="619" customWidth="1"/>
    <col min="3590" max="3840" width="11.42578125" style="619" customWidth="1"/>
    <col min="3841" max="3841" width="15.5703125" style="619" customWidth="1"/>
    <col min="3842" max="3842" width="63.5703125" style="619" customWidth="1"/>
    <col min="3843" max="3845" width="24.5703125" style="619" customWidth="1"/>
    <col min="3846" max="4096" width="11.42578125" style="619" customWidth="1"/>
    <col min="4097" max="4097" width="15.5703125" style="619" customWidth="1"/>
    <col min="4098" max="4098" width="63.5703125" style="619" customWidth="1"/>
    <col min="4099" max="4101" width="24.5703125" style="619" customWidth="1"/>
    <col min="4102" max="4352" width="11.42578125" style="619" customWidth="1"/>
    <col min="4353" max="4353" width="15.5703125" style="619" customWidth="1"/>
    <col min="4354" max="4354" width="63.5703125" style="619" customWidth="1"/>
    <col min="4355" max="4357" width="24.5703125" style="619" customWidth="1"/>
    <col min="4358" max="4608" width="11.42578125" style="619" customWidth="1"/>
    <col min="4609" max="4609" width="15.5703125" style="619" customWidth="1"/>
    <col min="4610" max="4610" width="63.5703125" style="619" customWidth="1"/>
    <col min="4611" max="4613" width="24.5703125" style="619" customWidth="1"/>
    <col min="4614" max="4864" width="11.42578125" style="619" customWidth="1"/>
    <col min="4865" max="4865" width="15.5703125" style="619" customWidth="1"/>
    <col min="4866" max="4866" width="63.5703125" style="619" customWidth="1"/>
    <col min="4867" max="4869" width="24.5703125" style="619" customWidth="1"/>
    <col min="4870" max="5120" width="11.42578125" style="619" customWidth="1"/>
    <col min="5121" max="5121" width="15.5703125" style="619" customWidth="1"/>
    <col min="5122" max="5122" width="63.5703125" style="619" customWidth="1"/>
    <col min="5123" max="5125" width="24.5703125" style="619" customWidth="1"/>
    <col min="5126" max="5376" width="11.42578125" style="619" customWidth="1"/>
    <col min="5377" max="5377" width="15.5703125" style="619" customWidth="1"/>
    <col min="5378" max="5378" width="63.5703125" style="619" customWidth="1"/>
    <col min="5379" max="5381" width="24.5703125" style="619" customWidth="1"/>
    <col min="5382" max="5632" width="11.42578125" style="619" customWidth="1"/>
    <col min="5633" max="5633" width="15.5703125" style="619" customWidth="1"/>
    <col min="5634" max="5634" width="63.5703125" style="619" customWidth="1"/>
    <col min="5635" max="5637" width="24.5703125" style="619" customWidth="1"/>
    <col min="5638" max="5888" width="11.42578125" style="619" customWidth="1"/>
    <col min="5889" max="5889" width="15.5703125" style="619" customWidth="1"/>
    <col min="5890" max="5890" width="63.5703125" style="619" customWidth="1"/>
    <col min="5891" max="5893" width="24.5703125" style="619" customWidth="1"/>
    <col min="5894" max="6144" width="11.42578125" style="619" customWidth="1"/>
    <col min="6145" max="6145" width="15.5703125" style="619" customWidth="1"/>
    <col min="6146" max="6146" width="63.5703125" style="619" customWidth="1"/>
    <col min="6147" max="6149" width="24.5703125" style="619" customWidth="1"/>
    <col min="6150" max="6400" width="11.42578125" style="619" customWidth="1"/>
    <col min="6401" max="6401" width="15.5703125" style="619" customWidth="1"/>
    <col min="6402" max="6402" width="63.5703125" style="619" customWidth="1"/>
    <col min="6403" max="6405" width="24.5703125" style="619" customWidth="1"/>
    <col min="6406" max="6656" width="11.42578125" style="619" customWidth="1"/>
    <col min="6657" max="6657" width="15.5703125" style="619" customWidth="1"/>
    <col min="6658" max="6658" width="63.5703125" style="619" customWidth="1"/>
    <col min="6659" max="6661" width="24.5703125" style="619" customWidth="1"/>
    <col min="6662" max="6912" width="11.42578125" style="619" customWidth="1"/>
    <col min="6913" max="6913" width="15.5703125" style="619" customWidth="1"/>
    <col min="6914" max="6914" width="63.5703125" style="619" customWidth="1"/>
    <col min="6915" max="6917" width="24.5703125" style="619" customWidth="1"/>
    <col min="6918" max="7168" width="11.42578125" style="619" customWidth="1"/>
    <col min="7169" max="7169" width="15.5703125" style="619" customWidth="1"/>
    <col min="7170" max="7170" width="63.5703125" style="619" customWidth="1"/>
    <col min="7171" max="7173" width="24.5703125" style="619" customWidth="1"/>
    <col min="7174" max="7424" width="11.42578125" style="619" customWidth="1"/>
    <col min="7425" max="7425" width="15.5703125" style="619" customWidth="1"/>
    <col min="7426" max="7426" width="63.5703125" style="619" customWidth="1"/>
    <col min="7427" max="7429" width="24.5703125" style="619" customWidth="1"/>
    <col min="7430" max="7680" width="11.42578125" style="619" customWidth="1"/>
    <col min="7681" max="7681" width="15.5703125" style="619" customWidth="1"/>
    <col min="7682" max="7682" width="63.5703125" style="619" customWidth="1"/>
    <col min="7683" max="7685" width="24.5703125" style="619" customWidth="1"/>
    <col min="7686" max="7936" width="11.42578125" style="619" customWidth="1"/>
    <col min="7937" max="7937" width="15.5703125" style="619" customWidth="1"/>
    <col min="7938" max="7938" width="63.5703125" style="619" customWidth="1"/>
    <col min="7939" max="7941" width="24.5703125" style="619" customWidth="1"/>
    <col min="7942" max="8192" width="11.42578125" style="619" customWidth="1"/>
    <col min="8193" max="8193" width="15.5703125" style="619" customWidth="1"/>
    <col min="8194" max="8194" width="63.5703125" style="619" customWidth="1"/>
    <col min="8195" max="8197" width="24.5703125" style="619" customWidth="1"/>
    <col min="8198" max="8448" width="11.42578125" style="619" customWidth="1"/>
    <col min="8449" max="8449" width="15.5703125" style="619" customWidth="1"/>
    <col min="8450" max="8450" width="63.5703125" style="619" customWidth="1"/>
    <col min="8451" max="8453" width="24.5703125" style="619" customWidth="1"/>
    <col min="8454" max="8704" width="11.42578125" style="619" customWidth="1"/>
    <col min="8705" max="8705" width="15.5703125" style="619" customWidth="1"/>
    <col min="8706" max="8706" width="63.5703125" style="619" customWidth="1"/>
    <col min="8707" max="8709" width="24.5703125" style="619" customWidth="1"/>
    <col min="8710" max="8960" width="11.42578125" style="619" customWidth="1"/>
    <col min="8961" max="8961" width="15.5703125" style="619" customWidth="1"/>
    <col min="8962" max="8962" width="63.5703125" style="619" customWidth="1"/>
    <col min="8963" max="8965" width="24.5703125" style="619" customWidth="1"/>
    <col min="8966" max="9216" width="11.42578125" style="619" customWidth="1"/>
    <col min="9217" max="9217" width="15.5703125" style="619" customWidth="1"/>
    <col min="9218" max="9218" width="63.5703125" style="619" customWidth="1"/>
    <col min="9219" max="9221" width="24.5703125" style="619" customWidth="1"/>
    <col min="9222" max="9472" width="11.42578125" style="619" customWidth="1"/>
    <col min="9473" max="9473" width="15.5703125" style="619" customWidth="1"/>
    <col min="9474" max="9474" width="63.5703125" style="619" customWidth="1"/>
    <col min="9475" max="9477" width="24.5703125" style="619" customWidth="1"/>
    <col min="9478" max="9728" width="11.42578125" style="619" customWidth="1"/>
    <col min="9729" max="9729" width="15.5703125" style="619" customWidth="1"/>
    <col min="9730" max="9730" width="63.5703125" style="619" customWidth="1"/>
    <col min="9731" max="9733" width="24.5703125" style="619" customWidth="1"/>
    <col min="9734" max="9984" width="11.42578125" style="619" customWidth="1"/>
    <col min="9985" max="9985" width="15.5703125" style="619" customWidth="1"/>
    <col min="9986" max="9986" width="63.5703125" style="619" customWidth="1"/>
    <col min="9987" max="9989" width="24.5703125" style="619" customWidth="1"/>
    <col min="9990" max="10240" width="11.42578125" style="619" customWidth="1"/>
    <col min="10241" max="10241" width="15.5703125" style="619" customWidth="1"/>
    <col min="10242" max="10242" width="63.5703125" style="619" customWidth="1"/>
    <col min="10243" max="10245" width="24.5703125" style="619" customWidth="1"/>
    <col min="10246" max="10496" width="11.42578125" style="619" customWidth="1"/>
    <col min="10497" max="10497" width="15.5703125" style="619" customWidth="1"/>
    <col min="10498" max="10498" width="63.5703125" style="619" customWidth="1"/>
    <col min="10499" max="10501" width="24.5703125" style="619" customWidth="1"/>
    <col min="10502" max="10752" width="11.42578125" style="619" customWidth="1"/>
    <col min="10753" max="10753" width="15.5703125" style="619" customWidth="1"/>
    <col min="10754" max="10754" width="63.5703125" style="619" customWidth="1"/>
    <col min="10755" max="10757" width="24.5703125" style="619" customWidth="1"/>
    <col min="10758" max="11008" width="11.42578125" style="619" customWidth="1"/>
    <col min="11009" max="11009" width="15.5703125" style="619" customWidth="1"/>
    <col min="11010" max="11010" width="63.5703125" style="619" customWidth="1"/>
    <col min="11011" max="11013" width="24.5703125" style="619" customWidth="1"/>
    <col min="11014" max="11264" width="11.42578125" style="619" customWidth="1"/>
    <col min="11265" max="11265" width="15.5703125" style="619" customWidth="1"/>
    <col min="11266" max="11266" width="63.5703125" style="619" customWidth="1"/>
    <col min="11267" max="11269" width="24.5703125" style="619" customWidth="1"/>
    <col min="11270" max="11520" width="11.42578125" style="619" customWidth="1"/>
    <col min="11521" max="11521" width="15.5703125" style="619" customWidth="1"/>
    <col min="11522" max="11522" width="63.5703125" style="619" customWidth="1"/>
    <col min="11523" max="11525" width="24.5703125" style="619" customWidth="1"/>
    <col min="11526" max="11776" width="11.42578125" style="619" customWidth="1"/>
    <col min="11777" max="11777" width="15.5703125" style="619" customWidth="1"/>
    <col min="11778" max="11778" width="63.5703125" style="619" customWidth="1"/>
    <col min="11779" max="11781" width="24.5703125" style="619" customWidth="1"/>
    <col min="11782" max="12032" width="11.42578125" style="619" customWidth="1"/>
    <col min="12033" max="12033" width="15.5703125" style="619" customWidth="1"/>
    <col min="12034" max="12034" width="63.5703125" style="619" customWidth="1"/>
    <col min="12035" max="12037" width="24.5703125" style="619" customWidth="1"/>
    <col min="12038" max="12288" width="11.42578125" style="619" customWidth="1"/>
    <col min="12289" max="12289" width="15.5703125" style="619" customWidth="1"/>
    <col min="12290" max="12290" width="63.5703125" style="619" customWidth="1"/>
    <col min="12291" max="12293" width="24.5703125" style="619" customWidth="1"/>
    <col min="12294" max="12544" width="11.42578125" style="619" customWidth="1"/>
    <col min="12545" max="12545" width="15.5703125" style="619" customWidth="1"/>
    <col min="12546" max="12546" width="63.5703125" style="619" customWidth="1"/>
    <col min="12547" max="12549" width="24.5703125" style="619" customWidth="1"/>
    <col min="12550" max="12800" width="11.42578125" style="619" customWidth="1"/>
    <col min="12801" max="12801" width="15.5703125" style="619" customWidth="1"/>
    <col min="12802" max="12802" width="63.5703125" style="619" customWidth="1"/>
    <col min="12803" max="12805" width="24.5703125" style="619" customWidth="1"/>
    <col min="12806" max="13056" width="11.42578125" style="619" customWidth="1"/>
    <col min="13057" max="13057" width="15.5703125" style="619" customWidth="1"/>
    <col min="13058" max="13058" width="63.5703125" style="619" customWidth="1"/>
    <col min="13059" max="13061" width="24.5703125" style="619" customWidth="1"/>
    <col min="13062" max="13312" width="11.42578125" style="619" customWidth="1"/>
    <col min="13313" max="13313" width="15.5703125" style="619" customWidth="1"/>
    <col min="13314" max="13314" width="63.5703125" style="619" customWidth="1"/>
    <col min="13315" max="13317" width="24.5703125" style="619" customWidth="1"/>
    <col min="13318" max="13568" width="11.42578125" style="619" customWidth="1"/>
    <col min="13569" max="13569" width="15.5703125" style="619" customWidth="1"/>
    <col min="13570" max="13570" width="63.5703125" style="619" customWidth="1"/>
    <col min="13571" max="13573" width="24.5703125" style="619" customWidth="1"/>
    <col min="13574" max="13824" width="11.42578125" style="619" customWidth="1"/>
    <col min="13825" max="13825" width="15.5703125" style="619" customWidth="1"/>
    <col min="13826" max="13826" width="63.5703125" style="619" customWidth="1"/>
    <col min="13827" max="13829" width="24.5703125" style="619" customWidth="1"/>
    <col min="13830" max="14080" width="11.42578125" style="619" customWidth="1"/>
    <col min="14081" max="14081" width="15.5703125" style="619" customWidth="1"/>
    <col min="14082" max="14082" width="63.5703125" style="619" customWidth="1"/>
    <col min="14083" max="14085" width="24.5703125" style="619" customWidth="1"/>
    <col min="14086" max="14336" width="11.42578125" style="619" customWidth="1"/>
    <col min="14337" max="14337" width="15.5703125" style="619" customWidth="1"/>
    <col min="14338" max="14338" width="63.5703125" style="619" customWidth="1"/>
    <col min="14339" max="14341" width="24.5703125" style="619" customWidth="1"/>
    <col min="14342" max="14592" width="11.42578125" style="619" customWidth="1"/>
    <col min="14593" max="14593" width="15.5703125" style="619" customWidth="1"/>
    <col min="14594" max="14594" width="63.5703125" style="619" customWidth="1"/>
    <col min="14595" max="14597" width="24.5703125" style="619" customWidth="1"/>
    <col min="14598" max="14848" width="11.42578125" style="619" customWidth="1"/>
    <col min="14849" max="14849" width="15.5703125" style="619" customWidth="1"/>
    <col min="14850" max="14850" width="63.5703125" style="619" customWidth="1"/>
    <col min="14851" max="14853" width="24.5703125" style="619" customWidth="1"/>
    <col min="14854" max="15104" width="11.42578125" style="619" customWidth="1"/>
    <col min="15105" max="15105" width="15.5703125" style="619" customWidth="1"/>
    <col min="15106" max="15106" width="63.5703125" style="619" customWidth="1"/>
    <col min="15107" max="15109" width="24.5703125" style="619" customWidth="1"/>
    <col min="15110" max="15360" width="11.42578125" style="619" customWidth="1"/>
    <col min="15361" max="15361" width="15.5703125" style="619" customWidth="1"/>
    <col min="15362" max="15362" width="63.5703125" style="619" customWidth="1"/>
    <col min="15363" max="15365" width="24.5703125" style="619" customWidth="1"/>
    <col min="15366" max="15616" width="11.42578125" style="619" customWidth="1"/>
    <col min="15617" max="15617" width="15.5703125" style="619" customWidth="1"/>
    <col min="15618" max="15618" width="63.5703125" style="619" customWidth="1"/>
    <col min="15619" max="15621" width="24.5703125" style="619" customWidth="1"/>
    <col min="15622" max="15872" width="11.42578125" style="619" customWidth="1"/>
    <col min="15873" max="15873" width="15.5703125" style="619" customWidth="1"/>
    <col min="15874" max="15874" width="63.5703125" style="619" customWidth="1"/>
    <col min="15875" max="15877" width="24.5703125" style="619" customWidth="1"/>
    <col min="15878" max="16128" width="11.42578125" style="619" customWidth="1"/>
    <col min="16129" max="16129" width="15.5703125" style="619" customWidth="1"/>
    <col min="16130" max="16130" width="63.5703125" style="619" customWidth="1"/>
    <col min="16131" max="16133" width="24.5703125" style="619" customWidth="1"/>
    <col min="16134" max="16384" width="11.42578125" style="619" customWidth="1"/>
  </cols>
  <sheetData>
    <row r="1" spans="1:5" ht="15">
      <c r="A1" s="854" t="s">
        <v>1031</v>
      </c>
      <c r="B1" s="855"/>
      <c r="C1" s="855"/>
      <c r="D1" s="855"/>
    </row>
    <row r="2" spans="1:5">
      <c r="A2" s="856" t="s">
        <v>486</v>
      </c>
      <c r="B2" s="855"/>
      <c r="C2" s="855"/>
      <c r="D2" s="855"/>
    </row>
    <row r="3" spans="1:5">
      <c r="A3" s="856" t="s">
        <v>1023</v>
      </c>
      <c r="B3" s="855"/>
      <c r="C3" s="855"/>
      <c r="D3" s="855"/>
    </row>
    <row r="4" spans="1:5">
      <c r="A4" s="856" t="s">
        <v>486</v>
      </c>
      <c r="B4" s="855"/>
      <c r="C4" s="855"/>
      <c r="D4" s="855"/>
    </row>
    <row r="5" spans="1:5">
      <c r="A5" s="855"/>
      <c r="B5" s="855"/>
      <c r="C5" s="855"/>
      <c r="D5" s="855"/>
    </row>
    <row r="6" spans="1:5" ht="25.5">
      <c r="A6" s="620" t="s">
        <v>1032</v>
      </c>
      <c r="B6" s="621" t="s">
        <v>486</v>
      </c>
      <c r="C6" s="621" t="s">
        <v>486</v>
      </c>
      <c r="D6" s="621" t="s">
        <v>486</v>
      </c>
      <c r="E6" s="621" t="s">
        <v>486</v>
      </c>
    </row>
    <row r="7" spans="1:5" ht="25.5">
      <c r="A7" s="622" t="s">
        <v>494</v>
      </c>
      <c r="B7" s="620" t="s">
        <v>495</v>
      </c>
      <c r="C7" s="622" t="s">
        <v>496</v>
      </c>
      <c r="D7" s="622" t="s">
        <v>1033</v>
      </c>
      <c r="E7" s="622" t="s">
        <v>1034</v>
      </c>
    </row>
    <row r="8" spans="1:5">
      <c r="A8" s="620" t="s">
        <v>484</v>
      </c>
      <c r="B8" s="620" t="s">
        <v>486</v>
      </c>
      <c r="C8" s="620" t="s">
        <v>486</v>
      </c>
      <c r="D8" s="620" t="s">
        <v>486</v>
      </c>
      <c r="E8" s="620" t="s">
        <v>486</v>
      </c>
    </row>
    <row r="13" spans="1:5">
      <c r="A13" s="622" t="s">
        <v>486</v>
      </c>
      <c r="B13" s="623" t="s">
        <v>1035</v>
      </c>
      <c r="C13" s="622" t="s">
        <v>486</v>
      </c>
      <c r="D13" s="622" t="s">
        <v>486</v>
      </c>
      <c r="E13" s="622" t="s">
        <v>486</v>
      </c>
    </row>
    <row r="14" spans="1:5">
      <c r="A14" s="624">
        <v>490</v>
      </c>
      <c r="B14" s="620" t="s">
        <v>499</v>
      </c>
      <c r="C14" s="622" t="s">
        <v>486</v>
      </c>
      <c r="D14" s="622" t="s">
        <v>1036</v>
      </c>
      <c r="E14" s="622" t="s">
        <v>1037</v>
      </c>
    </row>
    <row r="15" spans="1:5">
      <c r="A15" s="622" t="s">
        <v>484</v>
      </c>
      <c r="B15" s="620" t="s">
        <v>486</v>
      </c>
      <c r="C15" s="622" t="s">
        <v>486</v>
      </c>
      <c r="D15" s="622" t="s">
        <v>486</v>
      </c>
      <c r="E15" s="622" t="s">
        <v>486</v>
      </c>
    </row>
    <row r="16" spans="1:5">
      <c r="A16" s="622" t="s">
        <v>486</v>
      </c>
      <c r="B16" s="623" t="s">
        <v>1038</v>
      </c>
      <c r="C16" s="622" t="s">
        <v>486</v>
      </c>
      <c r="D16" s="622" t="s">
        <v>486</v>
      </c>
      <c r="E16" s="622" t="s">
        <v>486</v>
      </c>
    </row>
    <row r="17" spans="1:5">
      <c r="A17" s="624">
        <v>1200</v>
      </c>
      <c r="B17" s="620" t="s">
        <v>515</v>
      </c>
      <c r="C17" s="622" t="s">
        <v>1039</v>
      </c>
      <c r="D17" s="622" t="s">
        <v>486</v>
      </c>
      <c r="E17" s="622" t="s">
        <v>1040</v>
      </c>
    </row>
    <row r="18" spans="1:5">
      <c r="A18" s="624">
        <v>1410</v>
      </c>
      <c r="B18" s="620" t="s">
        <v>538</v>
      </c>
      <c r="C18" s="622" t="s">
        <v>1041</v>
      </c>
      <c r="D18" s="622" t="s">
        <v>486</v>
      </c>
      <c r="E18" s="622" t="s">
        <v>1042</v>
      </c>
    </row>
    <row r="19" spans="1:5">
      <c r="A19" s="624">
        <v>1540</v>
      </c>
      <c r="B19" s="620" t="s">
        <v>777</v>
      </c>
      <c r="C19" s="622" t="s">
        <v>1043</v>
      </c>
      <c r="D19" s="622" t="s">
        <v>486</v>
      </c>
      <c r="E19" s="622" t="s">
        <v>1044</v>
      </c>
    </row>
    <row r="20" spans="1:5">
      <c r="A20" s="624">
        <v>1548</v>
      </c>
      <c r="B20" s="620" t="s">
        <v>688</v>
      </c>
      <c r="C20" s="622" t="s">
        <v>1043</v>
      </c>
      <c r="D20" s="622" t="s">
        <v>486</v>
      </c>
      <c r="E20" s="622" t="s">
        <v>1045</v>
      </c>
    </row>
    <row r="21" spans="1:5">
      <c r="A21" s="624">
        <v>1549</v>
      </c>
      <c r="B21" s="620" t="s">
        <v>1046</v>
      </c>
      <c r="C21" s="622" t="s">
        <v>1043</v>
      </c>
      <c r="D21" s="622" t="s">
        <v>486</v>
      </c>
      <c r="E21" s="622" t="s">
        <v>1047</v>
      </c>
    </row>
    <row r="22" spans="1:5">
      <c r="A22" s="624">
        <v>1736</v>
      </c>
      <c r="B22" s="620" t="s">
        <v>1029</v>
      </c>
      <c r="C22" s="622" t="s">
        <v>1048</v>
      </c>
      <c r="D22" s="622" t="s">
        <v>486</v>
      </c>
      <c r="E22" s="622" t="s">
        <v>1043</v>
      </c>
    </row>
    <row r="23" spans="1:5">
      <c r="A23" s="624">
        <v>1791</v>
      </c>
      <c r="B23" s="620" t="s">
        <v>690</v>
      </c>
      <c r="C23" s="622" t="s">
        <v>1043</v>
      </c>
      <c r="D23" s="622" t="s">
        <v>486</v>
      </c>
      <c r="E23" s="622" t="s">
        <v>1049</v>
      </c>
    </row>
    <row r="24" spans="1:5">
      <c r="A24" s="622" t="s">
        <v>486</v>
      </c>
      <c r="B24" s="620" t="s">
        <v>486</v>
      </c>
      <c r="C24" s="622" t="s">
        <v>1050</v>
      </c>
      <c r="D24" s="622" t="s">
        <v>486</v>
      </c>
      <c r="E24" s="622" t="s">
        <v>1051</v>
      </c>
    </row>
    <row r="25" spans="1:5">
      <c r="A25" s="622" t="s">
        <v>484</v>
      </c>
      <c r="B25" s="620" t="s">
        <v>486</v>
      </c>
      <c r="C25" s="622" t="s">
        <v>486</v>
      </c>
      <c r="D25" s="622" t="s">
        <v>486</v>
      </c>
      <c r="E25" s="622" t="s">
        <v>486</v>
      </c>
    </row>
    <row r="26" spans="1:5">
      <c r="A26" s="624">
        <v>1570</v>
      </c>
      <c r="B26" s="620" t="s">
        <v>504</v>
      </c>
      <c r="C26" s="622" t="s">
        <v>1052</v>
      </c>
      <c r="D26" s="622" t="s">
        <v>486</v>
      </c>
      <c r="E26" s="622" t="s">
        <v>1043</v>
      </c>
    </row>
    <row r="27" spans="1:5">
      <c r="A27" s="624">
        <v>1576</v>
      </c>
      <c r="B27" s="620" t="s">
        <v>779</v>
      </c>
      <c r="C27" s="622" t="s">
        <v>1053</v>
      </c>
      <c r="D27" s="622" t="s">
        <v>486</v>
      </c>
      <c r="E27" s="622" t="s">
        <v>1054</v>
      </c>
    </row>
    <row r="28" spans="1:5">
      <c r="A28" s="624">
        <v>1790</v>
      </c>
      <c r="B28" s="620" t="s">
        <v>512</v>
      </c>
      <c r="C28" s="622" t="s">
        <v>1055</v>
      </c>
      <c r="D28" s="622" t="s">
        <v>486</v>
      </c>
      <c r="E28" s="622" t="s">
        <v>1056</v>
      </c>
    </row>
    <row r="29" spans="1:5">
      <c r="A29" s="622" t="s">
        <v>486</v>
      </c>
      <c r="B29" s="620" t="s">
        <v>486</v>
      </c>
      <c r="C29" s="622" t="s">
        <v>1057</v>
      </c>
      <c r="D29" s="622" t="s">
        <v>486</v>
      </c>
      <c r="E29" s="622" t="s">
        <v>1058</v>
      </c>
    </row>
    <row r="30" spans="1:5" ht="15">
      <c r="A30" s="622" t="s">
        <v>484</v>
      </c>
      <c r="B30" s="620" t="s">
        <v>486</v>
      </c>
      <c r="C30" s="625" t="s">
        <v>486</v>
      </c>
      <c r="D30" s="622" t="s">
        <v>486</v>
      </c>
      <c r="E30" s="625" t="s">
        <v>486</v>
      </c>
    </row>
    <row r="31" spans="1:5">
      <c r="A31" s="622" t="s">
        <v>486</v>
      </c>
      <c r="B31" s="620" t="s">
        <v>486</v>
      </c>
      <c r="C31" s="622" t="s">
        <v>486</v>
      </c>
      <c r="D31" s="622" t="s">
        <v>1059</v>
      </c>
      <c r="E31" s="622" t="s">
        <v>1060</v>
      </c>
    </row>
    <row r="32" spans="1:5">
      <c r="A32" s="622" t="s">
        <v>484</v>
      </c>
      <c r="B32" s="620" t="s">
        <v>486</v>
      </c>
      <c r="C32" s="622" t="s">
        <v>486</v>
      </c>
      <c r="D32" s="622" t="s">
        <v>486</v>
      </c>
      <c r="E32" s="622" t="s">
        <v>486</v>
      </c>
    </row>
    <row r="33" spans="1:5">
      <c r="A33" s="622" t="s">
        <v>486</v>
      </c>
      <c r="B33" s="623" t="s">
        <v>40</v>
      </c>
      <c r="C33" s="622" t="s">
        <v>486</v>
      </c>
      <c r="D33" s="622" t="s">
        <v>486</v>
      </c>
      <c r="E33" s="622" t="s">
        <v>486</v>
      </c>
    </row>
    <row r="34" spans="1:5">
      <c r="A34" s="624">
        <v>980</v>
      </c>
      <c r="B34" s="620" t="s">
        <v>40</v>
      </c>
      <c r="C34" s="622" t="s">
        <v>486</v>
      </c>
      <c r="D34" s="622" t="s">
        <v>1044</v>
      </c>
      <c r="E34" s="622" t="s">
        <v>1043</v>
      </c>
    </row>
    <row r="35" spans="1:5">
      <c r="A35" s="622" t="s">
        <v>484</v>
      </c>
      <c r="B35" s="620" t="s">
        <v>486</v>
      </c>
      <c r="C35" s="622" t="s">
        <v>486</v>
      </c>
      <c r="D35" s="622" t="s">
        <v>486</v>
      </c>
      <c r="E35" s="622" t="s">
        <v>486</v>
      </c>
    </row>
    <row r="36" spans="1:5" ht="15">
      <c r="A36" s="626" t="s">
        <v>486</v>
      </c>
      <c r="B36" s="623" t="s">
        <v>486</v>
      </c>
      <c r="C36" s="626" t="s">
        <v>486</v>
      </c>
      <c r="D36" s="627" t="s">
        <v>1061</v>
      </c>
      <c r="E36" s="627" t="s">
        <v>1062</v>
      </c>
    </row>
    <row r="37" spans="1:5">
      <c r="A37" s="622" t="s">
        <v>484</v>
      </c>
      <c r="B37" s="620" t="s">
        <v>486</v>
      </c>
      <c r="C37" s="622" t="s">
        <v>486</v>
      </c>
      <c r="D37" s="622" t="s">
        <v>486</v>
      </c>
      <c r="E37" s="622" t="s">
        <v>486</v>
      </c>
    </row>
    <row r="42" spans="1:5" ht="45">
      <c r="A42" s="621" t="s">
        <v>1063</v>
      </c>
      <c r="B42" s="621" t="s">
        <v>486</v>
      </c>
      <c r="C42" s="621" t="s">
        <v>486</v>
      </c>
      <c r="D42" s="621" t="s">
        <v>486</v>
      </c>
      <c r="E42" s="621" t="s">
        <v>486</v>
      </c>
    </row>
    <row r="43" spans="1:5" ht="25.5">
      <c r="A43" s="622" t="s">
        <v>494</v>
      </c>
      <c r="B43" s="620" t="s">
        <v>495</v>
      </c>
      <c r="C43" s="622" t="s">
        <v>496</v>
      </c>
      <c r="D43" s="622" t="s">
        <v>1033</v>
      </c>
      <c r="E43" s="622" t="s">
        <v>1034</v>
      </c>
    </row>
    <row r="44" spans="1:5">
      <c r="A44" s="620" t="s">
        <v>484</v>
      </c>
      <c r="B44" s="620" t="s">
        <v>486</v>
      </c>
      <c r="C44" s="620" t="s">
        <v>486</v>
      </c>
      <c r="D44" s="620" t="s">
        <v>486</v>
      </c>
      <c r="E44" s="620" t="s">
        <v>486</v>
      </c>
    </row>
    <row r="49" spans="1:5">
      <c r="A49" s="622" t="s">
        <v>486</v>
      </c>
      <c r="B49" s="623" t="s">
        <v>1064</v>
      </c>
      <c r="C49" s="622" t="s">
        <v>486</v>
      </c>
      <c r="D49" s="622" t="s">
        <v>486</v>
      </c>
      <c r="E49" s="622" t="s">
        <v>486</v>
      </c>
    </row>
    <row r="50" spans="1:5">
      <c r="A50" s="622" t="s">
        <v>486</v>
      </c>
      <c r="B50" s="620" t="s">
        <v>546</v>
      </c>
      <c r="C50" s="622" t="s">
        <v>1065</v>
      </c>
      <c r="D50" s="622" t="s">
        <v>486</v>
      </c>
      <c r="E50" s="622" t="s">
        <v>1066</v>
      </c>
    </row>
    <row r="51" spans="1:5">
      <c r="A51" s="624">
        <v>800</v>
      </c>
      <c r="B51" s="620" t="s">
        <v>520</v>
      </c>
      <c r="C51" s="622" t="s">
        <v>1067</v>
      </c>
      <c r="D51" s="622" t="s">
        <v>486</v>
      </c>
      <c r="E51" s="622" t="s">
        <v>1067</v>
      </c>
    </row>
    <row r="52" spans="1:5" ht="15">
      <c r="A52" s="624">
        <v>860</v>
      </c>
      <c r="B52" s="620" t="s">
        <v>658</v>
      </c>
      <c r="C52" s="625" t="s">
        <v>1068</v>
      </c>
      <c r="D52" s="622" t="s">
        <v>486</v>
      </c>
      <c r="E52" s="625" t="s">
        <v>1069</v>
      </c>
    </row>
    <row r="53" spans="1:5">
      <c r="A53" s="622" t="s">
        <v>486</v>
      </c>
      <c r="B53" s="620" t="s">
        <v>486</v>
      </c>
      <c r="C53" s="622" t="s">
        <v>486</v>
      </c>
      <c r="D53" s="622" t="s">
        <v>1070</v>
      </c>
      <c r="E53" s="622" t="s">
        <v>1071</v>
      </c>
    </row>
    <row r="54" spans="1:5">
      <c r="A54" s="622" t="s">
        <v>484</v>
      </c>
      <c r="B54" s="620" t="s">
        <v>486</v>
      </c>
      <c r="C54" s="622" t="s">
        <v>486</v>
      </c>
      <c r="D54" s="622" t="s">
        <v>486</v>
      </c>
      <c r="E54" s="622" t="s">
        <v>486</v>
      </c>
    </row>
    <row r="55" spans="1:5">
      <c r="A55" s="622" t="s">
        <v>486</v>
      </c>
      <c r="B55" s="623" t="s">
        <v>1072</v>
      </c>
      <c r="C55" s="622" t="s">
        <v>486</v>
      </c>
      <c r="D55" s="622" t="s">
        <v>486</v>
      </c>
      <c r="E55" s="622" t="s">
        <v>486</v>
      </c>
    </row>
    <row r="56" spans="1:5">
      <c r="A56" s="624">
        <v>956</v>
      </c>
      <c r="B56" s="620" t="s">
        <v>550</v>
      </c>
      <c r="C56" s="622" t="s">
        <v>1073</v>
      </c>
      <c r="D56" s="622" t="s">
        <v>486</v>
      </c>
      <c r="E56" s="622" t="s">
        <v>1043</v>
      </c>
    </row>
    <row r="57" spans="1:5">
      <c r="A57" s="624">
        <v>963</v>
      </c>
      <c r="B57" s="620" t="s">
        <v>552</v>
      </c>
      <c r="C57" s="622" t="s">
        <v>1074</v>
      </c>
      <c r="D57" s="622" t="s">
        <v>486</v>
      </c>
      <c r="E57" s="622" t="s">
        <v>1075</v>
      </c>
    </row>
    <row r="58" spans="1:5">
      <c r="A58" s="624">
        <v>970</v>
      </c>
      <c r="B58" s="620" t="s">
        <v>523</v>
      </c>
      <c r="C58" s="622" t="s">
        <v>1076</v>
      </c>
      <c r="D58" s="622" t="s">
        <v>486</v>
      </c>
      <c r="E58" s="622" t="s">
        <v>1043</v>
      </c>
    </row>
    <row r="59" spans="1:5" ht="15">
      <c r="A59" s="624">
        <v>977</v>
      </c>
      <c r="B59" s="620" t="s">
        <v>525</v>
      </c>
      <c r="C59" s="625" t="s">
        <v>1043</v>
      </c>
      <c r="D59" s="622" t="s">
        <v>486</v>
      </c>
      <c r="E59" s="625" t="s">
        <v>1077</v>
      </c>
    </row>
    <row r="60" spans="1:5">
      <c r="A60" s="622" t="s">
        <v>486</v>
      </c>
      <c r="B60" s="620" t="s">
        <v>486</v>
      </c>
      <c r="C60" s="622" t="s">
        <v>486</v>
      </c>
      <c r="D60" s="622" t="s">
        <v>1078</v>
      </c>
      <c r="E60" s="622" t="s">
        <v>1079</v>
      </c>
    </row>
    <row r="61" spans="1:5">
      <c r="A61" s="622" t="s">
        <v>484</v>
      </c>
      <c r="B61" s="620" t="s">
        <v>486</v>
      </c>
      <c r="C61" s="622" t="s">
        <v>486</v>
      </c>
      <c r="D61" s="622" t="s">
        <v>486</v>
      </c>
      <c r="E61" s="622" t="s">
        <v>486</v>
      </c>
    </row>
    <row r="62" spans="1:5">
      <c r="A62" s="622" t="s">
        <v>486</v>
      </c>
      <c r="B62" s="623" t="s">
        <v>1080</v>
      </c>
      <c r="C62" s="622" t="s">
        <v>486</v>
      </c>
      <c r="D62" s="622" t="s">
        <v>486</v>
      </c>
      <c r="E62" s="622" t="s">
        <v>486</v>
      </c>
    </row>
    <row r="63" spans="1:5">
      <c r="A63" s="624">
        <v>1610</v>
      </c>
      <c r="B63" s="620" t="s">
        <v>693</v>
      </c>
      <c r="C63" s="622" t="s">
        <v>1043</v>
      </c>
      <c r="D63" s="622" t="s">
        <v>486</v>
      </c>
      <c r="E63" s="622" t="s">
        <v>1081</v>
      </c>
    </row>
    <row r="64" spans="1:5" ht="15">
      <c r="A64" s="624">
        <v>1741</v>
      </c>
      <c r="B64" s="620" t="s">
        <v>529</v>
      </c>
      <c r="C64" s="625" t="s">
        <v>1036</v>
      </c>
      <c r="D64" s="622" t="s">
        <v>486</v>
      </c>
      <c r="E64" s="625" t="s">
        <v>1043</v>
      </c>
    </row>
    <row r="65" spans="1:5">
      <c r="A65" s="622" t="s">
        <v>486</v>
      </c>
      <c r="B65" s="620" t="s">
        <v>486</v>
      </c>
      <c r="C65" s="622" t="s">
        <v>486</v>
      </c>
      <c r="D65" s="622" t="s">
        <v>1036</v>
      </c>
      <c r="E65" s="622" t="s">
        <v>1081</v>
      </c>
    </row>
    <row r="66" spans="1:5">
      <c r="A66" s="622" t="s">
        <v>484</v>
      </c>
      <c r="B66" s="620" t="s">
        <v>486</v>
      </c>
      <c r="C66" s="622" t="s">
        <v>486</v>
      </c>
      <c r="D66" s="622" t="s">
        <v>486</v>
      </c>
      <c r="E66" s="622" t="s">
        <v>486</v>
      </c>
    </row>
    <row r="67" spans="1:5">
      <c r="A67" s="622" t="s">
        <v>486</v>
      </c>
      <c r="B67" s="628" t="s">
        <v>1082</v>
      </c>
      <c r="C67" s="622" t="s">
        <v>486</v>
      </c>
      <c r="D67" s="622" t="s">
        <v>486</v>
      </c>
      <c r="E67" s="622" t="s">
        <v>486</v>
      </c>
    </row>
    <row r="68" spans="1:5">
      <c r="A68" s="624">
        <v>1610</v>
      </c>
      <c r="B68" s="629" t="s">
        <v>1083</v>
      </c>
      <c r="C68" s="622" t="s">
        <v>486</v>
      </c>
      <c r="D68" s="622" t="s">
        <v>486</v>
      </c>
      <c r="E68" s="622" t="s">
        <v>486</v>
      </c>
    </row>
    <row r="69" spans="1:5">
      <c r="A69" s="624">
        <v>1741</v>
      </c>
      <c r="B69" s="629" t="s">
        <v>1084</v>
      </c>
      <c r="C69" s="622" t="s">
        <v>486</v>
      </c>
      <c r="D69" s="622" t="s">
        <v>486</v>
      </c>
      <c r="E69" s="622" t="s">
        <v>486</v>
      </c>
    </row>
    <row r="70" spans="1:5">
      <c r="A70" s="622" t="s">
        <v>484</v>
      </c>
      <c r="B70" s="620" t="s">
        <v>486</v>
      </c>
      <c r="C70" s="622" t="s">
        <v>486</v>
      </c>
      <c r="D70" s="622" t="s">
        <v>486</v>
      </c>
      <c r="E70" s="622" t="s">
        <v>486</v>
      </c>
    </row>
    <row r="71" spans="1:5">
      <c r="A71" s="622" t="s">
        <v>486</v>
      </c>
      <c r="B71" s="623" t="s">
        <v>1085</v>
      </c>
      <c r="C71" s="622" t="s">
        <v>486</v>
      </c>
      <c r="D71" s="622" t="s">
        <v>486</v>
      </c>
      <c r="E71" s="622" t="s">
        <v>486</v>
      </c>
    </row>
    <row r="72" spans="1:5">
      <c r="A72" s="624">
        <v>1525</v>
      </c>
      <c r="B72" s="620" t="s">
        <v>502</v>
      </c>
      <c r="C72" s="622" t="s">
        <v>486</v>
      </c>
      <c r="D72" s="622" t="s">
        <v>1043</v>
      </c>
      <c r="E72" s="622" t="s">
        <v>1086</v>
      </c>
    </row>
    <row r="73" spans="1:5">
      <c r="A73" s="622" t="s">
        <v>484</v>
      </c>
      <c r="B73" s="620" t="s">
        <v>486</v>
      </c>
      <c r="C73" s="622" t="s">
        <v>486</v>
      </c>
      <c r="D73" s="622" t="s">
        <v>486</v>
      </c>
      <c r="E73" s="622" t="s">
        <v>486</v>
      </c>
    </row>
    <row r="74" spans="1:5" ht="15">
      <c r="A74" s="626" t="s">
        <v>486</v>
      </c>
      <c r="B74" s="623" t="s">
        <v>486</v>
      </c>
      <c r="C74" s="626" t="s">
        <v>486</v>
      </c>
      <c r="D74" s="627" t="s">
        <v>1061</v>
      </c>
      <c r="E74" s="627" t="s">
        <v>1062</v>
      </c>
    </row>
    <row r="75" spans="1:5">
      <c r="A75" s="622" t="s">
        <v>484</v>
      </c>
      <c r="B75" s="620" t="s">
        <v>486</v>
      </c>
      <c r="C75" s="622" t="s">
        <v>486</v>
      </c>
      <c r="D75" s="622" t="s">
        <v>486</v>
      </c>
      <c r="E75" s="622" t="s">
        <v>486</v>
      </c>
    </row>
  </sheetData>
  <mergeCells count="5">
    <mergeCell ref="A1:D1"/>
    <mergeCell ref="A2:D2"/>
    <mergeCell ref="A3:D3"/>
    <mergeCell ref="A4:D4"/>
    <mergeCell ref="A5:D5"/>
  </mergeCells>
  <pageMargins left="0" right="0" top="0" bottom="0" header="0.5" footer="0.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32D7-0581-49B5-8497-3B9B45FF604A}">
  <dimension ref="A1:K76"/>
  <sheetViews>
    <sheetView topLeftCell="A42" workbookViewId="0">
      <selection activeCell="J27" sqref="J27"/>
    </sheetView>
  </sheetViews>
  <sheetFormatPr defaultRowHeight="12.75"/>
  <cols>
    <col min="2" max="2" width="29" customWidth="1"/>
    <col min="3" max="3" width="34.42578125" bestFit="1" customWidth="1"/>
    <col min="4" max="4" width="8.5703125" bestFit="1" customWidth="1"/>
    <col min="5" max="5" width="12.5703125" bestFit="1" customWidth="1"/>
    <col min="6" max="6" width="12.42578125" hidden="1" customWidth="1"/>
    <col min="8" max="8" width="9.42578125" style="418"/>
    <col min="10" max="10" width="15.5703125" bestFit="1" customWidth="1"/>
  </cols>
  <sheetData>
    <row r="1" spans="1:10" ht="15.75" thickBot="1">
      <c r="B1" s="409" t="s">
        <v>485</v>
      </c>
      <c r="C1" s="410" t="s">
        <v>486</v>
      </c>
      <c r="D1" s="411"/>
      <c r="E1" s="411"/>
      <c r="F1" s="411"/>
    </row>
    <row r="2" spans="1:10">
      <c r="B2" s="410" t="s">
        <v>487</v>
      </c>
      <c r="C2" s="410" t="s">
        <v>486</v>
      </c>
      <c r="D2" s="411"/>
      <c r="E2" s="411"/>
      <c r="F2" s="411"/>
      <c r="I2" s="482">
        <v>3.3620000000000001</v>
      </c>
      <c r="J2" s="479" t="s">
        <v>763</v>
      </c>
    </row>
    <row r="3" spans="1:10">
      <c r="B3" s="410" t="s">
        <v>768</v>
      </c>
      <c r="C3" s="410" t="s">
        <v>486</v>
      </c>
      <c r="D3" s="411"/>
      <c r="E3" s="411"/>
      <c r="F3" s="411"/>
      <c r="I3" s="483">
        <v>4.0125999999999999</v>
      </c>
      <c r="J3" s="480" t="s">
        <v>764</v>
      </c>
    </row>
    <row r="4" spans="1:10" ht="13.5" thickBot="1">
      <c r="B4" s="412" t="s">
        <v>486</v>
      </c>
      <c r="C4" s="410" t="s">
        <v>486</v>
      </c>
      <c r="D4" s="411"/>
      <c r="E4" s="411"/>
      <c r="F4" s="411"/>
      <c r="I4" s="484">
        <f>I3/I2</f>
        <v>1.1935157644259369</v>
      </c>
      <c r="J4" s="481" t="s">
        <v>492</v>
      </c>
    </row>
    <row r="5" spans="1:10" ht="15">
      <c r="B5" s="409" t="s">
        <v>488</v>
      </c>
      <c r="C5" s="410" t="s">
        <v>486</v>
      </c>
      <c r="D5" s="411"/>
      <c r="E5" s="411"/>
      <c r="F5" s="411"/>
    </row>
    <row r="6" spans="1:10">
      <c r="B6" s="412" t="s">
        <v>486</v>
      </c>
      <c r="C6" s="410" t="s">
        <v>486</v>
      </c>
      <c r="D6" s="411"/>
      <c r="E6" s="411"/>
      <c r="F6" s="411"/>
    </row>
    <row r="7" spans="1:10">
      <c r="B7" s="410" t="s">
        <v>489</v>
      </c>
      <c r="C7" s="410" t="s">
        <v>486</v>
      </c>
      <c r="D7" s="411"/>
      <c r="E7" s="411"/>
      <c r="F7" s="411"/>
    </row>
    <row r="8" spans="1:10">
      <c r="B8" s="412" t="s">
        <v>484</v>
      </c>
      <c r="C8" s="410" t="s">
        <v>484</v>
      </c>
      <c r="D8" s="411" t="s">
        <v>484</v>
      </c>
      <c r="E8" s="411" t="s">
        <v>484</v>
      </c>
      <c r="F8" s="411" t="s">
        <v>484</v>
      </c>
    </row>
    <row r="9" spans="1:10">
      <c r="B9" s="412" t="s">
        <v>486</v>
      </c>
      <c r="C9" s="410" t="s">
        <v>486</v>
      </c>
      <c r="D9" s="411"/>
      <c r="E9" s="412" t="s">
        <v>490</v>
      </c>
      <c r="F9" s="412" t="s">
        <v>491</v>
      </c>
      <c r="H9" s="493"/>
    </row>
    <row r="10" spans="1:10">
      <c r="B10" s="412" t="s">
        <v>494</v>
      </c>
      <c r="C10" s="410" t="s">
        <v>495</v>
      </c>
      <c r="D10" s="495" t="s">
        <v>496</v>
      </c>
      <c r="E10" s="495" t="s">
        <v>496</v>
      </c>
      <c r="F10" s="495" t="s">
        <v>496</v>
      </c>
      <c r="G10" s="496"/>
      <c r="H10" s="426" t="s">
        <v>117</v>
      </c>
    </row>
    <row r="11" spans="1:10">
      <c r="B11" s="412" t="s">
        <v>486</v>
      </c>
      <c r="C11" s="410" t="s">
        <v>486</v>
      </c>
      <c r="D11" s="411"/>
      <c r="E11" s="411"/>
      <c r="F11" s="411"/>
    </row>
    <row r="12" spans="1:10" ht="45">
      <c r="B12" s="412" t="s">
        <v>486</v>
      </c>
      <c r="C12" s="413" t="s">
        <v>497</v>
      </c>
      <c r="D12" s="411"/>
      <c r="E12" s="411"/>
      <c r="F12" s="411"/>
    </row>
    <row r="13" spans="1:10" ht="15">
      <c r="A13" s="383">
        <v>1904</v>
      </c>
      <c r="B13" s="412" t="s">
        <v>498</v>
      </c>
      <c r="C13" s="410" t="s">
        <v>499</v>
      </c>
      <c r="D13" s="411"/>
      <c r="E13" s="411">
        <v>457.84</v>
      </c>
      <c r="F13" s="411">
        <v>844.67</v>
      </c>
      <c r="H13" s="476">
        <f>E13*$I$4</f>
        <v>546.43925758477087</v>
      </c>
    </row>
    <row r="14" spans="1:10">
      <c r="B14" s="412" t="s">
        <v>486</v>
      </c>
      <c r="C14" s="410" t="s">
        <v>486</v>
      </c>
      <c r="D14" s="411"/>
      <c r="E14" s="411"/>
      <c r="F14" s="411"/>
      <c r="H14" s="494"/>
    </row>
    <row r="15" spans="1:10" ht="15">
      <c r="B15" s="412" t="s">
        <v>486</v>
      </c>
      <c r="C15" s="409" t="s">
        <v>538</v>
      </c>
      <c r="D15" s="411"/>
      <c r="E15" s="411"/>
      <c r="F15" s="411"/>
      <c r="H15" s="494"/>
    </row>
    <row r="16" spans="1:10" ht="15">
      <c r="A16" s="383">
        <v>1351</v>
      </c>
      <c r="B16" s="412" t="s">
        <v>539</v>
      </c>
      <c r="C16" s="410" t="s">
        <v>538</v>
      </c>
      <c r="D16" s="411"/>
      <c r="E16" s="411">
        <v>41282.25</v>
      </c>
      <c r="F16" s="411">
        <v>24572.76</v>
      </c>
      <c r="H16" s="476">
        <f>E16*$I$4</f>
        <v>49271.016165972629</v>
      </c>
    </row>
    <row r="17" spans="1:8">
      <c r="B17" s="412" t="s">
        <v>486</v>
      </c>
      <c r="C17" s="410" t="s">
        <v>486</v>
      </c>
      <c r="D17" s="411"/>
      <c r="E17" s="411"/>
      <c r="F17" s="411"/>
      <c r="H17" s="494"/>
    </row>
    <row r="18" spans="1:8" ht="15">
      <c r="B18" s="412" t="s">
        <v>486</v>
      </c>
      <c r="C18" s="409" t="s">
        <v>500</v>
      </c>
      <c r="D18" s="411"/>
      <c r="E18" s="411"/>
      <c r="F18" s="411"/>
      <c r="H18" s="494"/>
    </row>
    <row r="19" spans="1:8" ht="15">
      <c r="A19" s="383">
        <v>1307</v>
      </c>
      <c r="B19" s="412" t="s">
        <v>501</v>
      </c>
      <c r="C19" s="410" t="s">
        <v>502</v>
      </c>
      <c r="D19" s="411">
        <v>1119.6199999999999</v>
      </c>
      <c r="E19" s="411"/>
      <c r="F19" s="411">
        <v>1119.6199999999999</v>
      </c>
      <c r="H19" s="494">
        <f>D19*$I$4</f>
        <v>1336.2841201665674</v>
      </c>
    </row>
    <row r="20" spans="1:8">
      <c r="B20" s="412" t="s">
        <v>503</v>
      </c>
      <c r="C20" s="410" t="s">
        <v>504</v>
      </c>
      <c r="D20" s="411">
        <v>0</v>
      </c>
      <c r="E20" s="411"/>
      <c r="F20" s="411">
        <v>165.72</v>
      </c>
      <c r="H20" s="494">
        <f t="shared" ref="H20:H25" si="0">D20*$I$4</f>
        <v>0</v>
      </c>
    </row>
    <row r="21" spans="1:8">
      <c r="B21" s="412" t="s">
        <v>505</v>
      </c>
      <c r="C21" s="410" t="s">
        <v>506</v>
      </c>
      <c r="D21" s="411">
        <v>0</v>
      </c>
      <c r="E21" s="411"/>
      <c r="F21" s="411">
        <v>156.27000000000001</v>
      </c>
      <c r="H21" s="494">
        <f t="shared" si="0"/>
        <v>0</v>
      </c>
    </row>
    <row r="22" spans="1:8" ht="15">
      <c r="A22" s="383">
        <v>1357</v>
      </c>
      <c r="B22" s="412" t="s">
        <v>758</v>
      </c>
      <c r="C22" s="410" t="s">
        <v>486</v>
      </c>
      <c r="D22" s="411">
        <v>97.75</v>
      </c>
      <c r="E22" s="411"/>
      <c r="F22" s="411">
        <v>0</v>
      </c>
      <c r="H22" s="494">
        <f t="shared" si="0"/>
        <v>116.66616597263533</v>
      </c>
    </row>
    <row r="23" spans="1:8" ht="15">
      <c r="A23" s="383">
        <v>1357</v>
      </c>
      <c r="B23" s="412" t="s">
        <v>507</v>
      </c>
      <c r="C23" s="410" t="s">
        <v>508</v>
      </c>
      <c r="D23" s="411">
        <v>3152.25</v>
      </c>
      <c r="E23" s="411"/>
      <c r="F23" s="411">
        <v>6120.1</v>
      </c>
      <c r="H23" s="494">
        <f t="shared" si="0"/>
        <v>3762.2600684116596</v>
      </c>
    </row>
    <row r="24" spans="1:8" ht="15">
      <c r="A24" s="383">
        <v>1357</v>
      </c>
      <c r="B24" s="412" t="s">
        <v>509</v>
      </c>
      <c r="C24" s="410" t="s">
        <v>510</v>
      </c>
      <c r="D24" s="411">
        <v>-3136.8</v>
      </c>
      <c r="E24" s="411"/>
      <c r="F24" s="411">
        <v>-4184.05</v>
      </c>
      <c r="H24" s="494">
        <f t="shared" si="0"/>
        <v>-3743.8202498512792</v>
      </c>
    </row>
    <row r="25" spans="1:8" ht="15">
      <c r="A25" s="383">
        <v>1357</v>
      </c>
      <c r="B25" s="412" t="s">
        <v>511</v>
      </c>
      <c r="C25" s="410" t="s">
        <v>512</v>
      </c>
      <c r="D25" s="414">
        <v>2270.9699999999998</v>
      </c>
      <c r="E25" s="411">
        <v>3503.79</v>
      </c>
      <c r="F25" s="411">
        <v>536.28</v>
      </c>
      <c r="H25" s="497">
        <f t="shared" si="0"/>
        <v>2710.4384955383698</v>
      </c>
    </row>
    <row r="26" spans="1:8">
      <c r="B26" s="412" t="s">
        <v>486</v>
      </c>
      <c r="C26" s="410" t="s">
        <v>486</v>
      </c>
      <c r="D26" s="411"/>
      <c r="E26" s="411"/>
      <c r="F26" s="411"/>
      <c r="H26" s="476">
        <f>SUM(H19:H25)</f>
        <v>4181.8286002379537</v>
      </c>
    </row>
    <row r="27" spans="1:8" ht="45">
      <c r="B27" s="412" t="s">
        <v>486</v>
      </c>
      <c r="C27" s="413" t="s">
        <v>513</v>
      </c>
      <c r="D27" s="411"/>
      <c r="E27" s="411"/>
      <c r="F27" s="411"/>
      <c r="H27" s="494"/>
    </row>
    <row r="28" spans="1:8" ht="15">
      <c r="A28" s="383">
        <v>1307</v>
      </c>
      <c r="B28" s="412" t="s">
        <v>514</v>
      </c>
      <c r="C28" s="410" t="s">
        <v>515</v>
      </c>
      <c r="D28" s="411"/>
      <c r="E28" s="411">
        <v>381.77</v>
      </c>
      <c r="F28" s="411">
        <v>34082.9</v>
      </c>
      <c r="H28" s="476">
        <f>E28*$I$4</f>
        <v>455.6485133848899</v>
      </c>
    </row>
    <row r="29" spans="1:8">
      <c r="B29" s="412" t="s">
        <v>486</v>
      </c>
      <c r="C29" s="410" t="s">
        <v>486</v>
      </c>
      <c r="D29" s="411"/>
      <c r="E29" s="411"/>
      <c r="F29" s="411"/>
      <c r="H29" s="494"/>
    </row>
    <row r="30" spans="1:8" ht="15">
      <c r="B30" s="412" t="s">
        <v>486</v>
      </c>
      <c r="C30" s="409" t="s">
        <v>500</v>
      </c>
      <c r="D30" s="411"/>
      <c r="E30" s="411"/>
      <c r="F30" s="411"/>
      <c r="H30" s="494"/>
    </row>
    <row r="31" spans="1:8" ht="15">
      <c r="A31" s="383">
        <v>1358</v>
      </c>
      <c r="B31" s="412" t="s">
        <v>524</v>
      </c>
      <c r="C31" s="410" t="s">
        <v>525</v>
      </c>
      <c r="D31" s="411"/>
      <c r="E31" s="411">
        <v>2959.4</v>
      </c>
      <c r="F31" s="411">
        <v>0</v>
      </c>
      <c r="H31" s="476">
        <f>E31*$I$4</f>
        <v>3532.0905532421175</v>
      </c>
    </row>
    <row r="32" spans="1:8">
      <c r="B32" s="412" t="s">
        <v>486</v>
      </c>
      <c r="C32" s="410" t="s">
        <v>486</v>
      </c>
      <c r="D32" s="411"/>
      <c r="E32" s="414"/>
      <c r="F32" s="414"/>
      <c r="H32" s="497"/>
    </row>
    <row r="33" spans="1:11">
      <c r="B33" s="412" t="s">
        <v>486</v>
      </c>
      <c r="C33" s="410" t="s">
        <v>486</v>
      </c>
      <c r="D33" s="411"/>
      <c r="E33" s="411"/>
      <c r="F33" s="411"/>
      <c r="H33" s="494"/>
    </row>
    <row r="34" spans="1:11">
      <c r="B34" s="412" t="s">
        <v>486</v>
      </c>
      <c r="C34" s="410" t="s">
        <v>518</v>
      </c>
      <c r="D34" s="411"/>
      <c r="E34" s="411">
        <v>48585.05</v>
      </c>
      <c r="F34" s="411">
        <v>63414.27</v>
      </c>
      <c r="H34" s="476">
        <f>H31+H28+H26+H16+H13</f>
        <v>57987.023090422364</v>
      </c>
    </row>
    <row r="35" spans="1:11" ht="13.5" thickBot="1">
      <c r="B35" s="412" t="s">
        <v>486</v>
      </c>
      <c r="C35" s="410" t="s">
        <v>486</v>
      </c>
      <c r="D35" s="411"/>
      <c r="E35" s="415"/>
      <c r="F35" s="415"/>
      <c r="H35" s="431"/>
    </row>
    <row r="36" spans="1:11" ht="13.5" thickTop="1">
      <c r="B36" s="410" t="s">
        <v>519</v>
      </c>
      <c r="C36" s="410" t="s">
        <v>486</v>
      </c>
      <c r="D36" s="411"/>
      <c r="E36" s="411"/>
      <c r="F36" s="411"/>
      <c r="H36" s="494"/>
    </row>
    <row r="37" spans="1:11">
      <c r="B37" s="412" t="s">
        <v>484</v>
      </c>
      <c r="C37" s="410" t="s">
        <v>484</v>
      </c>
      <c r="D37" s="411" t="s">
        <v>484</v>
      </c>
      <c r="E37" s="411" t="s">
        <v>484</v>
      </c>
      <c r="F37" s="411" t="s">
        <v>484</v>
      </c>
      <c r="H37" s="494"/>
    </row>
    <row r="38" spans="1:11">
      <c r="B38" s="412" t="s">
        <v>486</v>
      </c>
      <c r="C38" s="410" t="s">
        <v>486</v>
      </c>
      <c r="D38" s="411"/>
      <c r="E38" s="412" t="s">
        <v>490</v>
      </c>
      <c r="F38" s="412" t="s">
        <v>491</v>
      </c>
      <c r="H38" s="494"/>
    </row>
    <row r="39" spans="1:11">
      <c r="B39" s="412" t="s">
        <v>494</v>
      </c>
      <c r="C39" s="410" t="s">
        <v>495</v>
      </c>
      <c r="D39" s="412" t="s">
        <v>496</v>
      </c>
      <c r="E39" s="412" t="s">
        <v>496</v>
      </c>
      <c r="F39" s="412" t="s">
        <v>496</v>
      </c>
      <c r="H39" s="494"/>
    </row>
    <row r="40" spans="1:11">
      <c r="B40" s="412" t="s">
        <v>486</v>
      </c>
      <c r="C40" s="410" t="s">
        <v>486</v>
      </c>
      <c r="D40" s="411"/>
      <c r="E40" s="411"/>
      <c r="F40" s="411"/>
      <c r="H40" s="494"/>
    </row>
    <row r="41" spans="1:11" ht="15">
      <c r="B41" s="412" t="s">
        <v>486</v>
      </c>
      <c r="C41" s="409" t="s">
        <v>520</v>
      </c>
      <c r="D41" s="411"/>
      <c r="E41" s="411"/>
      <c r="F41" s="411"/>
      <c r="H41" s="494"/>
      <c r="I41" s="475" t="s">
        <v>665</v>
      </c>
      <c r="J41" t="s">
        <v>407</v>
      </c>
    </row>
    <row r="42" spans="1:11" ht="15">
      <c r="A42" s="383">
        <v>1842</v>
      </c>
      <c r="B42" s="412" t="s">
        <v>521</v>
      </c>
      <c r="C42" s="410" t="s">
        <v>520</v>
      </c>
      <c r="D42" s="411"/>
      <c r="E42" s="411">
        <v>25000</v>
      </c>
      <c r="F42" s="411">
        <v>25000</v>
      </c>
      <c r="H42" s="476">
        <f>E42*$I$4</f>
        <v>29837.894110648424</v>
      </c>
      <c r="I42" s="476">
        <v>28054</v>
      </c>
      <c r="J42" s="43">
        <f>I42-H42</f>
        <v>-1783.8941106484235</v>
      </c>
      <c r="K42" s="99" t="s">
        <v>771</v>
      </c>
    </row>
    <row r="43" spans="1:11">
      <c r="B43" s="412" t="s">
        <v>486</v>
      </c>
      <c r="C43" s="410" t="s">
        <v>486</v>
      </c>
      <c r="D43" s="411"/>
      <c r="E43" s="411"/>
      <c r="F43" s="411"/>
      <c r="H43" s="494"/>
    </row>
    <row r="44" spans="1:11" ht="30">
      <c r="B44" s="412" t="s">
        <v>486</v>
      </c>
      <c r="C44" s="413" t="s">
        <v>656</v>
      </c>
      <c r="D44" s="411"/>
      <c r="E44" s="411"/>
      <c r="F44" s="411"/>
      <c r="H44" s="101"/>
      <c r="I44" s="475" t="s">
        <v>665</v>
      </c>
      <c r="J44" s="439" t="s">
        <v>407</v>
      </c>
    </row>
    <row r="45" spans="1:11" ht="15">
      <c r="A45" s="383">
        <v>9410</v>
      </c>
      <c r="B45" s="412" t="s">
        <v>657</v>
      </c>
      <c r="C45" s="410" t="s">
        <v>658</v>
      </c>
      <c r="D45" s="411"/>
      <c r="E45" s="411">
        <v>11943.69</v>
      </c>
      <c r="F45" s="411">
        <v>6553.33</v>
      </c>
      <c r="H45" s="503">
        <f>E45*$I$4</f>
        <v>14254.982300416419</v>
      </c>
      <c r="I45" s="476">
        <v>13158</v>
      </c>
      <c r="J45" s="43">
        <f>I45-H45</f>
        <v>-1096.9823004164191</v>
      </c>
      <c r="K45" s="99" t="s">
        <v>771</v>
      </c>
    </row>
    <row r="46" spans="1:11">
      <c r="B46" s="412" t="s">
        <v>486</v>
      </c>
      <c r="C46" s="410" t="s">
        <v>486</v>
      </c>
      <c r="D46" s="411"/>
      <c r="E46" s="411"/>
      <c r="F46" s="411"/>
      <c r="H46" s="476"/>
    </row>
    <row r="47" spans="1:11" ht="30">
      <c r="B47" s="412" t="s">
        <v>486</v>
      </c>
      <c r="C47" s="413" t="s">
        <v>545</v>
      </c>
      <c r="D47" s="411"/>
      <c r="E47" s="411"/>
      <c r="F47" s="411"/>
      <c r="H47" s="494"/>
    </row>
    <row r="48" spans="1:11">
      <c r="B48" s="412" t="s">
        <v>486</v>
      </c>
      <c r="C48" s="441" t="s">
        <v>546</v>
      </c>
      <c r="D48" s="420"/>
      <c r="E48" s="420">
        <v>3851.35</v>
      </c>
      <c r="F48" s="420">
        <v>8184.88</v>
      </c>
      <c r="G48" s="309"/>
      <c r="H48" s="503">
        <f>E48*$I$4</f>
        <v>4596.6469393218322</v>
      </c>
      <c r="I48" s="502">
        <f>'GMBH P&amp;L 31.08.2020'!H69</f>
        <v>7477.5233503866712</v>
      </c>
    </row>
    <row r="49" spans="1:8">
      <c r="B49" s="412" t="s">
        <v>486</v>
      </c>
      <c r="C49" s="410" t="s">
        <v>486</v>
      </c>
      <c r="D49" s="411"/>
      <c r="E49" s="411"/>
      <c r="F49" s="411"/>
      <c r="H49" s="494"/>
    </row>
    <row r="50" spans="1:8" ht="15">
      <c r="B50" s="412" t="s">
        <v>486</v>
      </c>
      <c r="C50" s="409" t="s">
        <v>548</v>
      </c>
      <c r="D50" s="411"/>
      <c r="E50" s="411"/>
      <c r="F50" s="411"/>
      <c r="H50" s="494"/>
    </row>
    <row r="51" spans="1:8">
      <c r="A51" s="418">
        <v>2688</v>
      </c>
      <c r="B51" s="412" t="s">
        <v>549</v>
      </c>
      <c r="C51" s="410" t="s">
        <v>550</v>
      </c>
      <c r="D51" s="411">
        <v>1905</v>
      </c>
      <c r="E51" s="411"/>
      <c r="F51" s="411">
        <v>1040</v>
      </c>
      <c r="H51" s="494">
        <f t="shared" ref="H51:H52" si="1">D51*$I$4</f>
        <v>2273.6475312314096</v>
      </c>
    </row>
    <row r="52" spans="1:8">
      <c r="A52" s="418">
        <v>2688</v>
      </c>
      <c r="B52" s="412" t="s">
        <v>551</v>
      </c>
      <c r="C52" s="410" t="s">
        <v>552</v>
      </c>
      <c r="D52" s="414">
        <v>1187.93</v>
      </c>
      <c r="E52" s="411">
        <v>3092.93</v>
      </c>
      <c r="F52" s="411">
        <v>1436.91</v>
      </c>
      <c r="H52" s="497">
        <f t="shared" si="1"/>
        <v>1417.8131820345034</v>
      </c>
    </row>
    <row r="53" spans="1:8">
      <c r="B53" s="412" t="s">
        <v>486</v>
      </c>
      <c r="C53" s="410" t="s">
        <v>486</v>
      </c>
      <c r="D53" s="411"/>
      <c r="E53" s="411"/>
      <c r="F53" s="411"/>
      <c r="H53" s="476">
        <f>SUM(H51:H52)</f>
        <v>3691.460713265913</v>
      </c>
    </row>
    <row r="54" spans="1:8" ht="15">
      <c r="B54" s="412" t="s">
        <v>486</v>
      </c>
      <c r="C54" s="409" t="s">
        <v>523</v>
      </c>
      <c r="D54" s="411"/>
      <c r="E54" s="411"/>
      <c r="F54" s="411"/>
      <c r="H54" s="494"/>
    </row>
    <row r="55" spans="1:8">
      <c r="B55" s="412" t="s">
        <v>524</v>
      </c>
      <c r="C55" s="410" t="s">
        <v>525</v>
      </c>
      <c r="D55" s="411"/>
      <c r="E55" s="411">
        <v>0</v>
      </c>
      <c r="F55" s="411">
        <v>2600</v>
      </c>
      <c r="H55" s="494"/>
    </row>
    <row r="56" spans="1:8">
      <c r="B56" s="412" t="s">
        <v>486</v>
      </c>
      <c r="C56" s="410" t="s">
        <v>486</v>
      </c>
      <c r="D56" s="411"/>
      <c r="E56" s="411"/>
      <c r="F56" s="411"/>
      <c r="H56" s="494"/>
    </row>
    <row r="57" spans="1:8" ht="15">
      <c r="B57" s="412" t="s">
        <v>486</v>
      </c>
      <c r="C57" s="409" t="s">
        <v>9</v>
      </c>
      <c r="D57" s="411"/>
      <c r="E57" s="411"/>
      <c r="F57" s="411"/>
      <c r="H57" s="494"/>
    </row>
    <row r="58" spans="1:8" ht="15">
      <c r="A58" s="383">
        <v>2689</v>
      </c>
      <c r="B58" s="412" t="s">
        <v>526</v>
      </c>
      <c r="C58" s="410" t="s">
        <v>9</v>
      </c>
      <c r="D58" s="411">
        <v>4697.08</v>
      </c>
      <c r="E58" s="411"/>
      <c r="F58" s="411">
        <v>11776.42</v>
      </c>
      <c r="H58" s="494">
        <f t="shared" ref="H58:H60" si="2">D58*$I$4</f>
        <v>5606.0390267697794</v>
      </c>
    </row>
    <row r="59" spans="1:8">
      <c r="B59" s="412" t="s">
        <v>527</v>
      </c>
      <c r="C59" s="410" t="s">
        <v>528</v>
      </c>
      <c r="D59" s="411">
        <v>0</v>
      </c>
      <c r="E59" s="411"/>
      <c r="F59" s="411">
        <v>5997.6</v>
      </c>
      <c r="H59" s="494">
        <f t="shared" si="2"/>
        <v>0</v>
      </c>
    </row>
    <row r="60" spans="1:8">
      <c r="B60" s="412" t="s">
        <v>661</v>
      </c>
      <c r="C60" s="410" t="s">
        <v>529</v>
      </c>
      <c r="D60" s="414">
        <v>0</v>
      </c>
      <c r="E60" s="411">
        <v>4697.08</v>
      </c>
      <c r="F60" s="411">
        <v>825.13</v>
      </c>
      <c r="H60" s="497">
        <f t="shared" si="2"/>
        <v>0</v>
      </c>
    </row>
    <row r="61" spans="1:8">
      <c r="B61" s="412" t="s">
        <v>486</v>
      </c>
      <c r="C61" s="410" t="s">
        <v>486</v>
      </c>
      <c r="D61" s="411"/>
      <c r="E61" s="411"/>
      <c r="F61" s="411"/>
      <c r="H61" s="476">
        <f>SUM(H58:H60)</f>
        <v>5606.0390267697794</v>
      </c>
    </row>
    <row r="62" spans="1:8" ht="30">
      <c r="B62" s="412" t="s">
        <v>486</v>
      </c>
      <c r="C62" s="413" t="s">
        <v>759</v>
      </c>
      <c r="D62" s="411"/>
      <c r="E62" s="411"/>
      <c r="F62" s="411"/>
      <c r="H62" s="494"/>
    </row>
    <row r="63" spans="1:8">
      <c r="B63" s="412" t="s">
        <v>661</v>
      </c>
      <c r="C63" s="410" t="s">
        <v>529</v>
      </c>
      <c r="D63" s="411"/>
      <c r="E63" s="411"/>
      <c r="F63" s="411"/>
      <c r="H63" s="494"/>
    </row>
    <row r="64" spans="1:8">
      <c r="B64" s="412" t="s">
        <v>486</v>
      </c>
      <c r="C64" s="410" t="s">
        <v>486</v>
      </c>
      <c r="D64" s="411"/>
      <c r="E64" s="411"/>
      <c r="F64" s="411"/>
      <c r="H64" s="494"/>
    </row>
    <row r="65" spans="2:9" ht="45">
      <c r="B65" s="412" t="s">
        <v>486</v>
      </c>
      <c r="C65" s="413" t="s">
        <v>769</v>
      </c>
      <c r="D65" s="411"/>
      <c r="E65" s="411"/>
      <c r="F65" s="411"/>
      <c r="H65" s="494"/>
    </row>
    <row r="66" spans="2:9">
      <c r="B66" s="412" t="s">
        <v>526</v>
      </c>
      <c r="C66" s="410" t="s">
        <v>9</v>
      </c>
      <c r="D66" s="411"/>
      <c r="E66" s="411"/>
      <c r="F66" s="411"/>
      <c r="H66" s="494"/>
    </row>
    <row r="67" spans="2:9">
      <c r="B67" s="412" t="s">
        <v>527</v>
      </c>
      <c r="C67" s="410" t="s">
        <v>528</v>
      </c>
      <c r="D67" s="411"/>
      <c r="E67" s="411"/>
      <c r="F67" s="411"/>
      <c r="H67" s="494"/>
    </row>
    <row r="68" spans="2:9">
      <c r="B68" s="412" t="s">
        <v>661</v>
      </c>
      <c r="C68" s="410" t="s">
        <v>529</v>
      </c>
      <c r="D68" s="411"/>
      <c r="E68" s="411"/>
      <c r="F68" s="411"/>
      <c r="H68" s="494"/>
    </row>
    <row r="69" spans="2:9">
      <c r="B69" s="412" t="s">
        <v>486</v>
      </c>
      <c r="C69" s="410" t="s">
        <v>486</v>
      </c>
      <c r="D69" s="411"/>
      <c r="E69" s="414"/>
      <c r="F69" s="414"/>
      <c r="H69" s="432"/>
    </row>
    <row r="70" spans="2:9">
      <c r="B70" s="412" t="s">
        <v>486</v>
      </c>
      <c r="C70" s="410" t="s">
        <v>486</v>
      </c>
      <c r="D70" s="411"/>
      <c r="E70" s="411"/>
      <c r="F70" s="411"/>
      <c r="H70" s="494"/>
    </row>
    <row r="71" spans="2:9">
      <c r="B71" s="412" t="s">
        <v>486</v>
      </c>
      <c r="C71" s="410" t="s">
        <v>530</v>
      </c>
      <c r="D71" s="411"/>
      <c r="E71" s="438">
        <v>48585.05</v>
      </c>
      <c r="F71" s="411">
        <v>63414.27</v>
      </c>
      <c r="H71" s="476">
        <f>H61+H53+I48+I45+I42</f>
        <v>57987.023090422364</v>
      </c>
      <c r="I71" s="422">
        <f>E71*I4-H71</f>
        <v>0</v>
      </c>
    </row>
    <row r="72" spans="2:9" ht="13.5" thickBot="1">
      <c r="B72" s="412" t="s">
        <v>486</v>
      </c>
      <c r="C72" s="410" t="s">
        <v>486</v>
      </c>
      <c r="D72" s="411"/>
      <c r="E72" s="415"/>
      <c r="F72" s="415"/>
      <c r="H72" s="431"/>
    </row>
    <row r="73" spans="2:9" ht="13.5" thickTop="1">
      <c r="H73" s="494"/>
    </row>
    <row r="76" spans="2:9">
      <c r="B76">
        <v>1</v>
      </c>
    </row>
  </sheetData>
  <pageMargins left="0.7" right="0.7" top="0.75" bottom="0.75" header="0.3" footer="0.3"/>
  <pageSetup paperSize="9" orientation="portrait" r:id="rId1"/>
  <ignoredErrors>
    <ignoredError sqref="B13:B73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54E20-72BA-4165-9880-1811AF1F8D91}">
  <dimension ref="A1:J71"/>
  <sheetViews>
    <sheetView workbookViewId="0">
      <selection activeCell="J27" sqref="J27"/>
    </sheetView>
  </sheetViews>
  <sheetFormatPr defaultRowHeight="12.75"/>
  <cols>
    <col min="2" max="2" width="29.42578125" customWidth="1"/>
    <col min="3" max="3" width="38.42578125" bestFit="1" customWidth="1"/>
    <col min="4" max="4" width="8.5703125" bestFit="1" customWidth="1"/>
    <col min="5" max="5" width="12.5703125" bestFit="1" customWidth="1"/>
    <col min="6" max="6" width="12.42578125" hidden="1" customWidth="1"/>
    <col min="7" max="7" width="4.42578125" customWidth="1"/>
    <col min="8" max="8" width="13.5703125" style="498" customWidth="1"/>
    <col min="10" max="10" width="16.5703125" bestFit="1" customWidth="1"/>
  </cols>
  <sheetData>
    <row r="1" spans="1:10" ht="13.5" thickBot="1"/>
    <row r="2" spans="1:10" ht="15">
      <c r="B2" s="409" t="s">
        <v>667</v>
      </c>
      <c r="C2" s="410" t="s">
        <v>486</v>
      </c>
      <c r="D2" s="411"/>
      <c r="E2" s="411"/>
      <c r="F2" s="411"/>
      <c r="I2" s="482">
        <v>3.3620000000000001</v>
      </c>
      <c r="J2" s="479" t="s">
        <v>763</v>
      </c>
    </row>
    <row r="3" spans="1:10">
      <c r="B3" s="410" t="s">
        <v>668</v>
      </c>
      <c r="C3" s="410" t="s">
        <v>486</v>
      </c>
      <c r="D3" s="411"/>
      <c r="E3" s="411"/>
      <c r="F3" s="411"/>
      <c r="I3" s="483">
        <v>4.0125999999999999</v>
      </c>
      <c r="J3" s="480" t="s">
        <v>764</v>
      </c>
    </row>
    <row r="4" spans="1:10" ht="13.5" thickBot="1">
      <c r="B4" s="410" t="s">
        <v>770</v>
      </c>
      <c r="C4" s="410" t="s">
        <v>486</v>
      </c>
      <c r="D4" s="411"/>
      <c r="E4" s="411"/>
      <c r="F4" s="411"/>
      <c r="I4" s="484">
        <f>I3/I2</f>
        <v>1.1935157644259369</v>
      </c>
      <c r="J4" s="481" t="s">
        <v>492</v>
      </c>
    </row>
    <row r="5" spans="1:10">
      <c r="B5" s="412" t="s">
        <v>486</v>
      </c>
      <c r="C5" s="410" t="s">
        <v>486</v>
      </c>
      <c r="D5" s="411"/>
      <c r="E5" s="411"/>
      <c r="F5" s="411"/>
    </row>
    <row r="6" spans="1:10" ht="15">
      <c r="B6" s="409" t="s">
        <v>488</v>
      </c>
      <c r="C6" s="410" t="s">
        <v>486</v>
      </c>
      <c r="D6" s="411"/>
      <c r="E6" s="411"/>
      <c r="F6" s="411"/>
    </row>
    <row r="7" spans="1:10">
      <c r="B7" s="412" t="s">
        <v>486</v>
      </c>
      <c r="C7" s="410" t="s">
        <v>486</v>
      </c>
      <c r="D7" s="411"/>
      <c r="E7" s="411"/>
      <c r="F7" s="411"/>
    </row>
    <row r="8" spans="1:10">
      <c r="B8" s="412" t="s">
        <v>484</v>
      </c>
      <c r="C8" s="410" t="s">
        <v>484</v>
      </c>
      <c r="D8" s="411" t="s">
        <v>484</v>
      </c>
      <c r="E8" s="411" t="s">
        <v>484</v>
      </c>
      <c r="F8" s="411" t="s">
        <v>484</v>
      </c>
    </row>
    <row r="9" spans="1:10">
      <c r="B9" s="412" t="s">
        <v>486</v>
      </c>
      <c r="C9" s="410" t="s">
        <v>486</v>
      </c>
      <c r="D9" s="411"/>
      <c r="E9" s="412" t="s">
        <v>490</v>
      </c>
      <c r="F9" s="412" t="s">
        <v>491</v>
      </c>
    </row>
    <row r="10" spans="1:10">
      <c r="B10" s="412" t="s">
        <v>494</v>
      </c>
      <c r="C10" s="410" t="s">
        <v>495</v>
      </c>
      <c r="D10" s="495" t="s">
        <v>496</v>
      </c>
      <c r="E10" s="495" t="s">
        <v>496</v>
      </c>
      <c r="F10" s="495" t="s">
        <v>496</v>
      </c>
      <c r="G10" s="496"/>
      <c r="H10" s="499" t="s">
        <v>117</v>
      </c>
    </row>
    <row r="11" spans="1:10">
      <c r="B11" s="412" t="s">
        <v>486</v>
      </c>
      <c r="C11" s="410" t="s">
        <v>486</v>
      </c>
      <c r="D11" s="411"/>
      <c r="E11" s="411"/>
      <c r="F11" s="411"/>
    </row>
    <row r="12" spans="1:10" ht="15">
      <c r="B12" s="412" t="s">
        <v>486</v>
      </c>
      <c r="C12" s="409" t="s">
        <v>573</v>
      </c>
      <c r="D12" s="411"/>
      <c r="E12" s="411"/>
      <c r="F12" s="411"/>
    </row>
    <row r="13" spans="1:10">
      <c r="A13" s="142">
        <v>7023</v>
      </c>
      <c r="B13" s="412" t="s">
        <v>572</v>
      </c>
      <c r="C13" s="410" t="s">
        <v>670</v>
      </c>
      <c r="D13" s="411"/>
      <c r="E13" s="411">
        <v>37165.57</v>
      </c>
      <c r="F13" s="411">
        <v>110495.71</v>
      </c>
      <c r="H13" s="499">
        <f>E13*$I$4</f>
        <v>44357.693688875668</v>
      </c>
      <c r="J13" s="504"/>
    </row>
    <row r="14" spans="1:10">
      <c r="B14" s="412" t="s">
        <v>486</v>
      </c>
      <c r="C14" s="410" t="s">
        <v>486</v>
      </c>
      <c r="D14" s="411"/>
      <c r="E14" s="411"/>
      <c r="F14" s="411"/>
    </row>
    <row r="15" spans="1:10" ht="30">
      <c r="B15" s="412" t="s">
        <v>486</v>
      </c>
      <c r="C15" s="413" t="s">
        <v>712</v>
      </c>
      <c r="D15" s="411"/>
      <c r="E15" s="411"/>
      <c r="F15" s="411"/>
    </row>
    <row r="16" spans="1:10">
      <c r="A16" s="142">
        <v>7021</v>
      </c>
      <c r="B16" s="412" t="s">
        <v>713</v>
      </c>
      <c r="C16" s="410" t="s">
        <v>714</v>
      </c>
      <c r="D16" s="411"/>
      <c r="E16" s="411">
        <v>1479.7</v>
      </c>
      <c r="F16" s="411">
        <v>0</v>
      </c>
      <c r="H16" s="499">
        <f>E16*$I$4</f>
        <v>1766.0452766210587</v>
      </c>
    </row>
    <row r="17" spans="1:8">
      <c r="B17" s="412" t="s">
        <v>486</v>
      </c>
      <c r="C17" s="410" t="s">
        <v>486</v>
      </c>
      <c r="D17" s="411"/>
      <c r="E17" s="411"/>
      <c r="F17" s="411"/>
    </row>
    <row r="18" spans="1:8" ht="15">
      <c r="B18" s="412" t="s">
        <v>486</v>
      </c>
      <c r="C18" s="409" t="s">
        <v>577</v>
      </c>
      <c r="D18" s="411"/>
      <c r="E18" s="411"/>
      <c r="F18" s="411"/>
    </row>
    <row r="19" spans="1:8">
      <c r="A19" s="142">
        <v>7020</v>
      </c>
      <c r="B19" s="412" t="s">
        <v>576</v>
      </c>
      <c r="C19" s="410" t="s">
        <v>577</v>
      </c>
      <c r="D19" s="411"/>
      <c r="E19" s="411">
        <v>-17333.32</v>
      </c>
      <c r="F19" s="411">
        <v>-57333.32</v>
      </c>
      <c r="H19" s="499">
        <f>E19*$I$4</f>
        <v>-20687.590669839381</v>
      </c>
    </row>
    <row r="20" spans="1:8">
      <c r="B20" s="412" t="s">
        <v>486</v>
      </c>
      <c r="C20" s="410" t="s">
        <v>486</v>
      </c>
      <c r="D20" s="411"/>
      <c r="E20" s="411"/>
      <c r="F20" s="411"/>
    </row>
    <row r="21" spans="1:8" ht="45">
      <c r="B21" s="412" t="s">
        <v>486</v>
      </c>
      <c r="C21" s="413" t="s">
        <v>671</v>
      </c>
      <c r="D21" s="411"/>
      <c r="E21" s="411"/>
      <c r="F21" s="411"/>
    </row>
    <row r="22" spans="1:8">
      <c r="A22" s="142">
        <v>7020</v>
      </c>
      <c r="B22" s="412" t="s">
        <v>579</v>
      </c>
      <c r="C22" s="410" t="s">
        <v>580</v>
      </c>
      <c r="D22" s="411">
        <v>-3848.88</v>
      </c>
      <c r="E22" s="411"/>
      <c r="F22" s="411">
        <v>-8661.4</v>
      </c>
      <c r="H22" s="498">
        <f>D22*$I$4</f>
        <v>-4593.6989553837002</v>
      </c>
    </row>
    <row r="23" spans="1:8">
      <c r="A23" s="142">
        <v>7020</v>
      </c>
      <c r="B23" s="412" t="s">
        <v>582</v>
      </c>
      <c r="C23" s="410" t="s">
        <v>672</v>
      </c>
      <c r="D23" s="414">
        <v>-171.23</v>
      </c>
      <c r="E23" s="411">
        <v>-4020.11</v>
      </c>
      <c r="F23" s="411">
        <v>0</v>
      </c>
      <c r="H23" s="500">
        <f>D23*$I$4</f>
        <v>-204.36570434265315</v>
      </c>
    </row>
    <row r="24" spans="1:8">
      <c r="B24" s="412" t="s">
        <v>486</v>
      </c>
      <c r="C24" s="410" t="s">
        <v>486</v>
      </c>
      <c r="D24" s="411"/>
      <c r="E24" s="411"/>
      <c r="F24" s="411"/>
      <c r="H24" s="499">
        <f>SUM(H22:H23)</f>
        <v>-4798.0646597263531</v>
      </c>
    </row>
    <row r="25" spans="1:8" ht="30">
      <c r="B25" s="412" t="s">
        <v>486</v>
      </c>
      <c r="C25" s="413" t="s">
        <v>673</v>
      </c>
      <c r="D25" s="411"/>
      <c r="E25" s="411"/>
      <c r="F25" s="411"/>
    </row>
    <row r="26" spans="1:8">
      <c r="B26" s="412" t="s">
        <v>486</v>
      </c>
      <c r="C26" s="410" t="s">
        <v>486</v>
      </c>
      <c r="D26" s="411"/>
      <c r="E26" s="411"/>
      <c r="F26" s="411"/>
    </row>
    <row r="27" spans="1:8" ht="75">
      <c r="B27" s="412" t="s">
        <v>486</v>
      </c>
      <c r="C27" s="413" t="s">
        <v>674</v>
      </c>
      <c r="D27" s="411"/>
      <c r="E27" s="411"/>
      <c r="F27" s="411"/>
    </row>
    <row r="28" spans="1:8">
      <c r="A28" s="142">
        <v>7021</v>
      </c>
      <c r="B28" s="412" t="s">
        <v>586</v>
      </c>
      <c r="C28" s="410" t="s">
        <v>675</v>
      </c>
      <c r="D28" s="411"/>
      <c r="E28" s="411">
        <v>-246.16</v>
      </c>
      <c r="F28" s="411">
        <v>-281.33</v>
      </c>
      <c r="H28" s="499">
        <f>E28*$I$4</f>
        <v>-293.7958405710886</v>
      </c>
    </row>
    <row r="29" spans="1:8">
      <c r="B29" s="412" t="s">
        <v>486</v>
      </c>
      <c r="C29" s="410" t="s">
        <v>486</v>
      </c>
      <c r="D29" s="411"/>
      <c r="E29" s="411"/>
      <c r="F29" s="411"/>
    </row>
    <row r="30" spans="1:8" ht="15">
      <c r="B30" s="412" t="s">
        <v>486</v>
      </c>
      <c r="C30" s="409" t="s">
        <v>676</v>
      </c>
      <c r="D30" s="411"/>
      <c r="E30" s="411"/>
      <c r="F30" s="411"/>
    </row>
    <row r="31" spans="1:8">
      <c r="A31" s="142">
        <v>7021</v>
      </c>
      <c r="B31" s="412" t="s">
        <v>589</v>
      </c>
      <c r="C31" s="410" t="s">
        <v>590</v>
      </c>
      <c r="D31" s="411"/>
      <c r="E31" s="411">
        <v>-3293.01</v>
      </c>
      <c r="F31" s="411">
        <v>-3763.44</v>
      </c>
      <c r="H31" s="499">
        <f>E31*$I$4</f>
        <v>-3930.2593474122546</v>
      </c>
    </row>
    <row r="32" spans="1:8">
      <c r="B32" s="412" t="s">
        <v>486</v>
      </c>
      <c r="C32" s="410" t="s">
        <v>486</v>
      </c>
      <c r="D32" s="411"/>
      <c r="E32" s="411"/>
      <c r="F32" s="411"/>
    </row>
    <row r="33" spans="1:8" ht="30">
      <c r="B33" s="412" t="s">
        <v>486</v>
      </c>
      <c r="C33" s="413" t="s">
        <v>743</v>
      </c>
      <c r="D33" s="411"/>
      <c r="E33" s="411"/>
      <c r="F33" s="411"/>
    </row>
    <row r="34" spans="1:8">
      <c r="A34" s="142">
        <v>7020</v>
      </c>
      <c r="B34" s="412" t="s">
        <v>744</v>
      </c>
      <c r="C34" s="410" t="s">
        <v>745</v>
      </c>
      <c r="D34" s="411"/>
      <c r="E34" s="411">
        <v>-25</v>
      </c>
      <c r="F34" s="411">
        <v>0</v>
      </c>
      <c r="H34" s="499">
        <f>E34*$I$4</f>
        <v>-29.837894110648421</v>
      </c>
    </row>
    <row r="35" spans="1:8">
      <c r="B35" s="412" t="s">
        <v>486</v>
      </c>
      <c r="C35" s="410" t="s">
        <v>486</v>
      </c>
      <c r="D35" s="411"/>
      <c r="E35" s="411"/>
      <c r="F35" s="411"/>
    </row>
    <row r="36" spans="1:8" ht="30">
      <c r="B36" s="412" t="s">
        <v>486</v>
      </c>
      <c r="C36" s="413" t="s">
        <v>677</v>
      </c>
      <c r="D36" s="411"/>
      <c r="E36" s="411"/>
      <c r="F36" s="411"/>
    </row>
    <row r="37" spans="1:8">
      <c r="A37" s="142">
        <v>7026</v>
      </c>
      <c r="B37" s="412" t="s">
        <v>595</v>
      </c>
      <c r="C37" s="410" t="s">
        <v>702</v>
      </c>
      <c r="D37" s="411">
        <v>-8400</v>
      </c>
      <c r="E37" s="411"/>
      <c r="F37" s="411">
        <v>-21279.72</v>
      </c>
      <c r="H37" s="498">
        <f t="shared" ref="H37:H43" si="0">D37*$I$4</f>
        <v>-10025.53242117787</v>
      </c>
    </row>
    <row r="38" spans="1:8">
      <c r="B38" s="412" t="s">
        <v>598</v>
      </c>
      <c r="C38" s="410" t="s">
        <v>599</v>
      </c>
      <c r="D38" s="411">
        <v>0</v>
      </c>
      <c r="E38" s="411"/>
      <c r="F38" s="411">
        <v>-234.96</v>
      </c>
      <c r="H38" s="498">
        <f t="shared" si="0"/>
        <v>0</v>
      </c>
    </row>
    <row r="39" spans="1:8">
      <c r="B39" s="412" t="s">
        <v>603</v>
      </c>
      <c r="C39" s="410" t="s">
        <v>604</v>
      </c>
      <c r="D39" s="411">
        <v>0</v>
      </c>
      <c r="E39" s="411"/>
      <c r="F39" s="411">
        <v>-529.70000000000005</v>
      </c>
      <c r="H39" s="498">
        <f t="shared" si="0"/>
        <v>0</v>
      </c>
    </row>
    <row r="40" spans="1:8">
      <c r="B40" s="412" t="s">
        <v>606</v>
      </c>
      <c r="C40" s="410" t="s">
        <v>607</v>
      </c>
      <c r="D40" s="411">
        <v>0</v>
      </c>
      <c r="E40" s="411"/>
      <c r="F40" s="411">
        <v>-596.11</v>
      </c>
      <c r="H40" s="498">
        <f t="shared" si="0"/>
        <v>0</v>
      </c>
    </row>
    <row r="41" spans="1:8">
      <c r="B41" s="412" t="s">
        <v>609</v>
      </c>
      <c r="C41" s="410" t="s">
        <v>610</v>
      </c>
      <c r="D41" s="411">
        <v>0</v>
      </c>
      <c r="E41" s="411"/>
      <c r="F41" s="411">
        <v>-137</v>
      </c>
      <c r="H41" s="498">
        <f t="shared" si="0"/>
        <v>0</v>
      </c>
    </row>
    <row r="42" spans="1:8">
      <c r="B42" s="412" t="s">
        <v>612</v>
      </c>
      <c r="C42" s="410" t="s">
        <v>613</v>
      </c>
      <c r="D42" s="411">
        <v>0</v>
      </c>
      <c r="E42" s="411"/>
      <c r="F42" s="411">
        <v>-1871.98</v>
      </c>
      <c r="H42" s="498">
        <f t="shared" si="0"/>
        <v>0</v>
      </c>
    </row>
    <row r="43" spans="1:8">
      <c r="B43" s="412" t="s">
        <v>615</v>
      </c>
      <c r="C43" s="410" t="s">
        <v>616</v>
      </c>
      <c r="D43" s="414">
        <v>0</v>
      </c>
      <c r="E43" s="411">
        <v>-8400</v>
      </c>
      <c r="F43" s="411">
        <v>-288</v>
      </c>
      <c r="H43" s="500">
        <f t="shared" si="0"/>
        <v>0</v>
      </c>
    </row>
    <row r="44" spans="1:8">
      <c r="B44" s="412" t="s">
        <v>486</v>
      </c>
      <c r="C44" s="410" t="s">
        <v>486</v>
      </c>
      <c r="D44" s="411"/>
      <c r="E44" s="411"/>
      <c r="F44" s="411"/>
      <c r="H44" s="499">
        <f>SUM(H37:H43)</f>
        <v>-10025.53242117787</v>
      </c>
    </row>
    <row r="45" spans="1:8" ht="30">
      <c r="B45" s="412" t="s">
        <v>486</v>
      </c>
      <c r="C45" s="413" t="s">
        <v>678</v>
      </c>
      <c r="D45" s="411"/>
      <c r="E45" s="411"/>
      <c r="F45" s="411"/>
    </row>
    <row r="46" spans="1:8">
      <c r="B46" s="412" t="s">
        <v>619</v>
      </c>
      <c r="C46" s="410" t="s">
        <v>679</v>
      </c>
      <c r="D46" s="411"/>
      <c r="E46" s="411">
        <v>0</v>
      </c>
      <c r="F46" s="411">
        <v>-5040</v>
      </c>
    </row>
    <row r="47" spans="1:8">
      <c r="B47" s="412" t="s">
        <v>486</v>
      </c>
      <c r="C47" s="410" t="s">
        <v>486</v>
      </c>
      <c r="D47" s="411"/>
      <c r="E47" s="411"/>
      <c r="F47" s="411"/>
    </row>
    <row r="48" spans="1:8" ht="30">
      <c r="B48" s="412" t="s">
        <v>486</v>
      </c>
      <c r="C48" s="413" t="s">
        <v>680</v>
      </c>
      <c r="D48" s="411"/>
      <c r="E48" s="411"/>
      <c r="F48" s="411"/>
    </row>
    <row r="49" spans="1:8">
      <c r="B49" s="412" t="s">
        <v>622</v>
      </c>
      <c r="C49" s="410" t="s">
        <v>623</v>
      </c>
      <c r="D49" s="411">
        <v>0</v>
      </c>
      <c r="E49" s="411"/>
      <c r="F49" s="411">
        <v>-239.5</v>
      </c>
      <c r="H49" s="498">
        <f t="shared" ref="H49:H53" si="1">D49*$I$4</f>
        <v>0</v>
      </c>
    </row>
    <row r="50" spans="1:8">
      <c r="A50" s="142">
        <v>7021</v>
      </c>
      <c r="B50" s="412" t="s">
        <v>625</v>
      </c>
      <c r="C50" s="410" t="s">
        <v>626</v>
      </c>
      <c r="D50" s="411">
        <v>-583.51</v>
      </c>
      <c r="E50" s="411"/>
      <c r="F50" s="411">
        <v>-346.64</v>
      </c>
      <c r="H50" s="498">
        <f t="shared" si="1"/>
        <v>-696.42838370017841</v>
      </c>
    </row>
    <row r="51" spans="1:8">
      <c r="A51" s="142">
        <v>7021</v>
      </c>
      <c r="B51" s="412" t="s">
        <v>630</v>
      </c>
      <c r="C51" s="410" t="s">
        <v>703</v>
      </c>
      <c r="D51" s="411">
        <v>-232.1</v>
      </c>
      <c r="E51" s="411"/>
      <c r="F51" s="411">
        <v>-820</v>
      </c>
      <c r="H51" s="498">
        <f t="shared" si="1"/>
        <v>-277.01500892325993</v>
      </c>
    </row>
    <row r="52" spans="1:8">
      <c r="A52" s="142">
        <v>7021</v>
      </c>
      <c r="B52" s="412" t="s">
        <v>633</v>
      </c>
      <c r="C52" s="410" t="s">
        <v>746</v>
      </c>
      <c r="D52" s="411">
        <v>-33.4</v>
      </c>
      <c r="E52" s="411"/>
      <c r="F52" s="411">
        <v>-734</v>
      </c>
      <c r="H52" s="498">
        <f t="shared" si="1"/>
        <v>-39.863426531826292</v>
      </c>
    </row>
    <row r="53" spans="1:8">
      <c r="A53" s="142">
        <v>7021</v>
      </c>
      <c r="B53" s="412" t="s">
        <v>638</v>
      </c>
      <c r="C53" s="410" t="s">
        <v>639</v>
      </c>
      <c r="D53" s="414">
        <v>-251.42</v>
      </c>
      <c r="E53" s="411">
        <v>-1100.43</v>
      </c>
      <c r="F53" s="411">
        <v>-153.72999999999999</v>
      </c>
      <c r="H53" s="500">
        <f t="shared" si="1"/>
        <v>-300.07373349196905</v>
      </c>
    </row>
    <row r="54" spans="1:8">
      <c r="B54" s="412" t="s">
        <v>486</v>
      </c>
      <c r="C54" s="410" t="s">
        <v>486</v>
      </c>
      <c r="D54" s="411"/>
      <c r="E54" s="411"/>
      <c r="F54" s="411"/>
      <c r="H54" s="499">
        <f>SUM(H49:H53)</f>
        <v>-1313.3805526472336</v>
      </c>
    </row>
    <row r="55" spans="1:8">
      <c r="B55" s="412"/>
      <c r="C55" s="410"/>
      <c r="D55" s="411"/>
      <c r="E55" s="411"/>
      <c r="F55" s="411"/>
    </row>
    <row r="56" spans="1:8">
      <c r="B56" s="412"/>
      <c r="C56" s="410"/>
      <c r="D56" s="411"/>
      <c r="E56" s="411"/>
      <c r="F56" s="411"/>
    </row>
    <row r="57" spans="1:8">
      <c r="A57">
        <v>7901</v>
      </c>
      <c r="B57" s="412">
        <v>9004</v>
      </c>
      <c r="C57" s="410" t="s">
        <v>470</v>
      </c>
      <c r="D57" s="411"/>
      <c r="E57" s="411"/>
      <c r="F57" s="411"/>
      <c r="H57" s="499">
        <f>-('GMBH BS 31.08.2020'!J42+'GMBH BS 31.08.2020'!J45)</f>
        <v>2880.8764110648426</v>
      </c>
    </row>
    <row r="58" spans="1:8">
      <c r="B58" s="412"/>
      <c r="C58" s="410"/>
      <c r="D58" s="411"/>
      <c r="E58" s="411"/>
      <c r="F58" s="411"/>
    </row>
    <row r="59" spans="1:8">
      <c r="B59" s="412"/>
      <c r="C59" s="410"/>
      <c r="D59" s="411"/>
      <c r="E59" s="411"/>
      <c r="F59" s="411"/>
    </row>
    <row r="60" spans="1:8">
      <c r="B60" s="412"/>
      <c r="C60" s="410"/>
      <c r="D60" s="411"/>
      <c r="E60" s="411"/>
      <c r="F60" s="411"/>
    </row>
    <row r="61" spans="1:8">
      <c r="B61" s="412"/>
      <c r="C61" s="410"/>
      <c r="D61" s="411"/>
      <c r="E61" s="411"/>
      <c r="F61" s="411"/>
    </row>
    <row r="62" spans="1:8">
      <c r="B62" s="412"/>
      <c r="C62" s="410"/>
      <c r="D62" s="411"/>
      <c r="E62" s="411"/>
      <c r="F62" s="411"/>
    </row>
    <row r="63" spans="1:8">
      <c r="B63" s="412"/>
      <c r="C63" s="410"/>
      <c r="D63" s="411"/>
      <c r="E63" s="411"/>
      <c r="F63" s="411"/>
    </row>
    <row r="64" spans="1:8" ht="15">
      <c r="B64" s="412" t="s">
        <v>486</v>
      </c>
      <c r="C64" s="409" t="s">
        <v>748</v>
      </c>
      <c r="D64" s="411"/>
      <c r="E64" s="411"/>
      <c r="F64" s="411"/>
    </row>
    <row r="65" spans="1:9">
      <c r="A65" s="142">
        <v>7028</v>
      </c>
      <c r="B65" s="412" t="s">
        <v>762</v>
      </c>
      <c r="C65" s="410" t="s">
        <v>749</v>
      </c>
      <c r="D65" s="411"/>
      <c r="E65" s="411">
        <v>-375.89</v>
      </c>
      <c r="F65" s="411">
        <v>0</v>
      </c>
      <c r="H65" s="499">
        <f>E65*$I$4</f>
        <v>-448.63064069006538</v>
      </c>
    </row>
    <row r="66" spans="1:9">
      <c r="B66" s="412" t="s">
        <v>486</v>
      </c>
      <c r="C66" s="410" t="s">
        <v>486</v>
      </c>
      <c r="D66" s="411"/>
      <c r="E66" s="414"/>
      <c r="F66" s="414"/>
      <c r="H66" s="500"/>
    </row>
    <row r="67" spans="1:9">
      <c r="B67" s="412" t="s">
        <v>486</v>
      </c>
      <c r="C67" s="410" t="s">
        <v>486</v>
      </c>
      <c r="D67" s="411"/>
      <c r="E67" s="411"/>
      <c r="F67" s="411"/>
    </row>
    <row r="68" spans="1:9" ht="30">
      <c r="B68" s="412" t="s">
        <v>486</v>
      </c>
      <c r="C68" s="413" t="s">
        <v>545</v>
      </c>
      <c r="D68" s="411"/>
      <c r="E68" s="411"/>
      <c r="F68" s="411"/>
    </row>
    <row r="69" spans="1:9">
      <c r="B69" s="412" t="s">
        <v>486</v>
      </c>
      <c r="C69" s="410" t="s">
        <v>546</v>
      </c>
      <c r="D69" s="411"/>
      <c r="E69" s="411">
        <v>3851.35</v>
      </c>
      <c r="F69" s="411">
        <v>8184.88</v>
      </c>
      <c r="H69" s="499">
        <f>H13+H16+H19+H24+H28+H31+H34+H44+H54+H65+H57</f>
        <v>7477.5233503866712</v>
      </c>
      <c r="I69" s="285">
        <f>E69*I4-H69+H57</f>
        <v>3.637978807091713E-12</v>
      </c>
    </row>
    <row r="70" spans="1:9" ht="13.5" thickBot="1">
      <c r="B70" s="412" t="s">
        <v>486</v>
      </c>
      <c r="C70" s="410" t="s">
        <v>486</v>
      </c>
      <c r="D70" s="411"/>
      <c r="E70" s="415"/>
      <c r="F70" s="415"/>
      <c r="H70" s="501"/>
    </row>
    <row r="71" spans="1:9" ht="13.5" thickTop="1"/>
  </sheetData>
  <pageMargins left="0.7" right="0.7" top="0.75" bottom="0.75" header="0.3" footer="0.3"/>
  <pageSetup paperSize="9" orientation="portrait" r:id="rId1"/>
  <ignoredErrors>
    <ignoredError sqref="B13:B67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73B31-7F04-4C76-86A1-4FB5C789C605}">
  <dimension ref="A1:K75"/>
  <sheetViews>
    <sheetView workbookViewId="0">
      <selection activeCell="C36" sqref="C36"/>
    </sheetView>
  </sheetViews>
  <sheetFormatPr defaultRowHeight="12.75"/>
  <cols>
    <col min="2" max="2" width="25.42578125" customWidth="1"/>
    <col min="3" max="3" width="34.5703125" bestFit="1" customWidth="1"/>
    <col min="4" max="4" width="8.5703125" bestFit="1" customWidth="1"/>
    <col min="5" max="5" width="12.5703125" bestFit="1" customWidth="1"/>
    <col min="6" max="6" width="12.42578125" hidden="1" customWidth="1"/>
    <col min="8" max="8" width="10.42578125" style="485" bestFit="1" customWidth="1"/>
    <col min="9" max="9" width="12.42578125" customWidth="1"/>
    <col min="10" max="10" width="15.5703125" bestFit="1" customWidth="1"/>
  </cols>
  <sheetData>
    <row r="1" spans="1:10">
      <c r="B1" s="412" t="s">
        <v>484</v>
      </c>
      <c r="C1" s="410" t="s">
        <v>484</v>
      </c>
      <c r="D1" s="411" t="s">
        <v>484</v>
      </c>
      <c r="E1" s="411" t="s">
        <v>484</v>
      </c>
      <c r="F1" s="411" t="s">
        <v>484</v>
      </c>
    </row>
    <row r="2" spans="1:10" ht="15">
      <c r="B2" s="409" t="s">
        <v>485</v>
      </c>
      <c r="C2" s="410" t="s">
        <v>486</v>
      </c>
      <c r="D2" s="411"/>
      <c r="E2" s="411"/>
      <c r="F2" s="411"/>
    </row>
    <row r="3" spans="1:10">
      <c r="B3" s="410" t="s">
        <v>487</v>
      </c>
      <c r="C3" s="410" t="s">
        <v>486</v>
      </c>
      <c r="D3" s="411"/>
      <c r="E3" s="411"/>
      <c r="F3" s="411"/>
      <c r="I3" s="506">
        <v>3.4220000000000002</v>
      </c>
      <c r="J3" s="510" t="s">
        <v>781</v>
      </c>
    </row>
    <row r="4" spans="1:10">
      <c r="B4" s="410" t="s">
        <v>772</v>
      </c>
      <c r="C4" s="410" t="s">
        <v>486</v>
      </c>
      <c r="D4" s="411"/>
      <c r="E4" s="411"/>
      <c r="F4" s="411"/>
      <c r="I4" s="507">
        <v>3.9937999999999998</v>
      </c>
      <c r="J4" s="511" t="s">
        <v>782</v>
      </c>
    </row>
    <row r="5" spans="1:10">
      <c r="B5" s="412" t="s">
        <v>486</v>
      </c>
      <c r="C5" s="410" t="s">
        <v>486</v>
      </c>
      <c r="D5" s="411"/>
      <c r="E5" s="411"/>
      <c r="F5" s="411"/>
      <c r="I5" s="507">
        <v>1.1935157644259369</v>
      </c>
      <c r="J5" s="508" t="s">
        <v>492</v>
      </c>
    </row>
    <row r="6" spans="1:10" ht="15">
      <c r="B6" s="409" t="s">
        <v>488</v>
      </c>
      <c r="C6" s="410" t="s">
        <v>486</v>
      </c>
      <c r="D6" s="411"/>
      <c r="E6" s="411"/>
      <c r="F6" s="411"/>
    </row>
    <row r="7" spans="1:10">
      <c r="B7" s="412" t="s">
        <v>486</v>
      </c>
      <c r="C7" s="410" t="s">
        <v>486</v>
      </c>
      <c r="D7" s="411"/>
      <c r="E7" s="411"/>
      <c r="F7" s="411"/>
    </row>
    <row r="8" spans="1:10">
      <c r="B8" s="410" t="s">
        <v>489</v>
      </c>
      <c r="C8" s="410" t="s">
        <v>486</v>
      </c>
      <c r="D8" s="411"/>
      <c r="E8" s="411"/>
      <c r="F8" s="411"/>
    </row>
    <row r="9" spans="1:10">
      <c r="B9" s="412" t="s">
        <v>484</v>
      </c>
      <c r="C9" s="410" t="s">
        <v>484</v>
      </c>
      <c r="D9" s="411" t="s">
        <v>484</v>
      </c>
      <c r="E9" s="411" t="s">
        <v>484</v>
      </c>
      <c r="F9" s="411" t="s">
        <v>484</v>
      </c>
    </row>
    <row r="10" spans="1:10">
      <c r="B10" s="412" t="s">
        <v>486</v>
      </c>
      <c r="C10" s="410" t="s">
        <v>486</v>
      </c>
      <c r="D10" s="411"/>
      <c r="E10" s="412" t="s">
        <v>490</v>
      </c>
      <c r="F10" s="412" t="s">
        <v>491</v>
      </c>
    </row>
    <row r="11" spans="1:10">
      <c r="B11" s="412" t="s">
        <v>494</v>
      </c>
      <c r="C11" s="410" t="s">
        <v>495</v>
      </c>
      <c r="D11" s="509" t="s">
        <v>496</v>
      </c>
      <c r="E11" s="509" t="s">
        <v>496</v>
      </c>
      <c r="F11" s="509" t="s">
        <v>496</v>
      </c>
      <c r="G11" s="439"/>
      <c r="H11" s="488" t="s">
        <v>117</v>
      </c>
    </row>
    <row r="12" spans="1:10">
      <c r="B12" s="412" t="s">
        <v>486</v>
      </c>
      <c r="C12" s="410" t="s">
        <v>486</v>
      </c>
      <c r="D12" s="411"/>
      <c r="E12" s="411"/>
      <c r="F12" s="411"/>
    </row>
    <row r="13" spans="1:10" ht="45">
      <c r="B13" s="412" t="s">
        <v>486</v>
      </c>
      <c r="C13" s="413" t="s">
        <v>497</v>
      </c>
      <c r="D13" s="411"/>
      <c r="E13" s="411"/>
      <c r="F13" s="411"/>
    </row>
    <row r="14" spans="1:10" ht="15">
      <c r="A14" s="383">
        <v>1904</v>
      </c>
      <c r="B14" s="412" t="s">
        <v>498</v>
      </c>
      <c r="C14" s="410" t="s">
        <v>499</v>
      </c>
      <c r="D14" s="411"/>
      <c r="E14" s="411">
        <v>352.34</v>
      </c>
      <c r="F14" s="411">
        <v>774.34</v>
      </c>
      <c r="H14" s="488">
        <f>E14*$I$5</f>
        <v>420.52334443783457</v>
      </c>
    </row>
    <row r="15" spans="1:10">
      <c r="B15" s="412" t="s">
        <v>486</v>
      </c>
      <c r="C15" s="410" t="s">
        <v>486</v>
      </c>
      <c r="D15" s="411"/>
      <c r="E15" s="411"/>
      <c r="F15" s="411"/>
    </row>
    <row r="16" spans="1:10" ht="15">
      <c r="B16" s="412" t="s">
        <v>486</v>
      </c>
      <c r="C16" s="409" t="s">
        <v>538</v>
      </c>
      <c r="D16" s="411"/>
      <c r="E16" s="411"/>
      <c r="F16" s="411"/>
    </row>
    <row r="17" spans="1:8" ht="15">
      <c r="A17" s="383">
        <v>1351</v>
      </c>
      <c r="B17" s="412" t="s">
        <v>539</v>
      </c>
      <c r="C17" s="410" t="s">
        <v>538</v>
      </c>
      <c r="D17" s="411"/>
      <c r="E17" s="411">
        <v>38866.29</v>
      </c>
      <c r="F17" s="411">
        <v>58712.41</v>
      </c>
      <c r="H17" s="488">
        <f>E17*$I$5</f>
        <v>46387.529819750147</v>
      </c>
    </row>
    <row r="18" spans="1:8">
      <c r="B18" s="412" t="s">
        <v>486</v>
      </c>
      <c r="C18" s="410" t="s">
        <v>486</v>
      </c>
      <c r="D18" s="411"/>
      <c r="E18" s="411"/>
      <c r="F18" s="411"/>
    </row>
    <row r="19" spans="1:8" ht="15">
      <c r="B19" s="412" t="s">
        <v>486</v>
      </c>
      <c r="C19" s="409" t="s">
        <v>500</v>
      </c>
      <c r="D19" s="411"/>
      <c r="E19" s="411"/>
      <c r="F19" s="411"/>
    </row>
    <row r="20" spans="1:8" ht="15">
      <c r="A20" s="383">
        <v>1355</v>
      </c>
      <c r="B20" s="412" t="s">
        <v>501</v>
      </c>
      <c r="C20" s="410" t="s">
        <v>502</v>
      </c>
      <c r="D20" s="411">
        <v>1119.6199999999999</v>
      </c>
      <c r="E20" s="411"/>
      <c r="F20" s="411">
        <v>1119.6199999999999</v>
      </c>
      <c r="H20" s="485">
        <f>D20*$I$5</f>
        <v>1336.2841201665674</v>
      </c>
    </row>
    <row r="21" spans="1:8">
      <c r="A21" s="418">
        <v>2688</v>
      </c>
      <c r="B21" s="412" t="s">
        <v>776</v>
      </c>
      <c r="C21" s="410" t="s">
        <v>777</v>
      </c>
      <c r="D21" s="411">
        <v>173.5</v>
      </c>
      <c r="E21" s="411"/>
      <c r="F21" s="411">
        <v>0</v>
      </c>
      <c r="H21" s="485">
        <f t="shared" ref="H21:H27" si="0">D21*$I$5</f>
        <v>207.07498512790005</v>
      </c>
    </row>
    <row r="22" spans="1:8">
      <c r="B22" s="412" t="s">
        <v>503</v>
      </c>
      <c r="C22" s="410" t="s">
        <v>504</v>
      </c>
      <c r="D22" s="411">
        <v>0</v>
      </c>
      <c r="E22" s="411"/>
      <c r="F22" s="411">
        <v>165.72</v>
      </c>
      <c r="H22" s="485">
        <f t="shared" si="0"/>
        <v>0</v>
      </c>
    </row>
    <row r="23" spans="1:8">
      <c r="B23" s="412" t="s">
        <v>505</v>
      </c>
      <c r="C23" s="410" t="s">
        <v>506</v>
      </c>
      <c r="D23" s="411">
        <v>0</v>
      </c>
      <c r="E23" s="411"/>
      <c r="F23" s="411">
        <v>209.4</v>
      </c>
      <c r="H23" s="485">
        <f t="shared" si="0"/>
        <v>0</v>
      </c>
    </row>
    <row r="24" spans="1:8">
      <c r="A24" s="418">
        <v>1357</v>
      </c>
      <c r="B24" s="412" t="s">
        <v>758</v>
      </c>
      <c r="C24" s="410" t="s">
        <v>778</v>
      </c>
      <c r="D24" s="411">
        <v>343.8</v>
      </c>
      <c r="E24" s="411"/>
      <c r="F24" s="411">
        <v>0</v>
      </c>
      <c r="H24" s="485">
        <f t="shared" si="0"/>
        <v>410.33071980963712</v>
      </c>
    </row>
    <row r="25" spans="1:8">
      <c r="A25" s="418">
        <v>1357</v>
      </c>
      <c r="B25" s="412" t="s">
        <v>507</v>
      </c>
      <c r="C25" s="410" t="s">
        <v>779</v>
      </c>
      <c r="D25" s="411">
        <v>3152.25</v>
      </c>
      <c r="E25" s="411"/>
      <c r="F25" s="411">
        <v>9630.57</v>
      </c>
      <c r="H25" s="485">
        <f t="shared" si="0"/>
        <v>3762.2600684116596</v>
      </c>
    </row>
    <row r="26" spans="1:8">
      <c r="A26" s="418">
        <v>1357</v>
      </c>
      <c r="B26" s="412" t="s">
        <v>509</v>
      </c>
      <c r="C26" s="410" t="s">
        <v>510</v>
      </c>
      <c r="D26" s="411">
        <v>-3136.8</v>
      </c>
      <c r="E26" s="411"/>
      <c r="F26" s="411">
        <v>-6442.09</v>
      </c>
      <c r="H26" s="485">
        <f t="shared" si="0"/>
        <v>-3743.8202498512792</v>
      </c>
    </row>
    <row r="27" spans="1:8">
      <c r="A27" s="418">
        <v>1357</v>
      </c>
      <c r="B27" s="412" t="s">
        <v>511</v>
      </c>
      <c r="C27" s="410" t="s">
        <v>512</v>
      </c>
      <c r="D27" s="414">
        <v>2270.9699999999998</v>
      </c>
      <c r="E27" s="411">
        <v>3923.34</v>
      </c>
      <c r="F27" s="411">
        <v>536.28</v>
      </c>
      <c r="H27" s="487">
        <f t="shared" si="0"/>
        <v>2710.4384955383698</v>
      </c>
    </row>
    <row r="28" spans="1:8">
      <c r="B28" s="412" t="s">
        <v>486</v>
      </c>
      <c r="C28" s="410" t="s">
        <v>486</v>
      </c>
      <c r="D28" s="411"/>
      <c r="E28" s="411"/>
      <c r="F28" s="411"/>
      <c r="H28" s="488">
        <f>SUM(H20:H27)</f>
        <v>4682.5681392028546</v>
      </c>
    </row>
    <row r="29" spans="1:8" ht="45">
      <c r="B29" s="412" t="s">
        <v>486</v>
      </c>
      <c r="C29" s="413" t="s">
        <v>513</v>
      </c>
      <c r="D29" s="411"/>
      <c r="E29" s="411"/>
      <c r="F29" s="411"/>
      <c r="H29" s="488"/>
    </row>
    <row r="30" spans="1:8" ht="15">
      <c r="A30" s="383">
        <v>1307</v>
      </c>
      <c r="B30" s="412" t="s">
        <v>514</v>
      </c>
      <c r="C30" s="410" t="s">
        <v>515</v>
      </c>
      <c r="D30" s="411"/>
      <c r="E30" s="411">
        <v>137.53</v>
      </c>
      <c r="F30" s="411">
        <v>4142.58</v>
      </c>
      <c r="H30" s="488">
        <f>E30*$I$5</f>
        <v>164.14422308149909</v>
      </c>
    </row>
    <row r="31" spans="1:8">
      <c r="B31" s="412" t="s">
        <v>486</v>
      </c>
      <c r="C31" s="410" t="s">
        <v>486</v>
      </c>
      <c r="D31" s="411"/>
      <c r="E31" s="411"/>
      <c r="F31" s="411"/>
    </row>
    <row r="32" spans="1:8" ht="15">
      <c r="B32" s="412" t="s">
        <v>486</v>
      </c>
      <c r="C32" s="409" t="s">
        <v>500</v>
      </c>
      <c r="D32" s="411"/>
      <c r="E32" s="411"/>
      <c r="F32" s="411"/>
      <c r="H32" s="488"/>
    </row>
    <row r="33" spans="1:11" ht="15">
      <c r="A33" s="383">
        <v>1358</v>
      </c>
      <c r="B33" s="412" t="s">
        <v>524</v>
      </c>
      <c r="C33" s="410" t="s">
        <v>525</v>
      </c>
      <c r="D33" s="411"/>
      <c r="E33" s="411">
        <v>2959.4</v>
      </c>
      <c r="F33" s="411">
        <v>0</v>
      </c>
      <c r="H33" s="488">
        <f>E33*$I$5</f>
        <v>3532.0905532421175</v>
      </c>
    </row>
    <row r="34" spans="1:11">
      <c r="B34" s="412" t="s">
        <v>486</v>
      </c>
      <c r="C34" s="410" t="s">
        <v>486</v>
      </c>
      <c r="D34" s="411"/>
      <c r="E34" s="414"/>
      <c r="F34" s="414"/>
      <c r="H34" s="487"/>
    </row>
    <row r="35" spans="1:11">
      <c r="B35" s="412" t="s">
        <v>486</v>
      </c>
      <c r="C35" s="410" t="s">
        <v>486</v>
      </c>
      <c r="D35" s="411"/>
      <c r="E35" s="411"/>
      <c r="F35" s="411"/>
    </row>
    <row r="36" spans="1:11">
      <c r="B36" s="412" t="s">
        <v>486</v>
      </c>
      <c r="C36" s="410" t="s">
        <v>518</v>
      </c>
      <c r="D36" s="411"/>
      <c r="E36" s="411">
        <v>46238.9</v>
      </c>
      <c r="F36" s="411">
        <v>68848.83</v>
      </c>
      <c r="H36" s="488">
        <f>H33+H30+H28+H17+H14</f>
        <v>55186.856079714453</v>
      </c>
      <c r="I36" s="285">
        <f>E36*I5-H36</f>
        <v>0</v>
      </c>
    </row>
    <row r="37" spans="1:11" ht="13.5" thickBot="1">
      <c r="B37" s="412" t="s">
        <v>486</v>
      </c>
      <c r="C37" s="410" t="s">
        <v>486</v>
      </c>
      <c r="D37" s="411"/>
      <c r="E37" s="415"/>
      <c r="F37" s="415"/>
      <c r="H37" s="431"/>
    </row>
    <row r="38" spans="1:11" ht="13.5" thickTop="1">
      <c r="B38" s="410" t="s">
        <v>519</v>
      </c>
      <c r="C38" s="410" t="s">
        <v>486</v>
      </c>
      <c r="D38" s="411"/>
      <c r="E38" s="411"/>
      <c r="F38" s="411"/>
    </row>
    <row r="39" spans="1:11">
      <c r="B39" s="412" t="s">
        <v>484</v>
      </c>
      <c r="C39" s="410" t="s">
        <v>484</v>
      </c>
      <c r="D39" s="411" t="s">
        <v>484</v>
      </c>
      <c r="E39" s="411" t="s">
        <v>484</v>
      </c>
      <c r="F39" s="411" t="s">
        <v>484</v>
      </c>
    </row>
    <row r="40" spans="1:11">
      <c r="B40" s="412" t="s">
        <v>486</v>
      </c>
      <c r="C40" s="410" t="s">
        <v>486</v>
      </c>
      <c r="D40" s="411"/>
      <c r="E40" s="412" t="s">
        <v>490</v>
      </c>
      <c r="F40" s="412" t="s">
        <v>491</v>
      </c>
    </row>
    <row r="41" spans="1:11">
      <c r="B41" s="412" t="s">
        <v>494</v>
      </c>
      <c r="C41" s="410" t="s">
        <v>495</v>
      </c>
      <c r="D41" s="412" t="s">
        <v>496</v>
      </c>
      <c r="E41" s="412" t="s">
        <v>496</v>
      </c>
      <c r="F41" s="412" t="s">
        <v>496</v>
      </c>
    </row>
    <row r="42" spans="1:11">
      <c r="B42" s="412" t="s">
        <v>486</v>
      </c>
      <c r="C42" s="410" t="s">
        <v>486</v>
      </c>
      <c r="D42" s="411"/>
      <c r="E42" s="411"/>
      <c r="F42" s="411"/>
    </row>
    <row r="43" spans="1:11" ht="15">
      <c r="B43" s="412" t="s">
        <v>486</v>
      </c>
      <c r="C43" s="409" t="s">
        <v>520</v>
      </c>
      <c r="D43" s="411"/>
      <c r="E43" s="411"/>
      <c r="F43" s="411"/>
      <c r="I43" s="475" t="s">
        <v>665</v>
      </c>
      <c r="J43" s="439" t="s">
        <v>407</v>
      </c>
    </row>
    <row r="44" spans="1:11">
      <c r="A44" s="418">
        <v>1842</v>
      </c>
      <c r="B44" s="412" t="s">
        <v>521</v>
      </c>
      <c r="C44" s="410" t="s">
        <v>520</v>
      </c>
      <c r="D44" s="411"/>
      <c r="E44" s="411">
        <v>25000</v>
      </c>
      <c r="F44" s="411">
        <v>25000</v>
      </c>
      <c r="H44" s="490">
        <f>E44*$I$5</f>
        <v>29837.894110648424</v>
      </c>
      <c r="I44" s="476">
        <v>28054</v>
      </c>
      <c r="J44" s="43">
        <f>I44-H44</f>
        <v>-1783.8941106484235</v>
      </c>
      <c r="K44" s="99" t="s">
        <v>771</v>
      </c>
    </row>
    <row r="45" spans="1:11">
      <c r="B45" s="412" t="s">
        <v>486</v>
      </c>
      <c r="C45" s="410" t="s">
        <v>486</v>
      </c>
      <c r="D45" s="411"/>
      <c r="E45" s="411"/>
      <c r="F45" s="411"/>
      <c r="I45" s="475" t="s">
        <v>665</v>
      </c>
      <c r="J45" s="439" t="s">
        <v>407</v>
      </c>
    </row>
    <row r="46" spans="1:11" ht="30">
      <c r="B46" s="412" t="s">
        <v>486</v>
      </c>
      <c r="C46" s="413" t="s">
        <v>656</v>
      </c>
      <c r="D46" s="411"/>
      <c r="E46" s="411"/>
      <c r="F46" s="411"/>
    </row>
    <row r="47" spans="1:11" ht="15">
      <c r="A47" s="383">
        <v>9410</v>
      </c>
      <c r="B47" s="412" t="s">
        <v>657</v>
      </c>
      <c r="C47" s="410" t="s">
        <v>658</v>
      </c>
      <c r="D47" s="411"/>
      <c r="E47" s="411">
        <v>11943.69</v>
      </c>
      <c r="F47" s="411">
        <v>6553.33</v>
      </c>
      <c r="H47" s="490">
        <f>E47*$I$5</f>
        <v>14254.982300416419</v>
      </c>
      <c r="I47" s="476">
        <v>13158</v>
      </c>
      <c r="J47" s="43">
        <f>I47-H47</f>
        <v>-1096.9823004164191</v>
      </c>
      <c r="K47" s="99" t="s">
        <v>771</v>
      </c>
    </row>
    <row r="48" spans="1:11">
      <c r="B48" s="412" t="s">
        <v>486</v>
      </c>
      <c r="C48" s="410" t="s">
        <v>486</v>
      </c>
      <c r="D48" s="411"/>
      <c r="E48" s="411"/>
      <c r="F48" s="411"/>
    </row>
    <row r="49" spans="1:11">
      <c r="B49" s="412" t="s">
        <v>486</v>
      </c>
      <c r="C49" s="410" t="s">
        <v>545</v>
      </c>
      <c r="D49" s="411"/>
      <c r="E49" s="411"/>
      <c r="F49" s="411"/>
    </row>
    <row r="50" spans="1:11" s="309" customFormat="1">
      <c r="B50" s="512" t="s">
        <v>486</v>
      </c>
      <c r="C50" s="441" t="s">
        <v>546</v>
      </c>
      <c r="D50" s="420"/>
      <c r="E50" s="420">
        <v>3410.2</v>
      </c>
      <c r="F50" s="420">
        <v>10713.75</v>
      </c>
      <c r="H50" s="518">
        <f>E50*$I$5</f>
        <v>4070.1274598453297</v>
      </c>
      <c r="I50" s="502">
        <f>'GMBH P&amp;L 31.10.2020'!H66</f>
        <v>6951.0038709101682</v>
      </c>
      <c r="K50" s="515"/>
    </row>
    <row r="51" spans="1:11">
      <c r="B51" s="412" t="s">
        <v>486</v>
      </c>
      <c r="C51" s="410" t="s">
        <v>486</v>
      </c>
      <c r="D51" s="411"/>
      <c r="E51" s="411"/>
      <c r="F51" s="411"/>
    </row>
    <row r="52" spans="1:11" ht="15">
      <c r="B52" s="412" t="s">
        <v>486</v>
      </c>
      <c r="C52" s="409" t="s">
        <v>548</v>
      </c>
      <c r="D52" s="411"/>
      <c r="E52" s="411"/>
      <c r="F52" s="411"/>
    </row>
    <row r="53" spans="1:11">
      <c r="B53" s="412" t="s">
        <v>549</v>
      </c>
      <c r="C53" s="410" t="s">
        <v>550</v>
      </c>
      <c r="D53" s="411">
        <v>0</v>
      </c>
      <c r="E53" s="411"/>
      <c r="F53" s="411">
        <v>1040</v>
      </c>
      <c r="H53" s="485">
        <f>D53*$I$5</f>
        <v>0</v>
      </c>
    </row>
    <row r="54" spans="1:11">
      <c r="A54" s="418">
        <v>2688</v>
      </c>
      <c r="B54" s="412" t="s">
        <v>551</v>
      </c>
      <c r="C54" s="410" t="s">
        <v>552</v>
      </c>
      <c r="D54" s="414">
        <v>1187.93</v>
      </c>
      <c r="E54" s="411">
        <v>1187.93</v>
      </c>
      <c r="F54" s="411">
        <v>1436.91</v>
      </c>
      <c r="H54" s="487">
        <f>D54*$I$5</f>
        <v>1417.8131820345034</v>
      </c>
    </row>
    <row r="55" spans="1:11">
      <c r="B55" s="412" t="s">
        <v>486</v>
      </c>
      <c r="C55" s="410" t="s">
        <v>486</v>
      </c>
      <c r="D55" s="411"/>
      <c r="E55" s="411"/>
      <c r="F55" s="411"/>
      <c r="H55" s="488">
        <f>SUM(H53:H54)</f>
        <v>1417.8131820345034</v>
      </c>
    </row>
    <row r="56" spans="1:11" ht="15">
      <c r="B56" s="412" t="s">
        <v>486</v>
      </c>
      <c r="C56" s="409" t="s">
        <v>523</v>
      </c>
      <c r="D56" s="411"/>
      <c r="E56" s="411"/>
      <c r="F56" s="411"/>
    </row>
    <row r="57" spans="1:11">
      <c r="B57" s="412" t="s">
        <v>524</v>
      </c>
      <c r="C57" s="410" t="s">
        <v>525</v>
      </c>
      <c r="D57" s="411"/>
      <c r="E57" s="411">
        <v>0</v>
      </c>
      <c r="F57" s="411">
        <v>2600</v>
      </c>
    </row>
    <row r="58" spans="1:11">
      <c r="B58" s="412" t="s">
        <v>486</v>
      </c>
      <c r="C58" s="410" t="s">
        <v>486</v>
      </c>
      <c r="D58" s="411"/>
      <c r="E58" s="411"/>
      <c r="F58" s="411"/>
    </row>
    <row r="59" spans="1:11" ht="15">
      <c r="B59" s="412" t="s">
        <v>486</v>
      </c>
      <c r="C59" s="409" t="s">
        <v>9</v>
      </c>
      <c r="D59" s="411"/>
      <c r="E59" s="411"/>
      <c r="F59" s="411"/>
    </row>
    <row r="60" spans="1:11" ht="15">
      <c r="A60" s="383">
        <v>2689</v>
      </c>
      <c r="B60" s="412" t="s">
        <v>526</v>
      </c>
      <c r="C60" s="410" t="s">
        <v>9</v>
      </c>
      <c r="D60" s="411">
        <v>4697.08</v>
      </c>
      <c r="E60" s="411"/>
      <c r="F60" s="411">
        <v>13920.51</v>
      </c>
      <c r="H60" s="486">
        <f>D60*$I$5</f>
        <v>5606.0390267697794</v>
      </c>
    </row>
    <row r="61" spans="1:11">
      <c r="B61" s="412" t="s">
        <v>527</v>
      </c>
      <c r="C61" s="410" t="s">
        <v>528</v>
      </c>
      <c r="D61" s="411">
        <v>0</v>
      </c>
      <c r="E61" s="411"/>
      <c r="F61" s="411">
        <v>6759.2</v>
      </c>
      <c r="H61" s="486">
        <f t="shared" ref="H61:H62" si="1">D61*$I$5</f>
        <v>0</v>
      </c>
    </row>
    <row r="62" spans="1:11">
      <c r="B62" s="412" t="s">
        <v>661</v>
      </c>
      <c r="C62" s="410" t="s">
        <v>529</v>
      </c>
      <c r="D62" s="414">
        <v>0</v>
      </c>
      <c r="E62" s="411">
        <v>4697.08</v>
      </c>
      <c r="F62" s="411">
        <v>825.13</v>
      </c>
      <c r="H62" s="514">
        <f t="shared" si="1"/>
        <v>0</v>
      </c>
    </row>
    <row r="63" spans="1:11">
      <c r="B63" s="412" t="s">
        <v>486</v>
      </c>
      <c r="C63" s="410" t="s">
        <v>486</v>
      </c>
      <c r="D63" s="411"/>
      <c r="E63" s="411"/>
      <c r="F63" s="411"/>
      <c r="H63" s="488">
        <f>SUM(H60:H62)</f>
        <v>5606.0390267697794</v>
      </c>
    </row>
    <row r="64" spans="1:11" ht="30">
      <c r="B64" s="412" t="s">
        <v>486</v>
      </c>
      <c r="C64" s="413" t="s">
        <v>759</v>
      </c>
      <c r="D64" s="411"/>
      <c r="E64" s="411"/>
      <c r="F64" s="411"/>
    </row>
    <row r="65" spans="2:9">
      <c r="B65" s="412" t="s">
        <v>661</v>
      </c>
      <c r="C65" s="410" t="s">
        <v>529</v>
      </c>
      <c r="D65" s="411"/>
      <c r="E65" s="411"/>
      <c r="F65" s="411"/>
    </row>
    <row r="66" spans="2:9">
      <c r="B66" s="412" t="s">
        <v>486</v>
      </c>
      <c r="C66" s="410" t="s">
        <v>486</v>
      </c>
      <c r="D66" s="411"/>
      <c r="E66" s="411"/>
      <c r="F66" s="411"/>
    </row>
    <row r="67" spans="2:9" ht="45">
      <c r="B67" s="412" t="s">
        <v>486</v>
      </c>
      <c r="C67" s="413" t="s">
        <v>780</v>
      </c>
      <c r="D67" s="411"/>
      <c r="E67" s="411"/>
      <c r="F67" s="411"/>
    </row>
    <row r="68" spans="2:9">
      <c r="B68" s="412" t="s">
        <v>526</v>
      </c>
      <c r="C68" s="410" t="s">
        <v>9</v>
      </c>
      <c r="D68" s="411"/>
      <c r="E68" s="411"/>
      <c r="F68" s="411"/>
      <c r="H68" s="488"/>
    </row>
    <row r="69" spans="2:9">
      <c r="B69" s="412" t="s">
        <v>527</v>
      </c>
      <c r="C69" s="410" t="s">
        <v>528</v>
      </c>
      <c r="D69" s="411"/>
      <c r="E69" s="411"/>
      <c r="F69" s="411"/>
    </row>
    <row r="70" spans="2:9">
      <c r="B70" s="412" t="s">
        <v>661</v>
      </c>
      <c r="C70" s="410" t="s">
        <v>529</v>
      </c>
      <c r="D70" s="411"/>
      <c r="E70" s="411"/>
      <c r="F70" s="411"/>
    </row>
    <row r="71" spans="2:9">
      <c r="B71" s="412" t="s">
        <v>486</v>
      </c>
      <c r="C71" s="410" t="s">
        <v>486</v>
      </c>
      <c r="D71" s="411"/>
      <c r="E71" s="414"/>
      <c r="F71" s="414"/>
      <c r="H71" s="432"/>
    </row>
    <row r="72" spans="2:9">
      <c r="B72" s="412" t="s">
        <v>486</v>
      </c>
      <c r="C72" s="410" t="s">
        <v>486</v>
      </c>
      <c r="D72" s="411"/>
      <c r="E72" s="411"/>
      <c r="F72" s="411"/>
    </row>
    <row r="73" spans="2:9">
      <c r="B73" s="412" t="s">
        <v>486</v>
      </c>
      <c r="C73" s="410" t="s">
        <v>530</v>
      </c>
      <c r="D73" s="411"/>
      <c r="E73" s="438">
        <v>46238.9</v>
      </c>
      <c r="F73" s="438">
        <v>68848.83</v>
      </c>
      <c r="G73" s="439"/>
      <c r="H73" s="488">
        <f>H63+H55+I47+I50+I44</f>
        <v>55186.856079714446</v>
      </c>
      <c r="I73" s="285">
        <f>E73*I5-H73</f>
        <v>0</v>
      </c>
    </row>
    <row r="74" spans="2:9" ht="13.5" thickBot="1">
      <c r="B74" s="412" t="s">
        <v>486</v>
      </c>
      <c r="C74" s="410" t="s">
        <v>486</v>
      </c>
      <c r="D74" s="411"/>
      <c r="E74" s="415"/>
      <c r="F74" s="415"/>
      <c r="H74" s="431"/>
    </row>
    <row r="75" spans="2:9" ht="13.5" thickTop="1"/>
  </sheetData>
  <pageMargins left="0.7" right="0.7" top="0.75" bottom="0.75" header="0.3" footer="0.3"/>
  <pageSetup paperSize="9" orientation="portrait" r:id="rId1"/>
  <ignoredErrors>
    <ignoredError sqref="B14:B74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BF6D9-AAC5-434D-AFBD-CB8B206ED653}">
  <dimension ref="A1:I67"/>
  <sheetViews>
    <sheetView topLeftCell="A37" workbookViewId="0">
      <selection activeCell="C36" sqref="C36"/>
    </sheetView>
  </sheetViews>
  <sheetFormatPr defaultRowHeight="12.75"/>
  <cols>
    <col min="2" max="2" width="25.5703125" customWidth="1"/>
    <col min="3" max="3" width="38.42578125" bestFit="1" customWidth="1"/>
    <col min="5" max="5" width="12.5703125" bestFit="1" customWidth="1"/>
    <col min="6" max="6" width="12.42578125" hidden="1" customWidth="1"/>
    <col min="8" max="8" width="12" bestFit="1" customWidth="1"/>
    <col min="9" max="9" width="15.5703125" bestFit="1" customWidth="1"/>
  </cols>
  <sheetData>
    <row r="1" spans="1:9" ht="15">
      <c r="B1" s="409" t="s">
        <v>667</v>
      </c>
      <c r="C1" s="410" t="s">
        <v>486</v>
      </c>
      <c r="D1" s="411"/>
      <c r="E1" s="411"/>
      <c r="F1" s="411"/>
    </row>
    <row r="2" spans="1:9">
      <c r="B2" s="410" t="s">
        <v>668</v>
      </c>
      <c r="C2" s="410" t="s">
        <v>486</v>
      </c>
      <c r="D2" s="411"/>
      <c r="E2" s="411"/>
      <c r="F2" s="411"/>
      <c r="H2" s="506">
        <v>3.4409999999999998</v>
      </c>
      <c r="I2" s="510" t="s">
        <v>774</v>
      </c>
    </row>
    <row r="3" spans="1:9">
      <c r="B3" s="410" t="s">
        <v>773</v>
      </c>
      <c r="C3" s="410" t="s">
        <v>486</v>
      </c>
      <c r="D3" s="411"/>
      <c r="E3" s="411"/>
      <c r="F3" s="411"/>
      <c r="H3" s="507">
        <v>4.0258000000000003</v>
      </c>
      <c r="I3" s="511" t="s">
        <v>775</v>
      </c>
    </row>
    <row r="4" spans="1:9">
      <c r="B4" s="412" t="s">
        <v>486</v>
      </c>
      <c r="C4" s="410" t="s">
        <v>486</v>
      </c>
      <c r="D4" s="411"/>
      <c r="E4" s="411"/>
      <c r="F4" s="411"/>
      <c r="H4" s="507">
        <v>1.1935157644259369</v>
      </c>
      <c r="I4" s="508" t="s">
        <v>492</v>
      </c>
    </row>
    <row r="5" spans="1:9" ht="15">
      <c r="B5" s="409" t="s">
        <v>488</v>
      </c>
      <c r="C5" s="410" t="s">
        <v>486</v>
      </c>
      <c r="D5" s="411"/>
      <c r="E5" s="411"/>
      <c r="F5" s="411"/>
    </row>
    <row r="6" spans="1:9">
      <c r="B6" s="412" t="s">
        <v>486</v>
      </c>
      <c r="C6" s="410" t="s">
        <v>486</v>
      </c>
      <c r="D6" s="411"/>
      <c r="E6" s="411"/>
      <c r="F6" s="411"/>
    </row>
    <row r="7" spans="1:9">
      <c r="B7" s="412" t="s">
        <v>484</v>
      </c>
      <c r="C7" s="410" t="s">
        <v>484</v>
      </c>
      <c r="D7" s="411" t="s">
        <v>484</v>
      </c>
      <c r="E7" s="411" t="s">
        <v>484</v>
      </c>
      <c r="F7" s="411" t="s">
        <v>484</v>
      </c>
    </row>
    <row r="8" spans="1:9">
      <c r="B8" s="412" t="s">
        <v>486</v>
      </c>
      <c r="C8" s="410" t="s">
        <v>486</v>
      </c>
      <c r="D8" s="411"/>
      <c r="E8" s="412" t="s">
        <v>490</v>
      </c>
      <c r="F8" s="412" t="s">
        <v>491</v>
      </c>
      <c r="H8" s="493" t="s">
        <v>117</v>
      </c>
    </row>
    <row r="9" spans="1:9">
      <c r="B9" s="412" t="s">
        <v>494</v>
      </c>
      <c r="C9" s="410" t="s">
        <v>495</v>
      </c>
      <c r="D9" s="412" t="s">
        <v>496</v>
      </c>
      <c r="E9" s="412" t="s">
        <v>496</v>
      </c>
      <c r="F9" s="412" t="s">
        <v>496</v>
      </c>
      <c r="H9" s="418"/>
    </row>
    <row r="10" spans="1:9">
      <c r="B10" s="412" t="s">
        <v>486</v>
      </c>
      <c r="C10" s="410" t="s">
        <v>486</v>
      </c>
      <c r="D10" s="411"/>
      <c r="E10" s="411"/>
      <c r="F10" s="411"/>
      <c r="H10" s="418"/>
    </row>
    <row r="11" spans="1:9" ht="15">
      <c r="B11" s="412" t="s">
        <v>486</v>
      </c>
      <c r="C11" s="409" t="s">
        <v>573</v>
      </c>
      <c r="D11" s="411"/>
      <c r="E11" s="411"/>
      <c r="F11" s="411"/>
      <c r="H11" s="418"/>
    </row>
    <row r="12" spans="1:9">
      <c r="A12" s="142">
        <v>7023</v>
      </c>
      <c r="B12" s="412" t="s">
        <v>572</v>
      </c>
      <c r="C12" s="410" t="s">
        <v>670</v>
      </c>
      <c r="D12" s="411"/>
      <c r="E12" s="411">
        <v>38510.21</v>
      </c>
      <c r="F12" s="411">
        <v>144635.35999999999</v>
      </c>
      <c r="H12" s="476">
        <f>E12*$H$4</f>
        <v>45962.542726353357</v>
      </c>
    </row>
    <row r="13" spans="1:9">
      <c r="B13" s="412" t="s">
        <v>486</v>
      </c>
      <c r="C13" s="410" t="s">
        <v>486</v>
      </c>
      <c r="D13" s="411"/>
      <c r="E13" s="411"/>
      <c r="F13" s="411"/>
      <c r="H13" s="494"/>
    </row>
    <row r="14" spans="1:9" ht="30">
      <c r="B14" s="412" t="s">
        <v>486</v>
      </c>
      <c r="C14" s="413" t="s">
        <v>712</v>
      </c>
      <c r="D14" s="411"/>
      <c r="E14" s="411"/>
      <c r="F14" s="411"/>
      <c r="H14" s="494"/>
    </row>
    <row r="15" spans="1:9">
      <c r="A15" s="142">
        <v>7021</v>
      </c>
      <c r="B15" s="412" t="s">
        <v>713</v>
      </c>
      <c r="C15" s="410" t="s">
        <v>714</v>
      </c>
      <c r="D15" s="411"/>
      <c r="E15" s="411">
        <v>1479.7</v>
      </c>
      <c r="F15" s="411">
        <v>0</v>
      </c>
      <c r="H15" s="476">
        <f>E15*$H$4</f>
        <v>1766.0452766210587</v>
      </c>
    </row>
    <row r="16" spans="1:9">
      <c r="B16" s="412" t="s">
        <v>486</v>
      </c>
      <c r="C16" s="410" t="s">
        <v>486</v>
      </c>
      <c r="D16" s="411"/>
      <c r="E16" s="411"/>
      <c r="F16" s="411"/>
      <c r="H16" s="494"/>
    </row>
    <row r="17" spans="1:9" ht="15">
      <c r="B17" s="412" t="s">
        <v>486</v>
      </c>
      <c r="C17" s="409" t="s">
        <v>577</v>
      </c>
      <c r="D17" s="411"/>
      <c r="E17" s="411"/>
      <c r="F17" s="411"/>
      <c r="H17" s="494"/>
    </row>
    <row r="18" spans="1:9">
      <c r="A18" s="142">
        <v>7020</v>
      </c>
      <c r="B18" s="412" t="s">
        <v>576</v>
      </c>
      <c r="C18" s="410" t="s">
        <v>577</v>
      </c>
      <c r="D18" s="411"/>
      <c r="E18" s="411">
        <v>-17333.32</v>
      </c>
      <c r="F18" s="411">
        <v>-65999.98</v>
      </c>
      <c r="H18" s="476">
        <f>E18*$H$4</f>
        <v>-20687.590669839381</v>
      </c>
    </row>
    <row r="19" spans="1:9">
      <c r="B19" s="412" t="s">
        <v>486</v>
      </c>
      <c r="C19" s="410" t="s">
        <v>486</v>
      </c>
      <c r="D19" s="411"/>
      <c r="E19" s="411"/>
      <c r="F19" s="411"/>
      <c r="H19" s="494"/>
    </row>
    <row r="20" spans="1:9" ht="45">
      <c r="B20" s="412" t="s">
        <v>486</v>
      </c>
      <c r="C20" s="413" t="s">
        <v>671</v>
      </c>
      <c r="D20" s="411"/>
      <c r="E20" s="411"/>
      <c r="F20" s="411"/>
      <c r="H20" s="494"/>
    </row>
    <row r="21" spans="1:9">
      <c r="A21" s="142">
        <v>7020</v>
      </c>
      <c r="B21" s="412" t="s">
        <v>579</v>
      </c>
      <c r="C21" s="410" t="s">
        <v>580</v>
      </c>
      <c r="D21" s="411">
        <v>-3848.88</v>
      </c>
      <c r="E21" s="411"/>
      <c r="F21" s="411">
        <v>-10581.5</v>
      </c>
      <c r="H21" s="494">
        <f>D21*$H$4</f>
        <v>-4593.6989553837002</v>
      </c>
    </row>
    <row r="22" spans="1:9">
      <c r="A22" s="142">
        <v>7020</v>
      </c>
      <c r="B22" s="412" t="s">
        <v>582</v>
      </c>
      <c r="C22" s="410" t="s">
        <v>672</v>
      </c>
      <c r="D22" s="414">
        <v>-171.23</v>
      </c>
      <c r="E22" s="411">
        <v>-4020.11</v>
      </c>
      <c r="F22" s="411">
        <v>-156.19999999999999</v>
      </c>
      <c r="H22" s="497">
        <f>D22*$H$4</f>
        <v>-204.36570434265315</v>
      </c>
    </row>
    <row r="23" spans="1:9">
      <c r="B23" s="412" t="s">
        <v>486</v>
      </c>
      <c r="C23" s="410" t="s">
        <v>486</v>
      </c>
      <c r="D23" s="411"/>
      <c r="E23" s="411"/>
      <c r="F23" s="411"/>
      <c r="H23" s="476">
        <f>SUM(H21:H22)</f>
        <v>-4798.0646597263531</v>
      </c>
    </row>
    <row r="24" spans="1:9" ht="30">
      <c r="B24" s="412" t="s">
        <v>486</v>
      </c>
      <c r="C24" s="413" t="s">
        <v>673</v>
      </c>
      <c r="D24" s="411"/>
      <c r="E24" s="411"/>
      <c r="F24" s="411"/>
      <c r="H24" s="494"/>
    </row>
    <row r="25" spans="1:9">
      <c r="B25" s="412" t="s">
        <v>486</v>
      </c>
      <c r="C25" s="410" t="s">
        <v>486</v>
      </c>
      <c r="D25" s="411"/>
      <c r="E25" s="411"/>
      <c r="F25" s="411"/>
      <c r="H25" s="494"/>
    </row>
    <row r="26" spans="1:9" ht="75">
      <c r="B26" s="412" t="s">
        <v>486</v>
      </c>
      <c r="C26" s="413" t="s">
        <v>674</v>
      </c>
      <c r="D26" s="411"/>
      <c r="E26" s="411"/>
      <c r="F26" s="411"/>
      <c r="H26" s="494"/>
    </row>
    <row r="27" spans="1:9">
      <c r="A27" s="142">
        <v>7021</v>
      </c>
      <c r="B27" s="412" t="s">
        <v>586</v>
      </c>
      <c r="C27" s="410" t="s">
        <v>675</v>
      </c>
      <c r="D27" s="411"/>
      <c r="E27" s="411">
        <v>-351.66</v>
      </c>
      <c r="F27" s="411">
        <v>-351.66</v>
      </c>
      <c r="H27" s="476">
        <f>E27*$H$4</f>
        <v>-419.71175371802497</v>
      </c>
    </row>
    <row r="28" spans="1:9">
      <c r="B28" s="412" t="s">
        <v>486</v>
      </c>
      <c r="C28" s="410" t="s">
        <v>486</v>
      </c>
      <c r="D28" s="411"/>
      <c r="E28" s="411"/>
      <c r="F28" s="411"/>
      <c r="H28" s="494"/>
    </row>
    <row r="29" spans="1:9" ht="15">
      <c r="B29" s="412" t="s">
        <v>486</v>
      </c>
      <c r="C29" s="409" t="s">
        <v>676</v>
      </c>
      <c r="D29" s="411"/>
      <c r="E29" s="411"/>
      <c r="F29" s="411"/>
      <c r="H29" s="494"/>
    </row>
    <row r="30" spans="1:9">
      <c r="A30" s="142">
        <v>7021</v>
      </c>
      <c r="B30" s="412" t="s">
        <v>589</v>
      </c>
      <c r="C30" s="410" t="s">
        <v>590</v>
      </c>
      <c r="D30" s="411"/>
      <c r="E30" s="411">
        <v>-4704.3</v>
      </c>
      <c r="F30" s="411">
        <v>-4704.3</v>
      </c>
      <c r="H30" s="476">
        <f>E30*$H$4</f>
        <v>-5614.6562105889352</v>
      </c>
      <c r="I30" s="43"/>
    </row>
    <row r="31" spans="1:9">
      <c r="B31" s="412" t="s">
        <v>486</v>
      </c>
      <c r="C31" s="410" t="s">
        <v>486</v>
      </c>
      <c r="D31" s="411"/>
      <c r="E31" s="411"/>
      <c r="F31" s="411"/>
      <c r="H31" s="494"/>
    </row>
    <row r="32" spans="1:9" ht="30">
      <c r="B32" s="412" t="s">
        <v>486</v>
      </c>
      <c r="C32" s="413" t="s">
        <v>743</v>
      </c>
      <c r="D32" s="411"/>
      <c r="E32" s="411"/>
      <c r="F32" s="411"/>
      <c r="H32" s="494"/>
    </row>
    <row r="33" spans="1:8">
      <c r="A33" s="142">
        <v>7020</v>
      </c>
      <c r="B33" s="412" t="s">
        <v>744</v>
      </c>
      <c r="C33" s="410" t="s">
        <v>745</v>
      </c>
      <c r="D33" s="411"/>
      <c r="E33" s="411">
        <v>-50</v>
      </c>
      <c r="F33" s="411">
        <v>0</v>
      </c>
      <c r="H33" s="494">
        <f>E33*$H$4</f>
        <v>-59.675788221296841</v>
      </c>
    </row>
    <row r="34" spans="1:8">
      <c r="B34" s="412" t="s">
        <v>486</v>
      </c>
      <c r="C34" s="410" t="s">
        <v>486</v>
      </c>
      <c r="D34" s="411"/>
      <c r="E34" s="411"/>
      <c r="F34" s="411"/>
      <c r="H34" s="476"/>
    </row>
    <row r="35" spans="1:8" ht="30">
      <c r="B35" s="412" t="s">
        <v>486</v>
      </c>
      <c r="C35" s="413" t="s">
        <v>677</v>
      </c>
      <c r="D35" s="411"/>
      <c r="E35" s="411"/>
      <c r="F35" s="411"/>
      <c r="H35" s="494"/>
    </row>
    <row r="36" spans="1:8">
      <c r="A36" s="142">
        <v>7026</v>
      </c>
      <c r="B36" s="412" t="s">
        <v>595</v>
      </c>
      <c r="C36" s="410" t="s">
        <v>702</v>
      </c>
      <c r="D36" s="411">
        <v>-8400</v>
      </c>
      <c r="E36" s="411"/>
      <c r="F36" s="411">
        <v>-24449.72</v>
      </c>
      <c r="H36" s="494">
        <f t="shared" ref="H36:H42" si="0">D36*$H$4</f>
        <v>-10025.53242117787</v>
      </c>
    </row>
    <row r="37" spans="1:8">
      <c r="B37" s="412" t="s">
        <v>598</v>
      </c>
      <c r="C37" s="410" t="s">
        <v>599</v>
      </c>
      <c r="D37" s="411">
        <v>0</v>
      </c>
      <c r="E37" s="411"/>
      <c r="F37" s="411">
        <v>-234.96</v>
      </c>
      <c r="H37" s="494">
        <f t="shared" si="0"/>
        <v>0</v>
      </c>
    </row>
    <row r="38" spans="1:8">
      <c r="B38" s="412" t="s">
        <v>603</v>
      </c>
      <c r="C38" s="410" t="s">
        <v>604</v>
      </c>
      <c r="D38" s="411">
        <v>0</v>
      </c>
      <c r="E38" s="411"/>
      <c r="F38" s="411">
        <v>-937.19</v>
      </c>
      <c r="H38" s="494">
        <f t="shared" si="0"/>
        <v>0</v>
      </c>
    </row>
    <row r="39" spans="1:8">
      <c r="B39" s="412" t="s">
        <v>606</v>
      </c>
      <c r="C39" s="410" t="s">
        <v>607</v>
      </c>
      <c r="D39" s="411">
        <v>0</v>
      </c>
      <c r="E39" s="411"/>
      <c r="F39" s="411">
        <v>-1700.42</v>
      </c>
      <c r="H39" s="494">
        <f t="shared" si="0"/>
        <v>0</v>
      </c>
    </row>
    <row r="40" spans="1:8">
      <c r="B40" s="412" t="s">
        <v>609</v>
      </c>
      <c r="C40" s="410" t="s">
        <v>610</v>
      </c>
      <c r="D40" s="411">
        <v>0</v>
      </c>
      <c r="E40" s="411"/>
      <c r="F40" s="411">
        <v>-305</v>
      </c>
      <c r="H40" s="494">
        <f t="shared" si="0"/>
        <v>0</v>
      </c>
    </row>
    <row r="41" spans="1:8">
      <c r="B41" s="412" t="s">
        <v>612</v>
      </c>
      <c r="C41" s="410" t="s">
        <v>613</v>
      </c>
      <c r="D41" s="411">
        <v>0</v>
      </c>
      <c r="E41" s="411"/>
      <c r="F41" s="411">
        <v>-2245.81</v>
      </c>
      <c r="H41" s="494">
        <f t="shared" si="0"/>
        <v>0</v>
      </c>
    </row>
    <row r="42" spans="1:8">
      <c r="B42" s="412" t="s">
        <v>615</v>
      </c>
      <c r="C42" s="410" t="s">
        <v>616</v>
      </c>
      <c r="D42" s="414">
        <v>0</v>
      </c>
      <c r="E42" s="411">
        <v>-8400</v>
      </c>
      <c r="F42" s="411">
        <v>-612.6</v>
      </c>
      <c r="H42" s="497">
        <f t="shared" si="0"/>
        <v>0</v>
      </c>
    </row>
    <row r="43" spans="1:8">
      <c r="B43" s="412" t="s">
        <v>486</v>
      </c>
      <c r="C43" s="410" t="s">
        <v>486</v>
      </c>
      <c r="D43" s="411"/>
      <c r="E43" s="411"/>
      <c r="F43" s="411"/>
      <c r="H43" s="476">
        <f>SUM(H36:H42)</f>
        <v>-10025.53242117787</v>
      </c>
    </row>
    <row r="44" spans="1:8" ht="30">
      <c r="B44" s="412" t="s">
        <v>486</v>
      </c>
      <c r="C44" s="413" t="s">
        <v>678</v>
      </c>
      <c r="D44" s="411"/>
      <c r="E44" s="411"/>
      <c r="F44" s="411"/>
      <c r="H44" s="494"/>
    </row>
    <row r="45" spans="1:8">
      <c r="B45" s="412" t="s">
        <v>619</v>
      </c>
      <c r="C45" s="410" t="s">
        <v>679</v>
      </c>
      <c r="D45" s="411"/>
      <c r="E45" s="411">
        <v>0</v>
      </c>
      <c r="F45" s="411">
        <v>-17280</v>
      </c>
      <c r="H45" s="494"/>
    </row>
    <row r="46" spans="1:8">
      <c r="B46" s="412" t="s">
        <v>486</v>
      </c>
      <c r="C46" s="410" t="s">
        <v>486</v>
      </c>
      <c r="D46" s="411"/>
      <c r="E46" s="411"/>
      <c r="F46" s="411"/>
      <c r="H46" s="494"/>
    </row>
    <row r="47" spans="1:8" ht="30">
      <c r="B47" s="412" t="s">
        <v>486</v>
      </c>
      <c r="C47" s="413" t="s">
        <v>680</v>
      </c>
      <c r="D47" s="411"/>
      <c r="E47" s="411"/>
      <c r="F47" s="411"/>
      <c r="H47" s="494"/>
    </row>
    <row r="48" spans="1:8">
      <c r="B48" s="412" t="s">
        <v>622</v>
      </c>
      <c r="C48" s="410" t="s">
        <v>623</v>
      </c>
      <c r="D48" s="411">
        <v>0</v>
      </c>
      <c r="E48" s="411"/>
      <c r="F48" s="411">
        <v>-239.5</v>
      </c>
      <c r="H48" s="494">
        <f t="shared" ref="H48:H53" si="1">D48*$H$4</f>
        <v>0</v>
      </c>
    </row>
    <row r="49" spans="1:8">
      <c r="A49" s="142">
        <v>7021</v>
      </c>
      <c r="B49" s="412" t="s">
        <v>625</v>
      </c>
      <c r="C49" s="410" t="s">
        <v>626</v>
      </c>
      <c r="D49" s="411">
        <v>-709.95</v>
      </c>
      <c r="E49" s="411"/>
      <c r="F49" s="411">
        <v>-595.64</v>
      </c>
      <c r="H49" s="494">
        <f t="shared" si="1"/>
        <v>-847.33651695419394</v>
      </c>
    </row>
    <row r="50" spans="1:8">
      <c r="B50" s="412" t="s">
        <v>628</v>
      </c>
      <c r="C50" s="410" t="s">
        <v>681</v>
      </c>
      <c r="D50" s="411">
        <v>0</v>
      </c>
      <c r="E50" s="411"/>
      <c r="F50" s="411">
        <v>-131.9</v>
      </c>
      <c r="H50" s="494">
        <f t="shared" si="1"/>
        <v>0</v>
      </c>
    </row>
    <row r="51" spans="1:8">
      <c r="A51">
        <v>7021</v>
      </c>
      <c r="B51" s="412" t="s">
        <v>630</v>
      </c>
      <c r="C51" s="410" t="s">
        <v>703</v>
      </c>
      <c r="D51" s="411">
        <v>-232.1</v>
      </c>
      <c r="E51" s="411"/>
      <c r="F51" s="411">
        <v>-820</v>
      </c>
      <c r="H51" s="494">
        <f t="shared" si="1"/>
        <v>-277.01500892325993</v>
      </c>
    </row>
    <row r="52" spans="1:8">
      <c r="A52">
        <v>7021</v>
      </c>
      <c r="B52" s="412" t="s">
        <v>633</v>
      </c>
      <c r="C52" s="410" t="s">
        <v>746</v>
      </c>
      <c r="D52" s="411">
        <v>-33.4</v>
      </c>
      <c r="E52" s="411"/>
      <c r="F52" s="411">
        <v>-2355.3000000000002</v>
      </c>
      <c r="H52" s="494">
        <f t="shared" si="1"/>
        <v>-39.863426531826292</v>
      </c>
    </row>
    <row r="53" spans="1:8">
      <c r="A53">
        <v>7021</v>
      </c>
      <c r="B53" s="412" t="s">
        <v>638</v>
      </c>
      <c r="C53" s="410" t="s">
        <v>639</v>
      </c>
      <c r="D53" s="414">
        <v>-348.98</v>
      </c>
      <c r="E53" s="411">
        <v>-1324.43</v>
      </c>
      <c r="F53" s="411">
        <v>-219.93</v>
      </c>
      <c r="H53" s="497">
        <f t="shared" si="1"/>
        <v>-416.51313146936349</v>
      </c>
    </row>
    <row r="54" spans="1:8">
      <c r="B54" s="412" t="s">
        <v>486</v>
      </c>
      <c r="C54" s="410" t="s">
        <v>486</v>
      </c>
      <c r="D54" s="411"/>
      <c r="E54" s="411"/>
      <c r="F54" s="411"/>
      <c r="H54" s="476">
        <f>SUM(H48:H53)</f>
        <v>-1580.7280838786437</v>
      </c>
    </row>
    <row r="55" spans="1:8">
      <c r="B55" s="412"/>
      <c r="C55" s="410"/>
      <c r="D55" s="411"/>
      <c r="E55" s="411"/>
      <c r="F55" s="411"/>
      <c r="H55" s="513"/>
    </row>
    <row r="56" spans="1:8">
      <c r="A56">
        <v>7901</v>
      </c>
      <c r="B56" s="412">
        <v>9004</v>
      </c>
      <c r="C56" s="410" t="s">
        <v>470</v>
      </c>
      <c r="D56" s="411"/>
      <c r="E56" s="411"/>
      <c r="F56" s="411"/>
      <c r="H56" s="499">
        <f>-('GMBH BS 31.10.2020'!J44+'GMBH BS 31.10.2020'!J47)</f>
        <v>2880.8764110648426</v>
      </c>
    </row>
    <row r="57" spans="1:8">
      <c r="B57" s="412"/>
      <c r="C57" s="410"/>
      <c r="D57" s="411"/>
      <c r="E57" s="411"/>
      <c r="F57" s="411"/>
      <c r="H57" s="513"/>
    </row>
    <row r="58" spans="1:8" ht="30">
      <c r="B58" s="412" t="s">
        <v>486</v>
      </c>
      <c r="C58" s="413" t="s">
        <v>783</v>
      </c>
      <c r="D58" s="411"/>
      <c r="E58" s="411"/>
      <c r="F58" s="411"/>
      <c r="H58" s="513"/>
    </row>
    <row r="59" spans="1:8">
      <c r="A59">
        <v>7901</v>
      </c>
      <c r="B59" s="412" t="s">
        <v>784</v>
      </c>
      <c r="C59" s="410" t="s">
        <v>785</v>
      </c>
      <c r="D59" s="411"/>
      <c r="E59" s="411">
        <v>-20</v>
      </c>
      <c r="F59" s="411">
        <v>0</v>
      </c>
      <c r="H59" s="476">
        <f>E59*$H$4</f>
        <v>-23.870315288518739</v>
      </c>
    </row>
    <row r="60" spans="1:8">
      <c r="B60" s="412" t="s">
        <v>486</v>
      </c>
      <c r="C60" s="410" t="s">
        <v>486</v>
      </c>
      <c r="D60" s="411"/>
      <c r="E60" s="411"/>
      <c r="F60" s="411"/>
      <c r="H60" s="513"/>
    </row>
    <row r="61" spans="1:8" ht="15">
      <c r="B61" s="412" t="s">
        <v>486</v>
      </c>
      <c r="C61" s="409" t="s">
        <v>748</v>
      </c>
      <c r="D61" s="411"/>
      <c r="E61" s="411"/>
      <c r="F61" s="411"/>
      <c r="H61" s="513"/>
    </row>
    <row r="62" spans="1:8">
      <c r="A62" s="142">
        <v>7028</v>
      </c>
      <c r="B62" s="412" t="s">
        <v>762</v>
      </c>
      <c r="C62" s="410" t="s">
        <v>749</v>
      </c>
      <c r="D62" s="411"/>
      <c r="E62" s="411">
        <v>-375.89</v>
      </c>
      <c r="F62" s="411">
        <v>0</v>
      </c>
      <c r="H62" s="476">
        <f>E62*$H$4</f>
        <v>-448.63064069006538</v>
      </c>
    </row>
    <row r="63" spans="1:8">
      <c r="B63" s="412" t="s">
        <v>486</v>
      </c>
      <c r="C63" s="410" t="s">
        <v>486</v>
      </c>
      <c r="D63" s="411"/>
      <c r="E63" s="414"/>
      <c r="F63" s="414"/>
      <c r="H63" s="497"/>
    </row>
    <row r="64" spans="1:8">
      <c r="B64" s="412" t="s">
        <v>486</v>
      </c>
      <c r="C64" s="410" t="s">
        <v>486</v>
      </c>
      <c r="D64" s="411"/>
      <c r="E64" s="411"/>
      <c r="F64" s="411"/>
      <c r="H64" s="494"/>
    </row>
    <row r="65" spans="2:9" ht="30">
      <c r="B65" s="412" t="s">
        <v>486</v>
      </c>
      <c r="C65" s="413" t="s">
        <v>545</v>
      </c>
      <c r="D65" s="411"/>
      <c r="E65" s="411"/>
      <c r="F65" s="411"/>
      <c r="H65" s="494"/>
    </row>
    <row r="66" spans="2:9" ht="13.5" thickBot="1">
      <c r="B66" s="412" t="s">
        <v>486</v>
      </c>
      <c r="C66" s="410" t="s">
        <v>546</v>
      </c>
      <c r="D66" s="411"/>
      <c r="E66" s="516">
        <v>3410.2</v>
      </c>
      <c r="F66" s="438">
        <v>10713.75</v>
      </c>
      <c r="G66" s="439"/>
      <c r="H66" s="517">
        <f>H62+H54+H43+H33+H30+H27+H23+H18+H15+H12+H56+H59</f>
        <v>6951.0038709101682</v>
      </c>
      <c r="I66" s="285">
        <f>E66*H4-H66+H56</f>
        <v>4.0927261579781771E-12</v>
      </c>
    </row>
    <row r="67" spans="2:9" ht="13.5" thickTop="1"/>
  </sheetData>
  <pageMargins left="0.7" right="0.7" top="0.75" bottom="0.75" header="0.3" footer="0.3"/>
  <pageSetup paperSize="9" orientation="portrait" r:id="rId1"/>
  <ignoredErrors>
    <ignoredError sqref="B12:B56 B59:B63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E14D-727C-4805-926B-73B463EF1284}">
  <dimension ref="A1:J76"/>
  <sheetViews>
    <sheetView topLeftCell="A43" workbookViewId="0">
      <selection activeCell="H73" sqref="H73"/>
    </sheetView>
  </sheetViews>
  <sheetFormatPr defaultRowHeight="12.75"/>
  <cols>
    <col min="2" max="2" width="12.5703125" customWidth="1"/>
    <col min="3" max="3" width="46" customWidth="1"/>
    <col min="4" max="4" width="14.5703125" customWidth="1"/>
    <col min="5" max="5" width="15.42578125" customWidth="1"/>
    <col min="6" max="6" width="19.42578125" hidden="1" customWidth="1"/>
    <col min="8" max="8" width="10.42578125" style="418" bestFit="1" customWidth="1"/>
    <col min="9" max="9" width="11.42578125" bestFit="1" customWidth="1"/>
    <col min="10" max="10" width="17.42578125" bestFit="1" customWidth="1"/>
  </cols>
  <sheetData>
    <row r="1" spans="1:10">
      <c r="B1" s="412" t="s">
        <v>484</v>
      </c>
      <c r="C1" s="410" t="s">
        <v>484</v>
      </c>
      <c r="D1" s="411" t="s">
        <v>484</v>
      </c>
      <c r="E1" s="411" t="s">
        <v>484</v>
      </c>
      <c r="F1" s="411" t="s">
        <v>484</v>
      </c>
    </row>
    <row r="2" spans="1:10" ht="15">
      <c r="B2" s="409" t="s">
        <v>485</v>
      </c>
      <c r="C2" s="410" t="s">
        <v>486</v>
      </c>
      <c r="D2" s="411"/>
      <c r="E2" s="411"/>
      <c r="F2" s="411"/>
      <c r="I2" s="391">
        <v>3.4660000000000002</v>
      </c>
      <c r="J2" s="380" t="s">
        <v>734</v>
      </c>
    </row>
    <row r="3" spans="1:10" ht="15">
      <c r="B3" s="410" t="s">
        <v>487</v>
      </c>
      <c r="C3" s="410" t="s">
        <v>486</v>
      </c>
      <c r="D3" s="411"/>
      <c r="E3" s="411"/>
      <c r="F3" s="411"/>
      <c r="I3" s="392">
        <v>3.8828</v>
      </c>
      <c r="J3" s="382" t="s">
        <v>736</v>
      </c>
    </row>
    <row r="4" spans="1:10" ht="15">
      <c r="B4" s="410" t="s">
        <v>750</v>
      </c>
      <c r="C4" s="410" t="s">
        <v>486</v>
      </c>
      <c r="D4" s="411"/>
      <c r="E4" s="411"/>
      <c r="F4" s="411"/>
      <c r="I4" s="392">
        <f>I3/I2</f>
        <v>1.1202538949798038</v>
      </c>
      <c r="J4" s="382" t="s">
        <v>492</v>
      </c>
    </row>
    <row r="5" spans="1:10">
      <c r="B5" s="412" t="s">
        <v>486</v>
      </c>
      <c r="C5" s="410" t="s">
        <v>486</v>
      </c>
      <c r="D5" s="411"/>
      <c r="E5" s="411"/>
      <c r="F5" s="411"/>
    </row>
    <row r="6" spans="1:10" ht="15">
      <c r="B6" s="409" t="s">
        <v>488</v>
      </c>
      <c r="C6" s="410" t="s">
        <v>486</v>
      </c>
      <c r="D6" s="411"/>
      <c r="E6" s="411"/>
      <c r="F6" s="411"/>
    </row>
    <row r="7" spans="1:10">
      <c r="B7" s="412" t="s">
        <v>486</v>
      </c>
      <c r="C7" s="410" t="s">
        <v>486</v>
      </c>
      <c r="D7" s="411"/>
      <c r="E7" s="411"/>
      <c r="F7" s="411"/>
    </row>
    <row r="8" spans="1:10">
      <c r="B8" s="410" t="s">
        <v>489</v>
      </c>
      <c r="C8" s="410" t="s">
        <v>486</v>
      </c>
      <c r="D8" s="411"/>
      <c r="E8" s="411"/>
      <c r="F8" s="411"/>
    </row>
    <row r="9" spans="1:10">
      <c r="B9" s="412" t="s">
        <v>484</v>
      </c>
      <c r="C9" s="410" t="s">
        <v>484</v>
      </c>
      <c r="D9" s="411" t="s">
        <v>484</v>
      </c>
      <c r="E9" s="411" t="s">
        <v>484</v>
      </c>
      <c r="F9" s="411" t="s">
        <v>484</v>
      </c>
    </row>
    <row r="10" spans="1:10">
      <c r="B10" s="412" t="s">
        <v>486</v>
      </c>
      <c r="C10" s="410" t="s">
        <v>486</v>
      </c>
      <c r="D10" s="411"/>
      <c r="E10" s="412" t="s">
        <v>490</v>
      </c>
      <c r="F10" s="412" t="s">
        <v>491</v>
      </c>
    </row>
    <row r="11" spans="1:10">
      <c r="B11" s="412" t="s">
        <v>494</v>
      </c>
      <c r="C11" s="410" t="s">
        <v>495</v>
      </c>
      <c r="D11" s="412" t="s">
        <v>496</v>
      </c>
      <c r="E11" s="412" t="s">
        <v>496</v>
      </c>
      <c r="F11" s="412" t="s">
        <v>496</v>
      </c>
      <c r="H11" s="418" t="s">
        <v>117</v>
      </c>
    </row>
    <row r="12" spans="1:10">
      <c r="B12" s="412" t="s">
        <v>486</v>
      </c>
      <c r="C12" s="410" t="s">
        <v>486</v>
      </c>
      <c r="D12" s="411"/>
      <c r="E12" s="411"/>
      <c r="F12" s="411"/>
    </row>
    <row r="13" spans="1:10" ht="45">
      <c r="B13" s="412" t="s">
        <v>486</v>
      </c>
      <c r="C13" s="413" t="s">
        <v>497</v>
      </c>
      <c r="D13" s="411"/>
      <c r="E13" s="411"/>
      <c r="F13" s="411"/>
    </row>
    <row r="14" spans="1:10" ht="15">
      <c r="A14" s="383">
        <v>1904</v>
      </c>
      <c r="B14" s="142">
        <v>490</v>
      </c>
      <c r="C14" s="410" t="s">
        <v>499</v>
      </c>
      <c r="D14" s="411"/>
      <c r="E14" s="411">
        <v>493.01</v>
      </c>
      <c r="F14" s="411">
        <v>1126</v>
      </c>
      <c r="H14" s="427">
        <f>E14*$I$4</f>
        <v>552.29637276399308</v>
      </c>
    </row>
    <row r="15" spans="1:10">
      <c r="B15" s="412" t="s">
        <v>486</v>
      </c>
      <c r="C15" s="410" t="s">
        <v>486</v>
      </c>
      <c r="D15" s="411"/>
      <c r="E15" s="411"/>
      <c r="F15" s="411"/>
    </row>
    <row r="16" spans="1:10" ht="15">
      <c r="B16" s="412" t="s">
        <v>486</v>
      </c>
      <c r="C16" s="409" t="s">
        <v>538</v>
      </c>
      <c r="D16" s="411"/>
      <c r="E16" s="411"/>
      <c r="F16" s="411"/>
    </row>
    <row r="17" spans="1:9" ht="15">
      <c r="A17" s="383">
        <v>1351</v>
      </c>
      <c r="B17" s="142">
        <v>1410</v>
      </c>
      <c r="C17" s="410" t="s">
        <v>538</v>
      </c>
      <c r="D17" s="411"/>
      <c r="E17" s="411">
        <v>40440.25</v>
      </c>
      <c r="F17" s="411">
        <v>43511.19</v>
      </c>
      <c r="H17" s="427">
        <f>E17*I4</f>
        <v>45303.34757645701</v>
      </c>
      <c r="I17" s="99" t="s">
        <v>733</v>
      </c>
    </row>
    <row r="18" spans="1:9">
      <c r="B18" s="412" t="s">
        <v>486</v>
      </c>
      <c r="C18" s="410" t="s">
        <v>486</v>
      </c>
      <c r="D18" s="411"/>
      <c r="E18" s="411"/>
      <c r="F18" s="411"/>
    </row>
    <row r="19" spans="1:9" ht="15">
      <c r="B19" s="412" t="s">
        <v>486</v>
      </c>
      <c r="C19" s="409" t="s">
        <v>500</v>
      </c>
      <c r="D19" s="411"/>
      <c r="E19" s="411"/>
      <c r="F19" s="411"/>
    </row>
    <row r="20" spans="1:9" ht="15">
      <c r="A20" s="383">
        <v>1307</v>
      </c>
      <c r="B20" s="142">
        <v>1525</v>
      </c>
      <c r="C20" s="410" t="s">
        <v>502</v>
      </c>
      <c r="D20" s="411">
        <v>1119.6199999999999</v>
      </c>
      <c r="E20" s="411"/>
      <c r="F20" s="411">
        <v>1119.6199999999999</v>
      </c>
      <c r="H20" s="428">
        <f t="shared" ref="H20:H26" si="0">D20*$I$4</f>
        <v>1254.2586658972878</v>
      </c>
    </row>
    <row r="21" spans="1:9">
      <c r="B21" s="142">
        <v>1570</v>
      </c>
      <c r="C21" s="410" t="s">
        <v>504</v>
      </c>
      <c r="D21" s="411">
        <v>0</v>
      </c>
      <c r="E21" s="411"/>
      <c r="F21" s="411">
        <v>165.72</v>
      </c>
      <c r="H21" s="428">
        <f t="shared" si="0"/>
        <v>0</v>
      </c>
    </row>
    <row r="22" spans="1:9">
      <c r="B22" s="142">
        <v>1571</v>
      </c>
      <c r="C22" s="410" t="s">
        <v>506</v>
      </c>
      <c r="D22" s="411">
        <v>0</v>
      </c>
      <c r="E22" s="411"/>
      <c r="F22" s="411">
        <v>156.27000000000001</v>
      </c>
      <c r="H22" s="428">
        <f t="shared" si="0"/>
        <v>0</v>
      </c>
    </row>
    <row r="23" spans="1:9" ht="15">
      <c r="A23" s="383">
        <v>1357</v>
      </c>
      <c r="B23" s="142">
        <v>1576</v>
      </c>
      <c r="C23" s="410" t="s">
        <v>508</v>
      </c>
      <c r="D23" s="411">
        <v>3152.25</v>
      </c>
      <c r="E23" s="411"/>
      <c r="F23" s="411">
        <v>3862.06</v>
      </c>
      <c r="H23" s="428">
        <f t="shared" si="0"/>
        <v>3531.3203404500864</v>
      </c>
    </row>
    <row r="24" spans="1:9">
      <c r="B24" s="142">
        <v>1590</v>
      </c>
      <c r="C24" s="410" t="s">
        <v>725</v>
      </c>
      <c r="D24" s="411">
        <v>0</v>
      </c>
      <c r="E24" s="411"/>
      <c r="F24" s="411">
        <v>78.400000000000006</v>
      </c>
      <c r="H24" s="428">
        <f t="shared" si="0"/>
        <v>0</v>
      </c>
    </row>
    <row r="25" spans="1:9" ht="15">
      <c r="A25" s="383">
        <v>1357</v>
      </c>
      <c r="B25" s="142">
        <v>1780</v>
      </c>
      <c r="C25" s="410" t="s">
        <v>510</v>
      </c>
      <c r="D25" s="411">
        <v>-2941.02</v>
      </c>
      <c r="E25" s="411"/>
      <c r="F25" s="411">
        <v>-2455.9499999999998</v>
      </c>
      <c r="H25" s="428">
        <f t="shared" si="0"/>
        <v>-3294.6891102135023</v>
      </c>
    </row>
    <row r="26" spans="1:9" ht="15">
      <c r="A26" s="383">
        <v>1357</v>
      </c>
      <c r="B26" s="142">
        <v>1790</v>
      </c>
      <c r="C26" s="410" t="s">
        <v>512</v>
      </c>
      <c r="D26" s="414">
        <v>2270.9699999999998</v>
      </c>
      <c r="E26" s="411">
        <v>3601.82</v>
      </c>
      <c r="F26" s="411">
        <v>2526.3200000000002</v>
      </c>
      <c r="H26" s="430">
        <f t="shared" si="0"/>
        <v>2544.0629878822847</v>
      </c>
    </row>
    <row r="27" spans="1:9">
      <c r="B27" s="412" t="s">
        <v>486</v>
      </c>
      <c r="C27" s="410" t="s">
        <v>486</v>
      </c>
      <c r="D27" s="411"/>
      <c r="E27" s="411"/>
      <c r="F27" s="411"/>
      <c r="H27" s="427">
        <f>SUM(H20:H26)</f>
        <v>4034.9528840161565</v>
      </c>
    </row>
    <row r="28" spans="1:9" ht="45">
      <c r="B28" s="412" t="s">
        <v>486</v>
      </c>
      <c r="C28" s="413" t="s">
        <v>513</v>
      </c>
      <c r="D28" s="411"/>
      <c r="E28" s="411"/>
      <c r="F28" s="411"/>
    </row>
    <row r="29" spans="1:9" ht="15">
      <c r="A29" s="383">
        <v>1307</v>
      </c>
      <c r="B29" s="142">
        <v>1200</v>
      </c>
      <c r="C29" s="410" t="s">
        <v>515</v>
      </c>
      <c r="D29" s="411"/>
      <c r="E29" s="411">
        <v>994.79</v>
      </c>
      <c r="F29" s="411">
        <v>5221.93</v>
      </c>
      <c r="H29" s="427">
        <f>E29*$I$4</f>
        <v>1114.417372186959</v>
      </c>
    </row>
    <row r="30" spans="1:9">
      <c r="B30" s="412" t="s">
        <v>486</v>
      </c>
      <c r="C30" s="410" t="s">
        <v>486</v>
      </c>
      <c r="D30" s="411"/>
      <c r="E30" s="411"/>
      <c r="F30" s="411"/>
    </row>
    <row r="31" spans="1:9" ht="15">
      <c r="B31" s="412" t="s">
        <v>486</v>
      </c>
      <c r="C31" s="409" t="s">
        <v>500</v>
      </c>
      <c r="D31" s="411"/>
      <c r="E31" s="411"/>
      <c r="F31" s="411"/>
    </row>
    <row r="32" spans="1:9" ht="15">
      <c r="A32" s="383">
        <v>1358</v>
      </c>
      <c r="B32" s="142">
        <v>975</v>
      </c>
      <c r="C32" s="410" t="s">
        <v>486</v>
      </c>
      <c r="D32" s="411">
        <v>66.8</v>
      </c>
      <c r="E32" s="411"/>
      <c r="F32" s="411">
        <v>0</v>
      </c>
      <c r="H32" s="428">
        <f t="shared" ref="H32:H33" si="1">D32*$I$4</f>
        <v>74.832960184650887</v>
      </c>
    </row>
    <row r="33" spans="1:10" ht="15">
      <c r="A33" s="383">
        <v>1358</v>
      </c>
      <c r="B33" s="142">
        <v>977</v>
      </c>
      <c r="C33" s="410" t="s">
        <v>525</v>
      </c>
      <c r="D33" s="414">
        <v>2959.4</v>
      </c>
      <c r="E33" s="411">
        <v>3026.2</v>
      </c>
      <c r="F33" s="411">
        <v>0</v>
      </c>
      <c r="H33" s="430">
        <f t="shared" si="1"/>
        <v>3315.2793768032316</v>
      </c>
    </row>
    <row r="34" spans="1:10">
      <c r="B34" s="412" t="s">
        <v>486</v>
      </c>
      <c r="C34" s="410" t="s">
        <v>486</v>
      </c>
      <c r="D34" s="411"/>
      <c r="E34" s="414"/>
      <c r="F34" s="414"/>
      <c r="H34" s="471">
        <f>SUM(H32:H33)</f>
        <v>3390.1123369878824</v>
      </c>
    </row>
    <row r="35" spans="1:10">
      <c r="B35" s="412" t="s">
        <v>486</v>
      </c>
      <c r="C35" s="410" t="s">
        <v>486</v>
      </c>
      <c r="D35" s="411"/>
      <c r="E35" s="411"/>
      <c r="F35" s="411"/>
    </row>
    <row r="36" spans="1:10">
      <c r="B36" s="412" t="s">
        <v>486</v>
      </c>
      <c r="C36" s="410" t="s">
        <v>518</v>
      </c>
      <c r="D36" s="411"/>
      <c r="E36" s="411">
        <v>48556.07</v>
      </c>
      <c r="F36" s="411">
        <v>55311.56</v>
      </c>
      <c r="H36" s="427">
        <f>H34+H29+H27+H17+H14</f>
        <v>54395.126542411999</v>
      </c>
      <c r="I36" s="422">
        <f>E36*I4-H36</f>
        <v>0</v>
      </c>
    </row>
    <row r="37" spans="1:10" ht="13.5" thickBot="1">
      <c r="B37" s="412" t="s">
        <v>486</v>
      </c>
      <c r="C37" s="410" t="s">
        <v>486</v>
      </c>
      <c r="D37" s="411"/>
      <c r="E37" s="415"/>
      <c r="F37" s="415"/>
      <c r="H37" s="431"/>
    </row>
    <row r="38" spans="1:10" ht="13.5" thickTop="1">
      <c r="B38" s="412" t="s">
        <v>519</v>
      </c>
      <c r="C38" s="410" t="s">
        <v>486</v>
      </c>
      <c r="D38" s="411"/>
      <c r="E38" s="411"/>
      <c r="F38" s="411"/>
    </row>
    <row r="39" spans="1:10">
      <c r="B39" s="412" t="s">
        <v>484</v>
      </c>
      <c r="C39" s="410" t="s">
        <v>484</v>
      </c>
      <c r="D39" s="411" t="s">
        <v>484</v>
      </c>
      <c r="E39" s="411" t="s">
        <v>484</v>
      </c>
      <c r="F39" s="411" t="s">
        <v>484</v>
      </c>
    </row>
    <row r="40" spans="1:10">
      <c r="B40" s="412" t="s">
        <v>486</v>
      </c>
      <c r="C40" s="410" t="s">
        <v>486</v>
      </c>
      <c r="D40" s="411"/>
      <c r="E40" s="412" t="s">
        <v>490</v>
      </c>
      <c r="F40" s="412" t="s">
        <v>491</v>
      </c>
    </row>
    <row r="41" spans="1:10">
      <c r="B41" s="412" t="s">
        <v>494</v>
      </c>
      <c r="C41" s="410" t="s">
        <v>495</v>
      </c>
      <c r="D41" s="412" t="s">
        <v>496</v>
      </c>
      <c r="E41" s="412" t="s">
        <v>496</v>
      </c>
      <c r="F41" s="412" t="s">
        <v>496</v>
      </c>
    </row>
    <row r="42" spans="1:10">
      <c r="B42" s="412" t="s">
        <v>486</v>
      </c>
      <c r="C42" s="410" t="s">
        <v>486</v>
      </c>
      <c r="D42" s="411"/>
      <c r="E42" s="411"/>
      <c r="F42" s="411"/>
    </row>
    <row r="43" spans="1:10" ht="15">
      <c r="B43" s="412" t="s">
        <v>486</v>
      </c>
      <c r="C43" s="409" t="s">
        <v>520</v>
      </c>
      <c r="D43" s="411"/>
      <c r="E43" s="411"/>
      <c r="F43" s="411"/>
      <c r="I43" s="475" t="s">
        <v>665</v>
      </c>
      <c r="J43" s="439" t="s">
        <v>407</v>
      </c>
    </row>
    <row r="44" spans="1:10" ht="15">
      <c r="A44" s="383">
        <v>1842</v>
      </c>
      <c r="B44" s="142">
        <v>800</v>
      </c>
      <c r="C44" s="410" t="s">
        <v>520</v>
      </c>
      <c r="D44" s="411"/>
      <c r="E44" s="411">
        <v>25000</v>
      </c>
      <c r="F44" s="411">
        <v>25000</v>
      </c>
      <c r="H44" s="474">
        <f>E44*$I$4</f>
        <v>28006.347374495093</v>
      </c>
      <c r="I44" s="476">
        <v>28054</v>
      </c>
      <c r="J44" s="285">
        <f>I44-H44</f>
        <v>47.652625504906609</v>
      </c>
    </row>
    <row r="45" spans="1:10">
      <c r="B45" s="412" t="s">
        <v>486</v>
      </c>
      <c r="C45" s="410" t="s">
        <v>486</v>
      </c>
      <c r="D45" s="411"/>
      <c r="E45" s="411"/>
      <c r="F45" s="411"/>
      <c r="H45" s="99"/>
      <c r="I45" s="476"/>
    </row>
    <row r="46" spans="1:10" ht="30">
      <c r="B46" s="412" t="s">
        <v>486</v>
      </c>
      <c r="C46" s="413" t="s">
        <v>656</v>
      </c>
      <c r="D46" s="411"/>
      <c r="E46" s="411"/>
      <c r="F46" s="411"/>
      <c r="H46" s="99"/>
      <c r="I46" s="475" t="s">
        <v>665</v>
      </c>
      <c r="J46" s="439" t="s">
        <v>407</v>
      </c>
    </row>
    <row r="47" spans="1:10" ht="15">
      <c r="A47" s="383">
        <v>9410</v>
      </c>
      <c r="B47" s="142">
        <v>860</v>
      </c>
      <c r="C47" s="410" t="s">
        <v>658</v>
      </c>
      <c r="D47" s="411"/>
      <c r="E47" s="411">
        <v>11943.69</v>
      </c>
      <c r="F47" s="411">
        <v>6553.33</v>
      </c>
      <c r="H47" s="474">
        <f>E47*$I$4</f>
        <v>13379.965242931334</v>
      </c>
      <c r="I47" s="476">
        <v>13158</v>
      </c>
      <c r="J47" s="285">
        <f>I47-H47</f>
        <v>-221.96524293133371</v>
      </c>
    </row>
    <row r="48" spans="1:10">
      <c r="B48" s="412" t="s">
        <v>486</v>
      </c>
      <c r="C48" s="410" t="s">
        <v>486</v>
      </c>
      <c r="D48" s="411"/>
      <c r="E48" s="411"/>
      <c r="F48" s="411"/>
    </row>
    <row r="49" spans="1:9" ht="30">
      <c r="B49" s="412" t="s">
        <v>486</v>
      </c>
      <c r="C49" s="413" t="s">
        <v>545</v>
      </c>
      <c r="D49" s="411"/>
      <c r="E49" s="411"/>
      <c r="F49" s="411"/>
    </row>
    <row r="50" spans="1:9">
      <c r="B50" s="412" t="s">
        <v>486</v>
      </c>
      <c r="C50" s="441" t="s">
        <v>546</v>
      </c>
      <c r="D50" s="420"/>
      <c r="E50" s="420">
        <v>3822.37</v>
      </c>
      <c r="F50" s="420">
        <v>6364.67</v>
      </c>
      <c r="G50" s="309"/>
      <c r="H50" s="474">
        <f>E50*$I$4</f>
        <v>4282.0248805539522</v>
      </c>
      <c r="I50" s="433">
        <f>'GMBH P&amp;L 30.06.2020'!H59</f>
        <v>4456.336461565932</v>
      </c>
    </row>
    <row r="51" spans="1:9">
      <c r="B51" s="412" t="s">
        <v>486</v>
      </c>
      <c r="C51" s="410" t="s">
        <v>486</v>
      </c>
      <c r="D51" s="411"/>
      <c r="E51" s="411"/>
      <c r="F51" s="411"/>
    </row>
    <row r="52" spans="1:9" ht="15">
      <c r="B52" s="412" t="s">
        <v>486</v>
      </c>
      <c r="C52" s="409" t="s">
        <v>548</v>
      </c>
      <c r="D52" s="411"/>
      <c r="E52" s="411"/>
      <c r="F52" s="411"/>
    </row>
    <row r="53" spans="1:9" ht="15">
      <c r="A53" s="383">
        <v>2688</v>
      </c>
      <c r="B53" s="142">
        <v>956</v>
      </c>
      <c r="C53" s="410" t="s">
        <v>550</v>
      </c>
      <c r="D53" s="411">
        <v>1905</v>
      </c>
      <c r="E53" s="411"/>
      <c r="F53" s="411">
        <v>1040</v>
      </c>
      <c r="H53" s="428">
        <f t="shared" ref="H53:H54" si="2">D53*$I$4</f>
        <v>2134.0836699365263</v>
      </c>
    </row>
    <row r="54" spans="1:9" ht="15">
      <c r="A54" s="383">
        <v>2688</v>
      </c>
      <c r="B54" s="142">
        <v>963</v>
      </c>
      <c r="C54" s="410" t="s">
        <v>552</v>
      </c>
      <c r="D54" s="414">
        <v>1187.93</v>
      </c>
      <c r="E54" s="411">
        <v>3092.93</v>
      </c>
      <c r="F54" s="411">
        <v>1436.91</v>
      </c>
      <c r="H54" s="430">
        <f t="shared" si="2"/>
        <v>1330.7832094633584</v>
      </c>
    </row>
    <row r="55" spans="1:9">
      <c r="B55" s="412" t="s">
        <v>486</v>
      </c>
      <c r="C55" s="410" t="s">
        <v>486</v>
      </c>
      <c r="D55" s="411"/>
      <c r="E55" s="411"/>
      <c r="F55" s="411"/>
      <c r="H55" s="427">
        <f>SUM(H53:H54)</f>
        <v>3464.866879399885</v>
      </c>
    </row>
    <row r="56" spans="1:9" ht="15">
      <c r="B56" s="412" t="s">
        <v>486</v>
      </c>
      <c r="C56" s="409" t="s">
        <v>523</v>
      </c>
      <c r="D56" s="411"/>
      <c r="E56" s="411"/>
      <c r="F56" s="411"/>
    </row>
    <row r="57" spans="1:9">
      <c r="B57" s="142">
        <v>977</v>
      </c>
      <c r="C57" s="410" t="s">
        <v>525</v>
      </c>
      <c r="D57" s="411"/>
      <c r="E57" s="411">
        <v>0</v>
      </c>
      <c r="F57" s="411">
        <v>2600</v>
      </c>
    </row>
    <row r="58" spans="1:9">
      <c r="B58" s="412" t="s">
        <v>486</v>
      </c>
      <c r="C58" s="410" t="s">
        <v>486</v>
      </c>
      <c r="D58" s="411"/>
      <c r="E58" s="411"/>
      <c r="F58" s="411"/>
    </row>
    <row r="59" spans="1:9" ht="15">
      <c r="B59" s="412" t="s">
        <v>486</v>
      </c>
      <c r="C59" s="409" t="s">
        <v>9</v>
      </c>
      <c r="D59" s="411"/>
      <c r="E59" s="411"/>
      <c r="F59" s="411"/>
    </row>
    <row r="60" spans="1:9" ht="15">
      <c r="A60" s="383">
        <v>2689</v>
      </c>
      <c r="B60" s="142">
        <v>1700</v>
      </c>
      <c r="C60" s="410" t="s">
        <v>9</v>
      </c>
      <c r="D60" s="411">
        <v>4697.08</v>
      </c>
      <c r="E60" s="411"/>
      <c r="F60" s="411">
        <v>10689.59</v>
      </c>
      <c r="H60" s="428">
        <f t="shared" ref="H60:H62" si="3">D60*$I$4</f>
        <v>5261.9221650317368</v>
      </c>
    </row>
    <row r="61" spans="1:9">
      <c r="B61" s="142">
        <v>1701</v>
      </c>
      <c r="C61" s="410" t="s">
        <v>528</v>
      </c>
      <c r="D61" s="411">
        <v>0</v>
      </c>
      <c r="E61" s="411"/>
      <c r="F61" s="411">
        <v>1165.23</v>
      </c>
      <c r="H61" s="428">
        <f t="shared" si="3"/>
        <v>0</v>
      </c>
    </row>
    <row r="62" spans="1:9">
      <c r="B62" s="142">
        <v>1741</v>
      </c>
      <c r="C62" s="410" t="s">
        <v>529</v>
      </c>
      <c r="D62" s="414">
        <v>0</v>
      </c>
      <c r="E62" s="411">
        <v>4697.08</v>
      </c>
      <c r="F62" s="411">
        <v>461.83</v>
      </c>
      <c r="H62" s="430">
        <f t="shared" si="3"/>
        <v>0</v>
      </c>
    </row>
    <row r="63" spans="1:9">
      <c r="B63" s="412" t="s">
        <v>486</v>
      </c>
      <c r="C63" s="410" t="s">
        <v>486</v>
      </c>
      <c r="D63" s="411"/>
      <c r="E63" s="411"/>
      <c r="F63" s="411"/>
      <c r="H63" s="427">
        <f>SUM(H60:H62)</f>
        <v>5261.9221650317368</v>
      </c>
    </row>
    <row r="64" spans="1:9" ht="30">
      <c r="B64" s="412" t="s">
        <v>486</v>
      </c>
      <c r="C64" s="413" t="s">
        <v>751</v>
      </c>
      <c r="D64" s="411"/>
      <c r="E64" s="411"/>
      <c r="F64" s="411"/>
    </row>
    <row r="65" spans="2:9">
      <c r="B65" s="142">
        <v>1741</v>
      </c>
      <c r="C65" s="410" t="s">
        <v>529</v>
      </c>
      <c r="D65" s="411"/>
      <c r="E65" s="411"/>
      <c r="F65" s="411"/>
    </row>
    <row r="66" spans="2:9">
      <c r="B66" s="412" t="s">
        <v>486</v>
      </c>
      <c r="C66" s="410" t="s">
        <v>486</v>
      </c>
      <c r="D66" s="411"/>
      <c r="E66" s="411"/>
      <c r="F66" s="411"/>
    </row>
    <row r="67" spans="2:9" ht="45">
      <c r="B67" s="412" t="s">
        <v>486</v>
      </c>
      <c r="C67" s="413" t="s">
        <v>752</v>
      </c>
      <c r="D67" s="411"/>
      <c r="E67" s="411"/>
      <c r="F67" s="411"/>
    </row>
    <row r="68" spans="2:9">
      <c r="B68" s="142">
        <v>1700</v>
      </c>
      <c r="C68" s="410" t="s">
        <v>9</v>
      </c>
      <c r="D68" s="411"/>
      <c r="E68" s="411"/>
      <c r="F68" s="411"/>
    </row>
    <row r="69" spans="2:9">
      <c r="B69" s="142">
        <v>1701</v>
      </c>
      <c r="C69" s="410" t="s">
        <v>528</v>
      </c>
      <c r="D69" s="411"/>
      <c r="E69" s="411"/>
      <c r="F69" s="411"/>
    </row>
    <row r="70" spans="2:9">
      <c r="B70" s="142">
        <v>1741</v>
      </c>
      <c r="C70" s="410" t="s">
        <v>529</v>
      </c>
      <c r="D70" s="411"/>
      <c r="E70" s="411"/>
      <c r="F70" s="411"/>
    </row>
    <row r="71" spans="2:9">
      <c r="B71" s="412" t="s">
        <v>486</v>
      </c>
      <c r="C71" s="410" t="s">
        <v>486</v>
      </c>
      <c r="D71" s="411"/>
      <c r="E71" s="414"/>
      <c r="F71" s="414"/>
      <c r="H71" s="472"/>
    </row>
    <row r="72" spans="2:9">
      <c r="B72" s="412" t="s">
        <v>486</v>
      </c>
      <c r="C72" s="410" t="s">
        <v>486</v>
      </c>
      <c r="D72" s="411"/>
      <c r="E72" s="411"/>
      <c r="F72" s="411"/>
    </row>
    <row r="73" spans="2:9">
      <c r="B73" s="412" t="s">
        <v>486</v>
      </c>
      <c r="C73" s="410" t="s">
        <v>530</v>
      </c>
      <c r="D73" s="411"/>
      <c r="E73" s="411">
        <v>48556.07</v>
      </c>
      <c r="F73" s="411">
        <v>55311.56</v>
      </c>
      <c r="H73" s="427">
        <f>I44+I47+I50+H55+H63</f>
        <v>54395.125505997552</v>
      </c>
      <c r="I73" s="285">
        <f>E73*I4-H73</f>
        <v>1.0364144472987391E-3</v>
      </c>
    </row>
    <row r="74" spans="2:9" ht="13.5" thickBot="1">
      <c r="B74" s="412" t="s">
        <v>486</v>
      </c>
      <c r="C74" s="410" t="s">
        <v>486</v>
      </c>
      <c r="D74" s="411"/>
      <c r="E74" s="415"/>
      <c r="F74" s="415"/>
      <c r="H74" s="473"/>
    </row>
    <row r="75" spans="2:9" ht="13.5" thickTop="1"/>
    <row r="76" spans="2:9">
      <c r="H76" s="428">
        <f>H73-H36</f>
        <v>-1.0364144472987391E-3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9394-22A8-49DF-BCD1-20A8EA2BE6C3}">
  <dimension ref="A1:K66"/>
  <sheetViews>
    <sheetView workbookViewId="0">
      <selection activeCell="H73" sqref="H73"/>
    </sheetView>
  </sheetViews>
  <sheetFormatPr defaultRowHeight="12.75"/>
  <cols>
    <col min="2" max="2" width="28.5703125" customWidth="1"/>
    <col min="3" max="3" width="49.42578125" customWidth="1"/>
    <col min="5" max="5" width="12.5703125" bestFit="1" customWidth="1"/>
    <col min="6" max="6" width="12.42578125" hidden="1" customWidth="1"/>
    <col min="8" max="8" width="10.5703125" style="418" bestFit="1" customWidth="1"/>
    <col min="9" max="9" width="10.42578125" bestFit="1" customWidth="1"/>
    <col min="11" max="11" width="23.42578125" bestFit="1" customWidth="1"/>
  </cols>
  <sheetData>
    <row r="1" spans="1:11" ht="15">
      <c r="B1" s="409" t="s">
        <v>667</v>
      </c>
      <c r="C1" s="410" t="s">
        <v>486</v>
      </c>
      <c r="D1" s="411"/>
      <c r="E1" s="411"/>
      <c r="F1" s="411"/>
    </row>
    <row r="2" spans="1:11" ht="15">
      <c r="B2" s="410" t="s">
        <v>668</v>
      </c>
      <c r="C2" s="410" t="s">
        <v>486</v>
      </c>
      <c r="D2" s="411"/>
      <c r="E2" s="411"/>
      <c r="F2" s="411"/>
      <c r="J2" s="391">
        <v>3.5091999999999999</v>
      </c>
      <c r="K2" s="380" t="s">
        <v>753</v>
      </c>
    </row>
    <row r="3" spans="1:11" ht="15">
      <c r="B3" s="410" t="s">
        <v>747</v>
      </c>
      <c r="C3" s="410" t="s">
        <v>486</v>
      </c>
      <c r="D3" s="411"/>
      <c r="E3" s="411"/>
      <c r="F3" s="411"/>
      <c r="J3" s="392">
        <v>3.8616000000000001</v>
      </c>
      <c r="K3" s="382" t="s">
        <v>754</v>
      </c>
    </row>
    <row r="4" spans="1:11" ht="15">
      <c r="B4" s="412" t="s">
        <v>486</v>
      </c>
      <c r="C4" s="410" t="s">
        <v>486</v>
      </c>
      <c r="D4" s="411"/>
      <c r="E4" s="411"/>
      <c r="F4" s="411"/>
      <c r="J4" s="392">
        <f>J3/J2</f>
        <v>1.1004217485466774</v>
      </c>
      <c r="K4" s="382" t="s">
        <v>492</v>
      </c>
    </row>
    <row r="5" spans="1:11" ht="15">
      <c r="B5" s="409" t="s">
        <v>488</v>
      </c>
      <c r="C5" s="410" t="s">
        <v>486</v>
      </c>
      <c r="D5" s="411"/>
      <c r="E5" s="411"/>
      <c r="F5" s="411"/>
    </row>
    <row r="6" spans="1:11">
      <c r="B6" s="412" t="s">
        <v>486</v>
      </c>
      <c r="C6" s="410" t="s">
        <v>486</v>
      </c>
      <c r="D6" s="411"/>
      <c r="E6" s="411"/>
      <c r="F6" s="411"/>
    </row>
    <row r="7" spans="1:11">
      <c r="B7" s="412" t="s">
        <v>484</v>
      </c>
      <c r="C7" s="410" t="s">
        <v>484</v>
      </c>
      <c r="D7" s="411" t="s">
        <v>484</v>
      </c>
      <c r="E7" s="411" t="s">
        <v>484</v>
      </c>
      <c r="F7" s="411" t="s">
        <v>484</v>
      </c>
    </row>
    <row r="8" spans="1:11">
      <c r="B8" s="412" t="s">
        <v>486</v>
      </c>
      <c r="C8" s="410" t="s">
        <v>486</v>
      </c>
      <c r="D8" s="411"/>
      <c r="E8" s="412" t="s">
        <v>490</v>
      </c>
      <c r="F8" s="412" t="s">
        <v>491</v>
      </c>
    </row>
    <row r="9" spans="1:11" ht="15">
      <c r="B9" s="412" t="s">
        <v>494</v>
      </c>
      <c r="C9" s="410" t="s">
        <v>495</v>
      </c>
      <c r="D9" s="412" t="s">
        <v>496</v>
      </c>
      <c r="E9" s="412" t="s">
        <v>496</v>
      </c>
      <c r="F9" s="412" t="s">
        <v>496</v>
      </c>
      <c r="H9" s="408" t="s">
        <v>117</v>
      </c>
    </row>
    <row r="10" spans="1:11">
      <c r="B10" s="412" t="s">
        <v>486</v>
      </c>
      <c r="C10" s="410" t="s">
        <v>486</v>
      </c>
      <c r="D10" s="411"/>
      <c r="E10" s="411"/>
      <c r="F10" s="411"/>
    </row>
    <row r="11" spans="1:11" ht="15">
      <c r="B11" s="412" t="s">
        <v>486</v>
      </c>
      <c r="C11" s="409" t="s">
        <v>573</v>
      </c>
      <c r="D11" s="411"/>
      <c r="E11" s="411"/>
      <c r="F11" s="411"/>
    </row>
    <row r="12" spans="1:11">
      <c r="A12" s="142">
        <v>7023</v>
      </c>
      <c r="B12" s="142">
        <v>8338</v>
      </c>
      <c r="C12" s="410" t="s">
        <v>670</v>
      </c>
      <c r="D12" s="411"/>
      <c r="E12" s="411">
        <v>36323.57</v>
      </c>
      <c r="F12" s="411">
        <v>85922.95</v>
      </c>
      <c r="H12" s="427">
        <f>E12*$J$4</f>
        <v>39971.246412857632</v>
      </c>
    </row>
    <row r="13" spans="1:11">
      <c r="A13" s="142"/>
      <c r="B13" s="412" t="s">
        <v>486</v>
      </c>
      <c r="C13" s="410" t="s">
        <v>486</v>
      </c>
      <c r="D13" s="411"/>
      <c r="E13" s="411"/>
      <c r="F13" s="411"/>
    </row>
    <row r="14" spans="1:11" ht="30">
      <c r="A14" s="142"/>
      <c r="B14" s="412" t="s">
        <v>486</v>
      </c>
      <c r="C14" s="413" t="s">
        <v>712</v>
      </c>
      <c r="D14" s="411"/>
      <c r="E14" s="411"/>
      <c r="F14" s="411"/>
    </row>
    <row r="15" spans="1:11">
      <c r="A15" s="142">
        <v>7021</v>
      </c>
      <c r="B15" s="142">
        <v>2735</v>
      </c>
      <c r="C15" s="410" t="s">
        <v>714</v>
      </c>
      <c r="D15" s="411"/>
      <c r="E15" s="411">
        <v>1513.1</v>
      </c>
      <c r="F15" s="411">
        <v>0</v>
      </c>
      <c r="H15" s="427">
        <f>E15*$J$4</f>
        <v>1665.0481477259775</v>
      </c>
    </row>
    <row r="16" spans="1:11">
      <c r="A16" s="142"/>
      <c r="B16" s="412" t="s">
        <v>486</v>
      </c>
      <c r="C16" s="410" t="s">
        <v>486</v>
      </c>
      <c r="D16" s="411"/>
      <c r="E16" s="411"/>
      <c r="F16" s="411"/>
    </row>
    <row r="17" spans="1:8" ht="15">
      <c r="A17" s="142"/>
      <c r="B17" s="412" t="s">
        <v>486</v>
      </c>
      <c r="C17" s="409" t="s">
        <v>577</v>
      </c>
      <c r="D17" s="411"/>
      <c r="E17" s="411"/>
      <c r="F17" s="411"/>
    </row>
    <row r="18" spans="1:8">
      <c r="A18" s="142">
        <v>7020</v>
      </c>
      <c r="B18" s="142">
        <v>4100</v>
      </c>
      <c r="C18" s="410" t="s">
        <v>577</v>
      </c>
      <c r="D18" s="411"/>
      <c r="E18" s="411">
        <v>-17333.32</v>
      </c>
      <c r="F18" s="411">
        <v>-48666.66</v>
      </c>
      <c r="H18" s="427">
        <f>E18*$J$4</f>
        <v>-19073.962302519096</v>
      </c>
    </row>
    <row r="19" spans="1:8">
      <c r="A19" s="142"/>
      <c r="B19" s="412" t="s">
        <v>486</v>
      </c>
      <c r="C19" s="410" t="s">
        <v>486</v>
      </c>
      <c r="D19" s="411"/>
      <c r="E19" s="411"/>
      <c r="F19" s="411"/>
    </row>
    <row r="20" spans="1:8" ht="45">
      <c r="A20" s="142"/>
      <c r="B20" s="412" t="s">
        <v>486</v>
      </c>
      <c r="C20" s="413" t="s">
        <v>671</v>
      </c>
      <c r="D20" s="411"/>
      <c r="E20" s="411"/>
      <c r="F20" s="411"/>
    </row>
    <row r="21" spans="1:8">
      <c r="A21" s="142">
        <v>7020</v>
      </c>
      <c r="B21" s="142">
        <v>4130</v>
      </c>
      <c r="C21" s="410" t="s">
        <v>580</v>
      </c>
      <c r="D21" s="411">
        <v>-3848.88</v>
      </c>
      <c r="E21" s="411"/>
      <c r="F21" s="411">
        <v>-6741.3</v>
      </c>
      <c r="H21" s="428">
        <f>D21*$J$4</f>
        <v>-4235.3912595463362</v>
      </c>
    </row>
    <row r="22" spans="1:8">
      <c r="A22" s="142">
        <v>7020</v>
      </c>
      <c r="B22" s="142">
        <v>4138</v>
      </c>
      <c r="C22" s="410" t="s">
        <v>672</v>
      </c>
      <c r="D22" s="414">
        <v>-171.23</v>
      </c>
      <c r="E22" s="411">
        <v>-4020.11</v>
      </c>
      <c r="F22" s="411">
        <v>0</v>
      </c>
      <c r="H22" s="430">
        <f>D22*$J$4</f>
        <v>-188.42521600364756</v>
      </c>
    </row>
    <row r="23" spans="1:8">
      <c r="A23" s="142"/>
      <c r="B23" s="412" t="s">
        <v>486</v>
      </c>
      <c r="C23" s="410" t="s">
        <v>486</v>
      </c>
      <c r="D23" s="411"/>
      <c r="E23" s="411"/>
      <c r="F23" s="411"/>
      <c r="H23" s="427">
        <f>SUM(H21:H22)</f>
        <v>-4423.8164755499838</v>
      </c>
    </row>
    <row r="24" spans="1:8" ht="30">
      <c r="A24" s="142"/>
      <c r="B24" s="412" t="s">
        <v>486</v>
      </c>
      <c r="C24" s="413" t="s">
        <v>673</v>
      </c>
      <c r="D24" s="411"/>
      <c r="E24" s="411"/>
      <c r="F24" s="411"/>
    </row>
    <row r="25" spans="1:8">
      <c r="A25" s="142"/>
      <c r="B25" s="412" t="s">
        <v>486</v>
      </c>
      <c r="C25" s="410" t="s">
        <v>486</v>
      </c>
      <c r="D25" s="411"/>
      <c r="E25" s="411"/>
      <c r="F25" s="411"/>
    </row>
    <row r="26" spans="1:8" ht="75">
      <c r="A26" s="142"/>
      <c r="B26" s="412" t="s">
        <v>486</v>
      </c>
      <c r="C26" s="413" t="s">
        <v>674</v>
      </c>
      <c r="D26" s="411"/>
      <c r="E26" s="411"/>
      <c r="F26" s="411"/>
    </row>
    <row r="27" spans="1:8">
      <c r="A27" s="142">
        <v>7021</v>
      </c>
      <c r="B27" s="142">
        <v>4830</v>
      </c>
      <c r="C27" s="410" t="s">
        <v>675</v>
      </c>
      <c r="D27" s="411"/>
      <c r="E27" s="411">
        <v>-210.99</v>
      </c>
      <c r="F27" s="411">
        <v>0</v>
      </c>
      <c r="H27" s="427">
        <f>E27*$J$4</f>
        <v>-232.17798472586347</v>
      </c>
    </row>
    <row r="28" spans="1:8">
      <c r="A28" s="142"/>
      <c r="B28" s="412" t="s">
        <v>486</v>
      </c>
      <c r="C28" s="410" t="s">
        <v>486</v>
      </c>
      <c r="D28" s="411"/>
      <c r="E28" s="411"/>
      <c r="F28" s="411"/>
    </row>
    <row r="29" spans="1:8" ht="15">
      <c r="A29" s="142"/>
      <c r="B29" s="412" t="s">
        <v>486</v>
      </c>
      <c r="C29" s="409" t="s">
        <v>676</v>
      </c>
      <c r="D29" s="411"/>
      <c r="E29" s="411"/>
      <c r="F29" s="411"/>
    </row>
    <row r="30" spans="1:8">
      <c r="A30" s="142">
        <v>7021</v>
      </c>
      <c r="B30" s="142">
        <v>4210</v>
      </c>
      <c r="C30" s="410" t="s">
        <v>590</v>
      </c>
      <c r="D30" s="411"/>
      <c r="E30" s="411">
        <v>-2822.58</v>
      </c>
      <c r="F30" s="411">
        <v>-2822.58</v>
      </c>
      <c r="H30" s="427">
        <f>E30*$J$4</f>
        <v>-3106.0284190128805</v>
      </c>
    </row>
    <row r="31" spans="1:8">
      <c r="A31" s="142"/>
      <c r="B31" s="412" t="s">
        <v>486</v>
      </c>
      <c r="C31" s="410" t="s">
        <v>486</v>
      </c>
      <c r="D31" s="411"/>
      <c r="E31" s="411"/>
      <c r="F31" s="411"/>
    </row>
    <row r="32" spans="1:8" ht="30">
      <c r="A32" s="142"/>
      <c r="B32" s="412" t="s">
        <v>486</v>
      </c>
      <c r="C32" s="413" t="s">
        <v>743</v>
      </c>
      <c r="D32" s="411"/>
      <c r="E32" s="411"/>
      <c r="F32" s="411"/>
    </row>
    <row r="33" spans="1:8">
      <c r="A33" s="142">
        <v>7020</v>
      </c>
      <c r="B33" s="142">
        <v>4396</v>
      </c>
      <c r="C33" s="410" t="s">
        <v>745</v>
      </c>
      <c r="D33" s="411"/>
      <c r="E33" s="411">
        <v>-25</v>
      </c>
      <c r="F33" s="411">
        <v>0</v>
      </c>
      <c r="H33" s="427">
        <f>E33*$J$4</f>
        <v>-27.510543713666934</v>
      </c>
    </row>
    <row r="34" spans="1:8">
      <c r="A34" s="142"/>
      <c r="B34" s="412" t="s">
        <v>486</v>
      </c>
      <c r="C34" s="410" t="s">
        <v>486</v>
      </c>
      <c r="D34" s="411"/>
      <c r="E34" s="411"/>
      <c r="F34" s="411"/>
    </row>
    <row r="35" spans="1:8" ht="30">
      <c r="A35" s="142"/>
      <c r="B35" s="412" t="s">
        <v>486</v>
      </c>
      <c r="C35" s="413" t="s">
        <v>677</v>
      </c>
      <c r="D35" s="411"/>
      <c r="E35" s="411"/>
      <c r="F35" s="411"/>
    </row>
    <row r="36" spans="1:8">
      <c r="A36" s="142">
        <v>7026</v>
      </c>
      <c r="B36" s="142">
        <v>4600</v>
      </c>
      <c r="C36" s="410" t="s">
        <v>702</v>
      </c>
      <c r="D36" s="411">
        <v>-8400</v>
      </c>
      <c r="E36" s="411"/>
      <c r="F36" s="411">
        <v>-15429.72</v>
      </c>
      <c r="H36" s="428">
        <f t="shared" ref="H36:H42" si="0">D36*$J$4</f>
        <v>-9243.5426877920909</v>
      </c>
    </row>
    <row r="37" spans="1:8">
      <c r="A37" s="142"/>
      <c r="B37" s="142">
        <v>4650</v>
      </c>
      <c r="C37" s="410" t="s">
        <v>599</v>
      </c>
      <c r="D37" s="411">
        <v>0</v>
      </c>
      <c r="E37" s="411"/>
      <c r="F37" s="411">
        <v>-234.96</v>
      </c>
      <c r="H37" s="428">
        <f t="shared" si="0"/>
        <v>0</v>
      </c>
    </row>
    <row r="38" spans="1:8">
      <c r="A38" s="142"/>
      <c r="B38" s="142">
        <v>4660</v>
      </c>
      <c r="C38" s="410" t="s">
        <v>604</v>
      </c>
      <c r="D38" s="411">
        <v>0</v>
      </c>
      <c r="E38" s="411"/>
      <c r="F38" s="411">
        <v>-529.70000000000005</v>
      </c>
      <c r="H38" s="428">
        <f t="shared" si="0"/>
        <v>0</v>
      </c>
    </row>
    <row r="39" spans="1:8">
      <c r="A39" s="142"/>
      <c r="B39" s="142">
        <v>4663</v>
      </c>
      <c r="C39" s="410" t="s">
        <v>607</v>
      </c>
      <c r="D39" s="411">
        <v>0</v>
      </c>
      <c r="E39" s="411"/>
      <c r="F39" s="411">
        <v>-596.11</v>
      </c>
      <c r="H39" s="428">
        <f t="shared" si="0"/>
        <v>0</v>
      </c>
    </row>
    <row r="40" spans="1:8">
      <c r="A40" s="142"/>
      <c r="B40" s="142">
        <v>4664</v>
      </c>
      <c r="C40" s="410" t="s">
        <v>610</v>
      </c>
      <c r="D40" s="411">
        <v>0</v>
      </c>
      <c r="E40" s="411"/>
      <c r="F40" s="411">
        <v>-137</v>
      </c>
      <c r="H40" s="428">
        <f t="shared" si="0"/>
        <v>0</v>
      </c>
    </row>
    <row r="41" spans="1:8">
      <c r="A41" s="142"/>
      <c r="B41" s="142">
        <v>4666</v>
      </c>
      <c r="C41" s="410" t="s">
        <v>613</v>
      </c>
      <c r="D41" s="411">
        <v>0</v>
      </c>
      <c r="E41" s="411"/>
      <c r="F41" s="411">
        <v>-1871.98</v>
      </c>
      <c r="H41" s="428">
        <f t="shared" si="0"/>
        <v>0</v>
      </c>
    </row>
    <row r="42" spans="1:8">
      <c r="A42" s="142"/>
      <c r="B42" s="142">
        <v>4668</v>
      </c>
      <c r="C42" s="410" t="s">
        <v>616</v>
      </c>
      <c r="D42" s="414">
        <v>0</v>
      </c>
      <c r="E42" s="411">
        <v>-8400</v>
      </c>
      <c r="F42" s="411">
        <v>-288</v>
      </c>
      <c r="H42" s="430">
        <f t="shared" si="0"/>
        <v>0</v>
      </c>
    </row>
    <row r="43" spans="1:8">
      <c r="A43" s="142"/>
      <c r="B43" s="412" t="s">
        <v>486</v>
      </c>
      <c r="C43" s="410" t="s">
        <v>486</v>
      </c>
      <c r="D43" s="411"/>
      <c r="E43" s="411"/>
      <c r="F43" s="411"/>
      <c r="H43" s="427">
        <f>SUM(H36:H42)</f>
        <v>-9243.5426877920909</v>
      </c>
    </row>
    <row r="44" spans="1:8" ht="30">
      <c r="A44" s="142"/>
      <c r="B44" s="412" t="s">
        <v>486</v>
      </c>
      <c r="C44" s="413" t="s">
        <v>680</v>
      </c>
      <c r="D44" s="411"/>
      <c r="E44" s="411"/>
      <c r="F44" s="411"/>
    </row>
    <row r="45" spans="1:8">
      <c r="A45" s="142"/>
      <c r="B45" s="142">
        <v>4900</v>
      </c>
      <c r="C45" s="410" t="s">
        <v>623</v>
      </c>
      <c r="D45" s="411">
        <v>0</v>
      </c>
      <c r="E45" s="411"/>
      <c r="F45" s="411">
        <v>-239.5</v>
      </c>
      <c r="H45" s="428">
        <f t="shared" ref="H45:H49" si="1">D45*$J$4</f>
        <v>0</v>
      </c>
    </row>
    <row r="46" spans="1:8">
      <c r="A46" s="142">
        <v>7021</v>
      </c>
      <c r="B46" s="142">
        <v>4920</v>
      </c>
      <c r="C46" s="410" t="s">
        <v>626</v>
      </c>
      <c r="D46" s="411">
        <v>-443.02</v>
      </c>
      <c r="E46" s="411"/>
      <c r="F46" s="411">
        <v>-346.64</v>
      </c>
      <c r="H46" s="428">
        <f t="shared" si="1"/>
        <v>-487.50884304114902</v>
      </c>
    </row>
    <row r="47" spans="1:8">
      <c r="A47" s="142">
        <v>7021</v>
      </c>
      <c r="B47" s="142">
        <v>4950</v>
      </c>
      <c r="C47" s="410" t="s">
        <v>703</v>
      </c>
      <c r="D47" s="411">
        <v>-232.1</v>
      </c>
      <c r="E47" s="411"/>
      <c r="F47" s="411">
        <v>-820</v>
      </c>
      <c r="H47" s="428">
        <f t="shared" si="1"/>
        <v>-255.40788783768383</v>
      </c>
    </row>
    <row r="48" spans="1:8">
      <c r="A48" s="142"/>
      <c r="B48" s="142">
        <v>4955</v>
      </c>
      <c r="C48" s="410" t="s">
        <v>746</v>
      </c>
      <c r="D48" s="411">
        <v>0</v>
      </c>
      <c r="E48" s="411"/>
      <c r="F48" s="411">
        <v>-680.4</v>
      </c>
      <c r="H48" s="428">
        <f t="shared" si="1"/>
        <v>0</v>
      </c>
    </row>
    <row r="49" spans="1:9">
      <c r="A49" s="142">
        <v>7021</v>
      </c>
      <c r="B49" s="142">
        <v>4970</v>
      </c>
      <c r="C49" s="410" t="s">
        <v>639</v>
      </c>
      <c r="D49" s="414">
        <v>-151.29</v>
      </c>
      <c r="E49" s="411">
        <v>-826.41</v>
      </c>
      <c r="F49" s="411">
        <v>-153.72999999999999</v>
      </c>
      <c r="H49" s="430">
        <f t="shared" si="1"/>
        <v>-166.48280633762681</v>
      </c>
    </row>
    <row r="50" spans="1:9">
      <c r="A50" s="142"/>
      <c r="B50" s="412" t="s">
        <v>486</v>
      </c>
      <c r="C50" s="410" t="s">
        <v>486</v>
      </c>
      <c r="D50" s="411"/>
      <c r="E50" s="411"/>
      <c r="F50" s="411"/>
      <c r="H50" s="427">
        <f>SUM(H45:H49)</f>
        <v>-909.39953721645963</v>
      </c>
    </row>
    <row r="51" spans="1:9">
      <c r="A51" s="142"/>
      <c r="B51" s="412"/>
      <c r="C51" s="410"/>
      <c r="D51" s="411"/>
      <c r="E51" s="411"/>
      <c r="F51" s="411"/>
      <c r="H51" s="427"/>
    </row>
    <row r="52" spans="1:9">
      <c r="A52" s="142">
        <v>7901</v>
      </c>
      <c r="B52" s="142">
        <v>9004</v>
      </c>
      <c r="C52" s="410" t="s">
        <v>470</v>
      </c>
      <c r="D52" s="414"/>
      <c r="E52" s="411"/>
      <c r="F52" s="411"/>
      <c r="H52" s="478">
        <f>'GMBH BS 30.06.2020'!J44+'GMBH BS 30.06.2020'!J47+424.43</f>
        <v>250.11738257357291</v>
      </c>
    </row>
    <row r="53" spans="1:9">
      <c r="A53" s="142"/>
      <c r="B53" s="412"/>
      <c r="C53" s="410"/>
      <c r="D53" s="411"/>
      <c r="E53" s="411"/>
      <c r="F53" s="411"/>
      <c r="H53" s="427"/>
    </row>
    <row r="54" spans="1:9" ht="15">
      <c r="A54" s="142"/>
      <c r="B54" s="412" t="s">
        <v>486</v>
      </c>
      <c r="C54" s="409" t="s">
        <v>748</v>
      </c>
      <c r="D54" s="411"/>
      <c r="E54" s="411"/>
      <c r="F54" s="411"/>
    </row>
    <row r="55" spans="1:9">
      <c r="A55" s="142">
        <v>7028</v>
      </c>
      <c r="B55" s="142">
        <v>2200</v>
      </c>
      <c r="C55" s="410" t="s">
        <v>749</v>
      </c>
      <c r="D55" s="411"/>
      <c r="E55" s="411">
        <v>-375.89</v>
      </c>
      <c r="F55" s="411">
        <v>0</v>
      </c>
      <c r="H55" s="427">
        <f>E55*$J$4</f>
        <v>-413.63753106121055</v>
      </c>
    </row>
    <row r="56" spans="1:9">
      <c r="A56" s="142"/>
      <c r="B56" s="412" t="s">
        <v>486</v>
      </c>
      <c r="C56" s="410" t="s">
        <v>486</v>
      </c>
      <c r="D56" s="411"/>
      <c r="E56" s="414"/>
      <c r="F56" s="414"/>
      <c r="H56" s="472"/>
    </row>
    <row r="57" spans="1:9">
      <c r="A57" s="142"/>
      <c r="B57" s="412" t="s">
        <v>486</v>
      </c>
      <c r="C57" s="410" t="s">
        <v>486</v>
      </c>
      <c r="D57" s="411"/>
      <c r="E57" s="411"/>
      <c r="F57" s="411"/>
    </row>
    <row r="58" spans="1:9" ht="30">
      <c r="B58" s="412" t="s">
        <v>486</v>
      </c>
      <c r="C58" s="413" t="s">
        <v>545</v>
      </c>
      <c r="D58" s="411"/>
      <c r="E58" s="411"/>
      <c r="F58" s="411"/>
    </row>
    <row r="59" spans="1:9">
      <c r="B59" s="412" t="s">
        <v>486</v>
      </c>
      <c r="C59" s="410" t="s">
        <v>546</v>
      </c>
      <c r="D59" s="411"/>
      <c r="E59" s="411">
        <v>3822.37</v>
      </c>
      <c r="F59" s="411">
        <v>6364.67</v>
      </c>
      <c r="H59" s="427">
        <f>H12+H15+H18+H23+H27+H30+H33+H43+H50+H55+H52</f>
        <v>4456.336461565932</v>
      </c>
      <c r="I59" s="477">
        <f>E59*J4-H59+H52</f>
        <v>4.2632564145606011E-12</v>
      </c>
    </row>
    <row r="60" spans="1:9" ht="13.5" thickBot="1">
      <c r="B60" s="412" t="s">
        <v>486</v>
      </c>
      <c r="C60" s="410" t="s">
        <v>486</v>
      </c>
      <c r="D60" s="411"/>
      <c r="E60" s="415"/>
      <c r="F60" s="415"/>
      <c r="H60" s="473"/>
    </row>
    <row r="61" spans="1:9" ht="13.5" thickTop="1"/>
    <row r="66" spans="11:11">
      <c r="K66" s="99" t="s">
        <v>755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911F2-4AEC-4F5A-AB2D-0FC95EB30E05}">
  <dimension ref="A1:J77"/>
  <sheetViews>
    <sheetView workbookViewId="0">
      <selection activeCell="H73" sqref="H73"/>
    </sheetView>
  </sheetViews>
  <sheetFormatPr defaultRowHeight="12.75"/>
  <cols>
    <col min="2" max="2" width="20.42578125" customWidth="1"/>
    <col min="3" max="3" width="34.42578125" bestFit="1" customWidth="1"/>
    <col min="4" max="4" width="8.5703125" bestFit="1" customWidth="1"/>
    <col min="5" max="5" width="12.5703125" bestFit="1" customWidth="1"/>
    <col min="6" max="6" width="12.42578125" hidden="1" customWidth="1"/>
    <col min="8" max="8" width="10.42578125" style="485" bestFit="1" customWidth="1"/>
    <col min="9" max="9" width="11.42578125" bestFit="1" customWidth="1"/>
    <col min="10" max="10" width="17.42578125" bestFit="1" customWidth="1"/>
  </cols>
  <sheetData>
    <row r="1" spans="1:10" ht="15.75" thickBot="1">
      <c r="B1" s="409" t="s">
        <v>485</v>
      </c>
      <c r="C1" s="410" t="s">
        <v>486</v>
      </c>
      <c r="D1" s="411"/>
      <c r="E1" s="411"/>
      <c r="F1" s="411"/>
    </row>
    <row r="2" spans="1:10">
      <c r="B2" s="410" t="s">
        <v>487</v>
      </c>
      <c r="C2" s="410" t="s">
        <v>486</v>
      </c>
      <c r="D2" s="411"/>
      <c r="E2" s="411"/>
      <c r="F2" s="411"/>
      <c r="I2" s="482">
        <v>3.4079999999999999</v>
      </c>
      <c r="J2" s="479" t="s">
        <v>763</v>
      </c>
    </row>
    <row r="3" spans="1:10">
      <c r="B3" s="410" t="s">
        <v>757</v>
      </c>
      <c r="C3" s="410" t="s">
        <v>486</v>
      </c>
      <c r="D3" s="411"/>
      <c r="E3" s="411"/>
      <c r="F3" s="411"/>
      <c r="I3" s="483">
        <v>4.0388000000000002</v>
      </c>
      <c r="J3" s="480" t="s">
        <v>764</v>
      </c>
    </row>
    <row r="4" spans="1:10" ht="13.5" thickBot="1">
      <c r="B4" s="412" t="s">
        <v>486</v>
      </c>
      <c r="C4" s="410" t="s">
        <v>486</v>
      </c>
      <c r="D4" s="411"/>
      <c r="E4" s="411"/>
      <c r="F4" s="411"/>
      <c r="I4" s="484">
        <f>I3/I2</f>
        <v>1.1850938967136151</v>
      </c>
      <c r="J4" s="481" t="s">
        <v>492</v>
      </c>
    </row>
    <row r="5" spans="1:10" ht="15">
      <c r="B5" s="409" t="s">
        <v>488</v>
      </c>
      <c r="C5" s="410" t="s">
        <v>486</v>
      </c>
      <c r="D5" s="411"/>
      <c r="E5" s="411"/>
      <c r="F5" s="411"/>
    </row>
    <row r="6" spans="1:10">
      <c r="B6" s="412" t="s">
        <v>486</v>
      </c>
      <c r="C6" s="410" t="s">
        <v>486</v>
      </c>
      <c r="D6" s="411"/>
      <c r="E6" s="411"/>
      <c r="F6" s="411"/>
    </row>
    <row r="7" spans="1:10">
      <c r="B7" s="410" t="s">
        <v>489</v>
      </c>
      <c r="C7" s="410" t="s">
        <v>486</v>
      </c>
      <c r="D7" s="411"/>
      <c r="E7" s="411"/>
      <c r="F7" s="411"/>
    </row>
    <row r="8" spans="1:10">
      <c r="B8" s="412" t="s">
        <v>484</v>
      </c>
      <c r="C8" s="410" t="s">
        <v>484</v>
      </c>
      <c r="D8" s="411" t="s">
        <v>484</v>
      </c>
      <c r="E8" s="411" t="s">
        <v>484</v>
      </c>
      <c r="F8" s="411" t="s">
        <v>484</v>
      </c>
    </row>
    <row r="9" spans="1:10">
      <c r="B9" s="412" t="s">
        <v>486</v>
      </c>
      <c r="C9" s="410" t="s">
        <v>486</v>
      </c>
      <c r="D9" s="411"/>
      <c r="E9" s="412" t="s">
        <v>490</v>
      </c>
      <c r="F9" s="412" t="s">
        <v>491</v>
      </c>
    </row>
    <row r="10" spans="1:10">
      <c r="B10" s="412" t="s">
        <v>494</v>
      </c>
      <c r="C10" s="410" t="s">
        <v>495</v>
      </c>
      <c r="D10" s="412" t="s">
        <v>496</v>
      </c>
      <c r="E10" s="412" t="s">
        <v>496</v>
      </c>
      <c r="F10" s="412" t="s">
        <v>496</v>
      </c>
      <c r="H10" s="486" t="s">
        <v>117</v>
      </c>
    </row>
    <row r="11" spans="1:10">
      <c r="B11" s="412" t="s">
        <v>486</v>
      </c>
      <c r="C11" s="410" t="s">
        <v>486</v>
      </c>
      <c r="D11" s="411"/>
      <c r="E11" s="411"/>
      <c r="F11" s="411"/>
    </row>
    <row r="12" spans="1:10" ht="45">
      <c r="B12" s="412" t="s">
        <v>486</v>
      </c>
      <c r="C12" s="413" t="s">
        <v>497</v>
      </c>
      <c r="D12" s="411"/>
      <c r="E12" s="411"/>
      <c r="F12" s="411"/>
    </row>
    <row r="13" spans="1:10" ht="15">
      <c r="A13" s="383">
        <v>1904</v>
      </c>
      <c r="B13" s="412" t="s">
        <v>498</v>
      </c>
      <c r="C13" s="410" t="s">
        <v>499</v>
      </c>
      <c r="D13" s="411"/>
      <c r="E13" s="411">
        <v>457.84</v>
      </c>
      <c r="F13" s="411">
        <v>879.84</v>
      </c>
      <c r="H13" s="488">
        <f>E13*I4</f>
        <v>542.58338967136149</v>
      </c>
    </row>
    <row r="14" spans="1:10">
      <c r="B14" s="412" t="s">
        <v>486</v>
      </c>
      <c r="C14" s="410" t="s">
        <v>486</v>
      </c>
      <c r="D14" s="411"/>
      <c r="E14" s="411"/>
      <c r="F14" s="411"/>
    </row>
    <row r="15" spans="1:10" ht="15">
      <c r="B15" s="412" t="s">
        <v>486</v>
      </c>
      <c r="C15" s="409" t="s">
        <v>538</v>
      </c>
      <c r="D15" s="411"/>
      <c r="E15" s="411"/>
      <c r="F15" s="411"/>
    </row>
    <row r="16" spans="1:10" ht="15">
      <c r="A16" s="383">
        <v>1351</v>
      </c>
      <c r="B16" s="412" t="s">
        <v>539</v>
      </c>
      <c r="C16" s="410" t="s">
        <v>538</v>
      </c>
      <c r="D16" s="411"/>
      <c r="E16" s="411">
        <v>41213.230000000003</v>
      </c>
      <c r="F16" s="411">
        <v>31822.29</v>
      </c>
      <c r="H16" s="488">
        <f>E16*$I$4</f>
        <v>48841.54733685447</v>
      </c>
      <c r="I16" s="99" t="s">
        <v>733</v>
      </c>
    </row>
    <row r="17" spans="1:8">
      <c r="B17" s="412" t="s">
        <v>486</v>
      </c>
      <c r="C17" s="410" t="s">
        <v>486</v>
      </c>
      <c r="D17" s="411"/>
      <c r="E17" s="411"/>
      <c r="F17" s="411"/>
    </row>
    <row r="18" spans="1:8" ht="15">
      <c r="B18" s="412" t="s">
        <v>486</v>
      </c>
      <c r="C18" s="409" t="s">
        <v>500</v>
      </c>
      <c r="D18" s="411"/>
      <c r="E18" s="411"/>
      <c r="F18" s="411"/>
    </row>
    <row r="19" spans="1:8" ht="15">
      <c r="A19" s="383">
        <v>1307</v>
      </c>
      <c r="B19" s="412" t="s">
        <v>501</v>
      </c>
      <c r="C19" s="410" t="s">
        <v>502</v>
      </c>
      <c r="D19" s="411">
        <v>1119.6199999999999</v>
      </c>
      <c r="E19" s="411"/>
      <c r="F19" s="411">
        <v>1119.6199999999999</v>
      </c>
      <c r="H19" s="485">
        <f>D19*$I$4</f>
        <v>1326.8548286384976</v>
      </c>
    </row>
    <row r="20" spans="1:8">
      <c r="B20" s="412" t="s">
        <v>503</v>
      </c>
      <c r="C20" s="410" t="s">
        <v>504</v>
      </c>
      <c r="D20" s="411">
        <v>0</v>
      </c>
      <c r="E20" s="411"/>
      <c r="F20" s="411">
        <v>165.72</v>
      </c>
      <c r="H20" s="485">
        <f t="shared" ref="H20:H26" si="0">D20*$I$4</f>
        <v>0</v>
      </c>
    </row>
    <row r="21" spans="1:8">
      <c r="B21" s="412" t="s">
        <v>505</v>
      </c>
      <c r="C21" s="410" t="s">
        <v>506</v>
      </c>
      <c r="D21" s="411">
        <v>0</v>
      </c>
      <c r="E21" s="411"/>
      <c r="F21" s="411">
        <v>156.27000000000001</v>
      </c>
      <c r="H21" s="485">
        <f t="shared" si="0"/>
        <v>0</v>
      </c>
    </row>
    <row r="22" spans="1:8" ht="15">
      <c r="A22" s="383">
        <v>1357</v>
      </c>
      <c r="B22" s="412" t="s">
        <v>758</v>
      </c>
      <c r="C22" s="410" t="s">
        <v>486</v>
      </c>
      <c r="D22" s="411">
        <v>87.63</v>
      </c>
      <c r="E22" s="411"/>
      <c r="F22" s="411">
        <v>0</v>
      </c>
      <c r="H22" s="485">
        <f t="shared" si="0"/>
        <v>103.84977816901409</v>
      </c>
    </row>
    <row r="23" spans="1:8" ht="15">
      <c r="A23" s="383">
        <v>1357</v>
      </c>
      <c r="B23" s="412" t="s">
        <v>507</v>
      </c>
      <c r="C23" s="410" t="s">
        <v>508</v>
      </c>
      <c r="D23" s="411">
        <v>3152.25</v>
      </c>
      <c r="E23" s="411"/>
      <c r="F23" s="411">
        <v>4530.9399999999996</v>
      </c>
      <c r="H23" s="485">
        <f t="shared" si="0"/>
        <v>3735.7122359154932</v>
      </c>
    </row>
    <row r="24" spans="1:8">
      <c r="B24" s="412" t="s">
        <v>737</v>
      </c>
      <c r="C24" s="410" t="s">
        <v>725</v>
      </c>
      <c r="D24" s="411">
        <v>0</v>
      </c>
      <c r="E24" s="411"/>
      <c r="F24" s="411">
        <v>78.400000000000006</v>
      </c>
      <c r="H24" s="485">
        <f t="shared" si="0"/>
        <v>0</v>
      </c>
    </row>
    <row r="25" spans="1:8" ht="15">
      <c r="A25" s="383">
        <v>1357</v>
      </c>
      <c r="B25" s="412" t="s">
        <v>509</v>
      </c>
      <c r="C25" s="410" t="s">
        <v>510</v>
      </c>
      <c r="D25" s="411">
        <v>-3049.17</v>
      </c>
      <c r="E25" s="411"/>
      <c r="F25" s="411">
        <v>-2455.9499999999998</v>
      </c>
      <c r="H25" s="485">
        <f t="shared" si="0"/>
        <v>-3613.5527570422537</v>
      </c>
    </row>
    <row r="26" spans="1:8" ht="15">
      <c r="A26" s="383">
        <v>1357</v>
      </c>
      <c r="B26" s="412" t="s">
        <v>511</v>
      </c>
      <c r="C26" s="410" t="s">
        <v>512</v>
      </c>
      <c r="D26" s="414">
        <v>2270.9699999999998</v>
      </c>
      <c r="E26" s="411">
        <v>3581.3</v>
      </c>
      <c r="F26" s="411">
        <v>536.28</v>
      </c>
      <c r="H26" s="487">
        <f t="shared" si="0"/>
        <v>2691.3126866197181</v>
      </c>
    </row>
    <row r="27" spans="1:8">
      <c r="B27" s="412" t="s">
        <v>486</v>
      </c>
      <c r="C27" s="410" t="s">
        <v>486</v>
      </c>
      <c r="D27" s="411"/>
      <c r="E27" s="411"/>
      <c r="F27" s="411"/>
      <c r="H27" s="488">
        <f>SUM(H19:H26)</f>
        <v>4244.1767723004696</v>
      </c>
    </row>
    <row r="28" spans="1:8" ht="45">
      <c r="B28" s="412" t="s">
        <v>486</v>
      </c>
      <c r="C28" s="413" t="s">
        <v>513</v>
      </c>
      <c r="D28" s="411"/>
      <c r="E28" s="411"/>
      <c r="F28" s="411"/>
    </row>
    <row r="29" spans="1:8" ht="15">
      <c r="A29" s="383">
        <v>1307</v>
      </c>
      <c r="B29" s="412" t="s">
        <v>514</v>
      </c>
      <c r="C29" s="410" t="s">
        <v>515</v>
      </c>
      <c r="D29" s="411"/>
      <c r="E29" s="411">
        <v>368.16</v>
      </c>
      <c r="F29" s="411">
        <v>19567.97</v>
      </c>
      <c r="H29" s="488">
        <f>E29*$I$4</f>
        <v>436.30416901408455</v>
      </c>
    </row>
    <row r="30" spans="1:8">
      <c r="B30" s="412" t="s">
        <v>486</v>
      </c>
      <c r="C30" s="410" t="s">
        <v>486</v>
      </c>
      <c r="D30" s="411"/>
      <c r="E30" s="411"/>
      <c r="F30" s="411"/>
    </row>
    <row r="31" spans="1:8" ht="15">
      <c r="B31" s="412" t="s">
        <v>486</v>
      </c>
      <c r="C31" s="409" t="s">
        <v>500</v>
      </c>
      <c r="D31" s="411"/>
      <c r="E31" s="411"/>
      <c r="F31" s="411"/>
    </row>
    <row r="32" spans="1:8" ht="15">
      <c r="A32" s="383">
        <v>1358</v>
      </c>
      <c r="B32" s="412" t="s">
        <v>524</v>
      </c>
      <c r="C32" s="410" t="s">
        <v>525</v>
      </c>
      <c r="D32" s="411"/>
      <c r="E32" s="411">
        <v>2959.4</v>
      </c>
      <c r="F32" s="411">
        <v>0</v>
      </c>
      <c r="H32" s="488">
        <f>E32*$I$4</f>
        <v>3507.1668779342726</v>
      </c>
    </row>
    <row r="33" spans="1:10">
      <c r="B33" s="412" t="s">
        <v>486</v>
      </c>
      <c r="C33" s="410" t="s">
        <v>486</v>
      </c>
      <c r="D33" s="411"/>
      <c r="E33" s="414"/>
      <c r="F33" s="414"/>
      <c r="H33" s="487"/>
    </row>
    <row r="34" spans="1:10">
      <c r="B34" s="412" t="s">
        <v>486</v>
      </c>
      <c r="C34" s="410" t="s">
        <v>486</v>
      </c>
      <c r="D34" s="411"/>
      <c r="E34" s="411"/>
      <c r="F34" s="411"/>
    </row>
    <row r="35" spans="1:10">
      <c r="B35" s="412" t="s">
        <v>486</v>
      </c>
      <c r="C35" s="410" t="s">
        <v>518</v>
      </c>
      <c r="D35" s="411"/>
      <c r="E35" s="411">
        <v>48579.93</v>
      </c>
      <c r="F35" s="411">
        <v>56401.38</v>
      </c>
      <c r="H35" s="488">
        <f>H32+H29+H27+H16+H13</f>
        <v>57571.778545774658</v>
      </c>
    </row>
    <row r="36" spans="1:10">
      <c r="B36" s="412"/>
      <c r="C36" s="410"/>
      <c r="D36" s="411"/>
      <c r="E36" s="411"/>
      <c r="F36" s="411"/>
    </row>
    <row r="37" spans="1:10">
      <c r="B37" s="412"/>
      <c r="C37" s="410"/>
      <c r="D37" s="411"/>
      <c r="E37" s="411"/>
      <c r="F37" s="411"/>
    </row>
    <row r="38" spans="1:10">
      <c r="B38" s="410" t="s">
        <v>519</v>
      </c>
      <c r="C38" s="410" t="s">
        <v>486</v>
      </c>
      <c r="D38" s="411"/>
      <c r="E38" s="411"/>
      <c r="F38" s="411"/>
    </row>
    <row r="39" spans="1:10">
      <c r="B39" s="412" t="s">
        <v>484</v>
      </c>
      <c r="C39" s="410" t="s">
        <v>484</v>
      </c>
      <c r="D39" s="411" t="s">
        <v>484</v>
      </c>
      <c r="E39" s="411" t="s">
        <v>484</v>
      </c>
      <c r="F39" s="411" t="s">
        <v>484</v>
      </c>
    </row>
    <row r="40" spans="1:10">
      <c r="B40" s="412" t="s">
        <v>486</v>
      </c>
      <c r="C40" s="410" t="s">
        <v>486</v>
      </c>
      <c r="D40" s="411"/>
      <c r="E40" s="412" t="s">
        <v>490</v>
      </c>
      <c r="F40" s="412" t="s">
        <v>491</v>
      </c>
    </row>
    <row r="41" spans="1:10">
      <c r="B41" s="412" t="s">
        <v>494</v>
      </c>
      <c r="C41" s="410" t="s">
        <v>495</v>
      </c>
      <c r="D41" s="412" t="s">
        <v>496</v>
      </c>
      <c r="E41" s="412" t="s">
        <v>496</v>
      </c>
      <c r="F41" s="412" t="s">
        <v>496</v>
      </c>
    </row>
    <row r="42" spans="1:10">
      <c r="B42" s="412" t="s">
        <v>486</v>
      </c>
      <c r="C42" s="410" t="s">
        <v>486</v>
      </c>
      <c r="D42" s="411"/>
      <c r="E42" s="411"/>
      <c r="F42" s="411"/>
    </row>
    <row r="43" spans="1:10" ht="15">
      <c r="B43" s="412" t="s">
        <v>486</v>
      </c>
      <c r="C43" s="409" t="s">
        <v>520</v>
      </c>
      <c r="D43" s="411"/>
      <c r="E43" s="411"/>
      <c r="F43" s="411"/>
      <c r="I43" s="475" t="s">
        <v>665</v>
      </c>
      <c r="J43" s="439" t="s">
        <v>407</v>
      </c>
    </row>
    <row r="44" spans="1:10" ht="15">
      <c r="A44" s="383">
        <v>1842</v>
      </c>
      <c r="B44" s="412" t="s">
        <v>521</v>
      </c>
      <c r="C44" s="410" t="s">
        <v>520</v>
      </c>
      <c r="D44" s="411"/>
      <c r="E44" s="411">
        <v>25000</v>
      </c>
      <c r="F44" s="411">
        <v>25000</v>
      </c>
      <c r="H44" s="490">
        <f>E44*$I$4</f>
        <v>29627.347417840378</v>
      </c>
      <c r="I44" s="476">
        <v>28054</v>
      </c>
      <c r="J44" s="285">
        <f>I44-H44</f>
        <v>-1573.3474178403776</v>
      </c>
    </row>
    <row r="45" spans="1:10">
      <c r="B45" s="412" t="s">
        <v>486</v>
      </c>
      <c r="C45" s="410" t="s">
        <v>486</v>
      </c>
      <c r="D45" s="411"/>
      <c r="E45" s="411"/>
      <c r="F45" s="411"/>
      <c r="H45" s="491"/>
      <c r="I45" s="418"/>
    </row>
    <row r="46" spans="1:10" ht="30">
      <c r="B46" s="412" t="s">
        <v>486</v>
      </c>
      <c r="C46" s="413" t="s">
        <v>656</v>
      </c>
      <c r="D46" s="411"/>
      <c r="E46" s="411"/>
      <c r="F46" s="411"/>
      <c r="H46" s="491"/>
      <c r="I46" s="475" t="s">
        <v>665</v>
      </c>
      <c r="J46" s="439" t="s">
        <v>407</v>
      </c>
    </row>
    <row r="47" spans="1:10" ht="15">
      <c r="A47" s="383">
        <v>9410</v>
      </c>
      <c r="B47" s="412" t="s">
        <v>657</v>
      </c>
      <c r="C47" s="410" t="s">
        <v>658</v>
      </c>
      <c r="D47" s="411"/>
      <c r="E47" s="411">
        <v>11943.69</v>
      </c>
      <c r="F47" s="411">
        <v>6553.33</v>
      </c>
      <c r="H47" s="490">
        <f>E47*$I$4</f>
        <v>14154.394123239437</v>
      </c>
      <c r="I47" s="476">
        <v>13158</v>
      </c>
      <c r="J47" s="285">
        <f>I47-H47</f>
        <v>-996.39412323943725</v>
      </c>
    </row>
    <row r="48" spans="1:10">
      <c r="B48" s="412" t="s">
        <v>486</v>
      </c>
      <c r="C48" s="410" t="s">
        <v>486</v>
      </c>
      <c r="D48" s="411"/>
      <c r="E48" s="411"/>
      <c r="F48" s="411"/>
    </row>
    <row r="49" spans="1:9" ht="30">
      <c r="B49" s="412" t="s">
        <v>486</v>
      </c>
      <c r="C49" s="413" t="s">
        <v>545</v>
      </c>
      <c r="D49" s="411"/>
      <c r="E49" s="411"/>
      <c r="F49" s="411"/>
    </row>
    <row r="50" spans="1:9">
      <c r="B50" s="412" t="s">
        <v>486</v>
      </c>
      <c r="C50" s="441" t="s">
        <v>546</v>
      </c>
      <c r="D50" s="420"/>
      <c r="E50" s="420">
        <v>3846.23</v>
      </c>
      <c r="F50" s="420">
        <v>7091.19</v>
      </c>
      <c r="G50" s="309"/>
      <c r="H50" s="490">
        <f>E50*$I$4</f>
        <v>4558.1436983568074</v>
      </c>
      <c r="I50" s="433">
        <f>'GMBH P&amp;L 31.07.2020'!H59</f>
        <v>7127.887234539694</v>
      </c>
    </row>
    <row r="51" spans="1:9">
      <c r="B51" s="412" t="s">
        <v>486</v>
      </c>
      <c r="C51" s="410" t="s">
        <v>486</v>
      </c>
      <c r="D51" s="411"/>
      <c r="E51" s="411"/>
      <c r="F51" s="411"/>
    </row>
    <row r="52" spans="1:9" ht="15">
      <c r="B52" s="412" t="s">
        <v>486</v>
      </c>
      <c r="C52" s="409" t="s">
        <v>548</v>
      </c>
      <c r="D52" s="411"/>
      <c r="E52" s="411"/>
      <c r="F52" s="411"/>
    </row>
    <row r="53" spans="1:9">
      <c r="A53" s="418">
        <v>2688</v>
      </c>
      <c r="B53" s="412" t="s">
        <v>549</v>
      </c>
      <c r="C53" s="410" t="s">
        <v>550</v>
      </c>
      <c r="D53" s="411">
        <v>1905</v>
      </c>
      <c r="E53" s="411"/>
      <c r="F53" s="411">
        <v>1040</v>
      </c>
      <c r="H53" s="485">
        <f t="shared" ref="H53:H54" si="1">D53*$I$4</f>
        <v>2257.6038732394368</v>
      </c>
    </row>
    <row r="54" spans="1:9">
      <c r="A54" s="418">
        <v>2688</v>
      </c>
      <c r="B54" s="412" t="s">
        <v>551</v>
      </c>
      <c r="C54" s="410" t="s">
        <v>552</v>
      </c>
      <c r="D54" s="414">
        <v>1187.93</v>
      </c>
      <c r="E54" s="411">
        <v>3092.93</v>
      </c>
      <c r="F54" s="411">
        <v>1436.91</v>
      </c>
      <c r="H54" s="487">
        <f t="shared" si="1"/>
        <v>1407.8085927230049</v>
      </c>
    </row>
    <row r="55" spans="1:9">
      <c r="B55" s="412" t="s">
        <v>486</v>
      </c>
      <c r="C55" s="410" t="s">
        <v>486</v>
      </c>
      <c r="D55" s="411"/>
      <c r="E55" s="411"/>
      <c r="F55" s="411"/>
      <c r="H55" s="488">
        <f>SUM(H53:H54)</f>
        <v>3665.4124659624417</v>
      </c>
    </row>
    <row r="56" spans="1:9" ht="15">
      <c r="B56" s="412" t="s">
        <v>486</v>
      </c>
      <c r="C56" s="409" t="s">
        <v>523</v>
      </c>
      <c r="D56" s="411"/>
      <c r="E56" s="411"/>
      <c r="F56" s="411"/>
    </row>
    <row r="57" spans="1:9">
      <c r="B57" s="412" t="s">
        <v>524</v>
      </c>
      <c r="C57" s="410" t="s">
        <v>525</v>
      </c>
      <c r="D57" s="411"/>
      <c r="E57" s="411">
        <v>0</v>
      </c>
      <c r="F57" s="411">
        <v>2600</v>
      </c>
    </row>
    <row r="58" spans="1:9">
      <c r="B58" s="412" t="s">
        <v>486</v>
      </c>
      <c r="C58" s="410" t="s">
        <v>486</v>
      </c>
      <c r="D58" s="411"/>
      <c r="E58" s="411"/>
      <c r="F58" s="411"/>
    </row>
    <row r="59" spans="1:9" ht="15">
      <c r="B59" s="412" t="s">
        <v>486</v>
      </c>
      <c r="C59" s="409" t="s">
        <v>9</v>
      </c>
      <c r="D59" s="411"/>
      <c r="E59" s="411"/>
      <c r="F59" s="411"/>
    </row>
    <row r="60" spans="1:9" ht="15">
      <c r="A60" s="383">
        <v>2689</v>
      </c>
      <c r="B60" s="412" t="s">
        <v>526</v>
      </c>
      <c r="C60" s="410" t="s">
        <v>9</v>
      </c>
      <c r="D60" s="411">
        <v>4697.08</v>
      </c>
      <c r="E60" s="411"/>
      <c r="F60" s="411">
        <v>10689.59</v>
      </c>
      <c r="H60" s="485">
        <f t="shared" ref="H60:H62" si="2">D60*$I$4</f>
        <v>5566.4808403755869</v>
      </c>
    </row>
    <row r="61" spans="1:9">
      <c r="B61" s="412" t="s">
        <v>527</v>
      </c>
      <c r="C61" s="410" t="s">
        <v>528</v>
      </c>
      <c r="D61" s="411">
        <v>0</v>
      </c>
      <c r="E61" s="411"/>
      <c r="F61" s="411">
        <v>1165.23</v>
      </c>
      <c r="H61" s="485">
        <f t="shared" si="2"/>
        <v>0</v>
      </c>
    </row>
    <row r="62" spans="1:9">
      <c r="B62" s="412" t="s">
        <v>661</v>
      </c>
      <c r="C62" s="410" t="s">
        <v>529</v>
      </c>
      <c r="D62" s="414">
        <v>0</v>
      </c>
      <c r="E62" s="411">
        <v>4697.08</v>
      </c>
      <c r="F62" s="411">
        <v>825.13</v>
      </c>
      <c r="H62" s="487">
        <f t="shared" si="2"/>
        <v>0</v>
      </c>
    </row>
    <row r="63" spans="1:9">
      <c r="B63" s="412" t="s">
        <v>486</v>
      </c>
      <c r="C63" s="410" t="s">
        <v>486</v>
      </c>
      <c r="D63" s="411"/>
      <c r="E63" s="411"/>
      <c r="F63" s="411"/>
      <c r="H63" s="488">
        <f>SUM(H60:H62)</f>
        <v>5566.4808403755869</v>
      </c>
    </row>
    <row r="64" spans="1:9" ht="30">
      <c r="B64" s="412" t="s">
        <v>486</v>
      </c>
      <c r="C64" s="413" t="s">
        <v>759</v>
      </c>
      <c r="D64" s="411"/>
      <c r="E64" s="411"/>
      <c r="F64" s="411"/>
    </row>
    <row r="65" spans="2:8">
      <c r="B65" s="412" t="s">
        <v>661</v>
      </c>
      <c r="C65" s="410" t="s">
        <v>529</v>
      </c>
      <c r="D65" s="411"/>
      <c r="E65" s="411"/>
      <c r="F65" s="411"/>
    </row>
    <row r="66" spans="2:8">
      <c r="B66" s="412" t="s">
        <v>486</v>
      </c>
      <c r="C66" s="410" t="s">
        <v>486</v>
      </c>
      <c r="D66" s="411"/>
      <c r="E66" s="411"/>
      <c r="F66" s="411"/>
    </row>
    <row r="67" spans="2:8" ht="45">
      <c r="B67" s="412" t="s">
        <v>486</v>
      </c>
      <c r="C67" s="413" t="s">
        <v>760</v>
      </c>
      <c r="D67" s="411"/>
      <c r="E67" s="411"/>
      <c r="F67" s="411"/>
    </row>
    <row r="68" spans="2:8">
      <c r="B68" s="412" t="s">
        <v>526</v>
      </c>
      <c r="C68" s="410" t="s">
        <v>9</v>
      </c>
      <c r="D68" s="411"/>
      <c r="E68" s="411"/>
      <c r="F68" s="411"/>
    </row>
    <row r="69" spans="2:8">
      <c r="B69" s="412" t="s">
        <v>527</v>
      </c>
      <c r="C69" s="410" t="s">
        <v>528</v>
      </c>
      <c r="D69" s="411"/>
      <c r="E69" s="411"/>
      <c r="F69" s="411"/>
    </row>
    <row r="70" spans="2:8">
      <c r="B70" s="412" t="s">
        <v>661</v>
      </c>
      <c r="C70" s="410" t="s">
        <v>529</v>
      </c>
      <c r="D70" s="411"/>
      <c r="E70" s="411"/>
      <c r="F70" s="411"/>
    </row>
    <row r="71" spans="2:8">
      <c r="B71" s="412" t="s">
        <v>486</v>
      </c>
      <c r="C71" s="410" t="s">
        <v>486</v>
      </c>
      <c r="D71" s="411"/>
      <c r="E71" s="414"/>
      <c r="F71" s="414"/>
      <c r="H71" s="487"/>
    </row>
    <row r="72" spans="2:8">
      <c r="B72" s="412" t="s">
        <v>486</v>
      </c>
      <c r="C72" s="410" t="s">
        <v>486</v>
      </c>
      <c r="D72" s="411"/>
      <c r="E72" s="411"/>
      <c r="F72" s="411"/>
    </row>
    <row r="73" spans="2:8">
      <c r="B73" s="412" t="s">
        <v>486</v>
      </c>
      <c r="C73" s="410" t="s">
        <v>530</v>
      </c>
      <c r="D73" s="411"/>
      <c r="E73" s="411">
        <v>48579.93</v>
      </c>
      <c r="F73" s="411">
        <v>56401.38</v>
      </c>
      <c r="H73" s="488">
        <f>H63+H55+I50+I47+I44</f>
        <v>57571.78054087772</v>
      </c>
    </row>
    <row r="74" spans="2:8" ht="13.5" thickBot="1">
      <c r="B74" s="412" t="s">
        <v>486</v>
      </c>
      <c r="C74" s="410" t="s">
        <v>486</v>
      </c>
      <c r="D74" s="411"/>
      <c r="E74" s="415"/>
      <c r="F74" s="415"/>
      <c r="H74" s="489"/>
    </row>
    <row r="75" spans="2:8" ht="13.5" thickTop="1"/>
    <row r="77" spans="2:8">
      <c r="H77" s="485">
        <f>H73-H35</f>
        <v>1.9951030626543798E-3</v>
      </c>
    </row>
  </sheetData>
  <pageMargins left="0.7" right="0.7" top="0.75" bottom="0.75" header="0.3" footer="0.3"/>
  <pageSetup paperSize="9" orientation="portrait" r:id="rId1"/>
  <ignoredErrors>
    <ignoredError sqref="B13:B71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16A4-A717-49AA-A882-7B666175F096}">
  <dimension ref="A1:K61"/>
  <sheetViews>
    <sheetView workbookViewId="0">
      <selection activeCell="H73" sqref="H73"/>
    </sheetView>
  </sheetViews>
  <sheetFormatPr defaultRowHeight="12.75"/>
  <cols>
    <col min="2" max="2" width="21.5703125" customWidth="1"/>
    <col min="3" max="3" width="38.42578125" bestFit="1" customWidth="1"/>
    <col min="4" max="4" width="8.5703125" bestFit="1" customWidth="1"/>
    <col min="5" max="5" width="12.5703125" bestFit="1" customWidth="1"/>
    <col min="6" max="6" width="12.42578125" hidden="1" customWidth="1"/>
    <col min="8" max="8" width="10.5703125" style="418" bestFit="1" customWidth="1"/>
    <col min="9" max="9" width="9.5703125" bestFit="1" customWidth="1"/>
    <col min="11" max="11" width="23.42578125" bestFit="1" customWidth="1"/>
  </cols>
  <sheetData>
    <row r="1" spans="1:11" ht="15">
      <c r="B1" s="409" t="s">
        <v>667</v>
      </c>
      <c r="C1" s="410" t="s">
        <v>486</v>
      </c>
      <c r="D1" s="411"/>
      <c r="E1" s="411"/>
      <c r="F1" s="411"/>
    </row>
    <row r="2" spans="1:11" ht="15">
      <c r="B2" s="410" t="s">
        <v>668</v>
      </c>
      <c r="C2" s="410" t="s">
        <v>486</v>
      </c>
      <c r="D2" s="411"/>
      <c r="E2" s="411"/>
      <c r="F2" s="411"/>
      <c r="J2" s="391">
        <v>3.4984000000000002</v>
      </c>
      <c r="K2" s="380" t="s">
        <v>765</v>
      </c>
    </row>
    <row r="3" spans="1:11" ht="15">
      <c r="B3" s="410" t="s">
        <v>761</v>
      </c>
      <c r="C3" s="410" t="s">
        <v>486</v>
      </c>
      <c r="D3" s="411"/>
      <c r="E3" s="411"/>
      <c r="F3" s="411"/>
      <c r="J3" s="392">
        <v>3.8714</v>
      </c>
      <c r="K3" s="382" t="s">
        <v>766</v>
      </c>
    </row>
    <row r="4" spans="1:11" ht="15">
      <c r="B4" s="412" t="s">
        <v>486</v>
      </c>
      <c r="C4" s="410" t="s">
        <v>486</v>
      </c>
      <c r="D4" s="411"/>
      <c r="E4" s="411"/>
      <c r="F4" s="411"/>
      <c r="J4" s="392">
        <f>J3/J2</f>
        <v>1.1066201692202149</v>
      </c>
      <c r="K4" s="382" t="s">
        <v>492</v>
      </c>
    </row>
    <row r="5" spans="1:11" ht="15">
      <c r="B5" s="409" t="s">
        <v>488</v>
      </c>
      <c r="C5" s="410" t="s">
        <v>486</v>
      </c>
      <c r="D5" s="411"/>
      <c r="E5" s="411"/>
      <c r="F5" s="411"/>
    </row>
    <row r="6" spans="1:11">
      <c r="B6" s="412" t="s">
        <v>486</v>
      </c>
      <c r="C6" s="410" t="s">
        <v>486</v>
      </c>
      <c r="D6" s="411"/>
      <c r="E6" s="411"/>
      <c r="F6" s="411"/>
    </row>
    <row r="7" spans="1:11">
      <c r="B7" s="412" t="s">
        <v>484</v>
      </c>
      <c r="C7" s="410" t="s">
        <v>484</v>
      </c>
      <c r="D7" s="411" t="s">
        <v>484</v>
      </c>
      <c r="E7" s="411" t="s">
        <v>484</v>
      </c>
      <c r="F7" s="411" t="s">
        <v>484</v>
      </c>
    </row>
    <row r="8" spans="1:11">
      <c r="B8" s="412" t="s">
        <v>486</v>
      </c>
      <c r="C8" s="410" t="s">
        <v>486</v>
      </c>
      <c r="D8" s="411"/>
      <c r="E8" s="412" t="s">
        <v>490</v>
      </c>
      <c r="F8" s="412" t="s">
        <v>491</v>
      </c>
      <c r="H8" s="492" t="s">
        <v>117</v>
      </c>
    </row>
    <row r="9" spans="1:11">
      <c r="B9" s="412" t="s">
        <v>494</v>
      </c>
      <c r="C9" s="410" t="s">
        <v>495</v>
      </c>
      <c r="D9" s="412" t="s">
        <v>496</v>
      </c>
      <c r="E9" s="412" t="s">
        <v>496</v>
      </c>
      <c r="F9" s="412" t="s">
        <v>496</v>
      </c>
    </row>
    <row r="10" spans="1:11">
      <c r="B10" s="412" t="s">
        <v>486</v>
      </c>
      <c r="C10" s="410" t="s">
        <v>486</v>
      </c>
      <c r="D10" s="411"/>
      <c r="E10" s="411"/>
      <c r="F10" s="411"/>
    </row>
    <row r="11" spans="1:11" ht="15">
      <c r="B11" s="412" t="s">
        <v>486</v>
      </c>
      <c r="C11" s="409" t="s">
        <v>573</v>
      </c>
      <c r="D11" s="411"/>
      <c r="E11" s="411"/>
      <c r="F11" s="411"/>
    </row>
    <row r="12" spans="1:11">
      <c r="A12" s="142">
        <v>7023</v>
      </c>
      <c r="B12" s="412" t="s">
        <v>572</v>
      </c>
      <c r="C12" s="410" t="s">
        <v>670</v>
      </c>
      <c r="D12" s="411"/>
      <c r="E12" s="411">
        <v>37096.550000000003</v>
      </c>
      <c r="F12" s="411">
        <v>95730.94</v>
      </c>
      <c r="H12" s="427">
        <f>E12*$J$4</f>
        <v>41051.790438486169</v>
      </c>
    </row>
    <row r="13" spans="1:11">
      <c r="B13" s="412" t="s">
        <v>486</v>
      </c>
      <c r="C13" s="410" t="s">
        <v>486</v>
      </c>
      <c r="D13" s="411"/>
      <c r="E13" s="411"/>
      <c r="F13" s="411"/>
    </row>
    <row r="14" spans="1:11" ht="30">
      <c r="B14" s="412" t="s">
        <v>486</v>
      </c>
      <c r="C14" s="413" t="s">
        <v>712</v>
      </c>
      <c r="D14" s="411"/>
      <c r="E14" s="411"/>
      <c r="F14" s="411"/>
    </row>
    <row r="15" spans="1:11">
      <c r="A15" s="142">
        <v>7021</v>
      </c>
      <c r="B15" s="412" t="s">
        <v>713</v>
      </c>
      <c r="C15" s="410" t="s">
        <v>714</v>
      </c>
      <c r="D15" s="411"/>
      <c r="E15" s="411">
        <v>1479.7</v>
      </c>
      <c r="F15" s="411">
        <v>0</v>
      </c>
      <c r="H15" s="427">
        <f>E15*$J$4</f>
        <v>1637.465864395152</v>
      </c>
    </row>
    <row r="16" spans="1:11">
      <c r="B16" s="412" t="s">
        <v>486</v>
      </c>
      <c r="C16" s="410" t="s">
        <v>486</v>
      </c>
      <c r="D16" s="411"/>
      <c r="E16" s="411"/>
      <c r="F16" s="411"/>
    </row>
    <row r="17" spans="1:8" ht="15">
      <c r="B17" s="412" t="s">
        <v>486</v>
      </c>
      <c r="C17" s="409" t="s">
        <v>577</v>
      </c>
      <c r="D17" s="411"/>
      <c r="E17" s="411"/>
      <c r="F17" s="411"/>
    </row>
    <row r="18" spans="1:8">
      <c r="A18" s="142">
        <v>7020</v>
      </c>
      <c r="B18" s="412" t="s">
        <v>576</v>
      </c>
      <c r="C18" s="410" t="s">
        <v>577</v>
      </c>
      <c r="D18" s="411"/>
      <c r="E18" s="411">
        <v>-17333.32</v>
      </c>
      <c r="F18" s="411">
        <v>-52999.99</v>
      </c>
      <c r="H18" s="427">
        <f>E18*$J$4</f>
        <v>-19181.401511548134</v>
      </c>
    </row>
    <row r="19" spans="1:8">
      <c r="B19" s="412" t="s">
        <v>486</v>
      </c>
      <c r="C19" s="410" t="s">
        <v>486</v>
      </c>
      <c r="D19" s="411"/>
      <c r="E19" s="411"/>
      <c r="F19" s="411"/>
    </row>
    <row r="20" spans="1:8" ht="45">
      <c r="B20" s="412" t="s">
        <v>486</v>
      </c>
      <c r="C20" s="413" t="s">
        <v>671</v>
      </c>
      <c r="D20" s="411"/>
      <c r="E20" s="411"/>
      <c r="F20" s="411"/>
    </row>
    <row r="21" spans="1:8">
      <c r="A21" s="142">
        <v>7020</v>
      </c>
      <c r="B21" s="412" t="s">
        <v>579</v>
      </c>
      <c r="C21" s="410" t="s">
        <v>580</v>
      </c>
      <c r="D21" s="411">
        <v>-3848.88</v>
      </c>
      <c r="E21" s="411"/>
      <c r="F21" s="411">
        <v>-7701.35</v>
      </c>
      <c r="H21" s="428">
        <f>D21*$J$4</f>
        <v>-4259.2482369083009</v>
      </c>
    </row>
    <row r="22" spans="1:8">
      <c r="A22" s="142">
        <v>7020</v>
      </c>
      <c r="B22" s="412" t="s">
        <v>582</v>
      </c>
      <c r="C22" s="410" t="s">
        <v>672</v>
      </c>
      <c r="D22" s="414">
        <v>-171.23</v>
      </c>
      <c r="E22" s="411">
        <v>-4020.11</v>
      </c>
      <c r="F22" s="411">
        <v>0</v>
      </c>
      <c r="H22" s="430">
        <f>D22*$J$4</f>
        <v>-189.48657157557739</v>
      </c>
    </row>
    <row r="23" spans="1:8">
      <c r="B23" s="412" t="s">
        <v>486</v>
      </c>
      <c r="C23" s="410" t="s">
        <v>486</v>
      </c>
      <c r="D23" s="411"/>
      <c r="E23" s="411"/>
      <c r="F23" s="411"/>
      <c r="H23" s="427">
        <f>SUM(H21:H22)</f>
        <v>-4448.7348084838786</v>
      </c>
    </row>
    <row r="24" spans="1:8" ht="30">
      <c r="B24" s="412" t="s">
        <v>486</v>
      </c>
      <c r="C24" s="413" t="s">
        <v>673</v>
      </c>
      <c r="D24" s="411"/>
      <c r="E24" s="411"/>
      <c r="F24" s="411"/>
    </row>
    <row r="25" spans="1:8">
      <c r="B25" s="412" t="s">
        <v>486</v>
      </c>
      <c r="C25" s="410" t="s">
        <v>486</v>
      </c>
      <c r="D25" s="411"/>
      <c r="E25" s="411"/>
      <c r="F25" s="411"/>
    </row>
    <row r="26" spans="1:8" ht="75">
      <c r="B26" s="412" t="s">
        <v>486</v>
      </c>
      <c r="C26" s="413" t="s">
        <v>674</v>
      </c>
      <c r="D26" s="411"/>
      <c r="E26" s="411"/>
      <c r="F26" s="411"/>
    </row>
    <row r="27" spans="1:8">
      <c r="A27" s="142">
        <v>7021</v>
      </c>
      <c r="B27" s="412" t="s">
        <v>586</v>
      </c>
      <c r="C27" s="410" t="s">
        <v>675</v>
      </c>
      <c r="D27" s="411"/>
      <c r="E27" s="411">
        <v>-246.16</v>
      </c>
      <c r="F27" s="411">
        <v>-246.16</v>
      </c>
      <c r="H27" s="427">
        <f>E27*$J$4</f>
        <v>-272.40562085524812</v>
      </c>
    </row>
    <row r="28" spans="1:8">
      <c r="B28" s="412" t="s">
        <v>486</v>
      </c>
      <c r="C28" s="410" t="s">
        <v>486</v>
      </c>
      <c r="D28" s="411"/>
      <c r="E28" s="411"/>
      <c r="F28" s="411"/>
    </row>
    <row r="29" spans="1:8" ht="15">
      <c r="B29" s="412" t="s">
        <v>486</v>
      </c>
      <c r="C29" s="409" t="s">
        <v>676</v>
      </c>
      <c r="D29" s="411"/>
      <c r="E29" s="411"/>
      <c r="F29" s="411"/>
    </row>
    <row r="30" spans="1:8">
      <c r="A30" s="142">
        <v>7021</v>
      </c>
      <c r="B30" s="412" t="s">
        <v>589</v>
      </c>
      <c r="C30" s="410" t="s">
        <v>590</v>
      </c>
      <c r="D30" s="411"/>
      <c r="E30" s="411">
        <v>-3293.01</v>
      </c>
      <c r="F30" s="411">
        <v>-3293.01</v>
      </c>
      <c r="H30" s="427">
        <f>E30*$J$4</f>
        <v>-3644.11128344386</v>
      </c>
    </row>
    <row r="31" spans="1:8">
      <c r="B31" s="412" t="s">
        <v>486</v>
      </c>
      <c r="C31" s="410" t="s">
        <v>486</v>
      </c>
      <c r="D31" s="411"/>
      <c r="E31" s="411"/>
      <c r="F31" s="411"/>
      <c r="H31" s="427"/>
    </row>
    <row r="32" spans="1:8" ht="30">
      <c r="B32" s="412" t="s">
        <v>486</v>
      </c>
      <c r="C32" s="413" t="s">
        <v>743</v>
      </c>
      <c r="D32" s="411"/>
      <c r="E32" s="411"/>
      <c r="F32" s="411"/>
    </row>
    <row r="33" spans="1:8">
      <c r="A33" s="142">
        <v>7020</v>
      </c>
      <c r="B33" s="412" t="s">
        <v>744</v>
      </c>
      <c r="C33" s="410" t="s">
        <v>745</v>
      </c>
      <c r="D33" s="411"/>
      <c r="E33" s="411">
        <v>-25</v>
      </c>
      <c r="F33" s="411">
        <v>0</v>
      </c>
      <c r="H33" s="427">
        <f>E33*$J$4</f>
        <v>-27.665504230505373</v>
      </c>
    </row>
    <row r="34" spans="1:8">
      <c r="B34" s="412" t="s">
        <v>486</v>
      </c>
      <c r="C34" s="410" t="s">
        <v>486</v>
      </c>
      <c r="D34" s="411"/>
      <c r="E34" s="411"/>
      <c r="F34" s="411"/>
    </row>
    <row r="35" spans="1:8" ht="30">
      <c r="B35" s="412" t="s">
        <v>486</v>
      </c>
      <c r="C35" s="413" t="s">
        <v>677</v>
      </c>
      <c r="D35" s="411"/>
      <c r="E35" s="411"/>
      <c r="F35" s="411"/>
    </row>
    <row r="36" spans="1:8">
      <c r="A36" s="142">
        <v>7026</v>
      </c>
      <c r="B36" s="412" t="s">
        <v>595</v>
      </c>
      <c r="C36" s="410" t="s">
        <v>702</v>
      </c>
      <c r="D36" s="411">
        <v>-8400</v>
      </c>
      <c r="E36" s="411"/>
      <c r="F36" s="411">
        <v>-18479.72</v>
      </c>
      <c r="H36" s="428">
        <f>D36*$J$4</f>
        <v>-9295.6094214498044</v>
      </c>
    </row>
    <row r="37" spans="1:8">
      <c r="B37" s="412" t="s">
        <v>598</v>
      </c>
      <c r="C37" s="410" t="s">
        <v>599</v>
      </c>
      <c r="D37" s="411">
        <v>0</v>
      </c>
      <c r="E37" s="411"/>
      <c r="F37" s="411">
        <v>-234.96</v>
      </c>
      <c r="H37" s="428">
        <f t="shared" ref="H37:H42" si="0">D37*$J$4</f>
        <v>0</v>
      </c>
    </row>
    <row r="38" spans="1:8">
      <c r="B38" s="412" t="s">
        <v>603</v>
      </c>
      <c r="C38" s="410" t="s">
        <v>604</v>
      </c>
      <c r="D38" s="411">
        <v>0</v>
      </c>
      <c r="E38" s="411"/>
      <c r="F38" s="411">
        <v>-529.70000000000005</v>
      </c>
      <c r="H38" s="428">
        <f t="shared" si="0"/>
        <v>0</v>
      </c>
    </row>
    <row r="39" spans="1:8">
      <c r="B39" s="412" t="s">
        <v>606</v>
      </c>
      <c r="C39" s="410" t="s">
        <v>607</v>
      </c>
      <c r="D39" s="411">
        <v>0</v>
      </c>
      <c r="E39" s="411"/>
      <c r="F39" s="411">
        <v>-596.11</v>
      </c>
      <c r="H39" s="428">
        <f t="shared" si="0"/>
        <v>0</v>
      </c>
    </row>
    <row r="40" spans="1:8">
      <c r="B40" s="412" t="s">
        <v>609</v>
      </c>
      <c r="C40" s="410" t="s">
        <v>610</v>
      </c>
      <c r="D40" s="411">
        <v>0</v>
      </c>
      <c r="E40" s="411"/>
      <c r="F40" s="411">
        <v>-137</v>
      </c>
      <c r="H40" s="428">
        <f t="shared" si="0"/>
        <v>0</v>
      </c>
    </row>
    <row r="41" spans="1:8">
      <c r="B41" s="412" t="s">
        <v>612</v>
      </c>
      <c r="C41" s="410" t="s">
        <v>613</v>
      </c>
      <c r="D41" s="411">
        <v>0</v>
      </c>
      <c r="E41" s="411"/>
      <c r="F41" s="411">
        <v>-1871.98</v>
      </c>
      <c r="H41" s="428">
        <f t="shared" si="0"/>
        <v>0</v>
      </c>
    </row>
    <row r="42" spans="1:8">
      <c r="B42" s="412" t="s">
        <v>615</v>
      </c>
      <c r="C42" s="410" t="s">
        <v>616</v>
      </c>
      <c r="D42" s="414">
        <v>0</v>
      </c>
      <c r="E42" s="411">
        <v>-8400</v>
      </c>
      <c r="F42" s="411">
        <v>-288</v>
      </c>
      <c r="H42" s="430">
        <f t="shared" si="0"/>
        <v>0</v>
      </c>
    </row>
    <row r="43" spans="1:8">
      <c r="B43" s="412" t="s">
        <v>486</v>
      </c>
      <c r="C43" s="410" t="s">
        <v>486</v>
      </c>
      <c r="D43" s="411"/>
      <c r="E43" s="411"/>
      <c r="F43" s="411"/>
      <c r="H43" s="427">
        <f>SUM(H36:H42)</f>
        <v>-9295.6094214498044</v>
      </c>
    </row>
    <row r="44" spans="1:8" ht="30">
      <c r="B44" s="412" t="s">
        <v>486</v>
      </c>
      <c r="C44" s="413" t="s">
        <v>680</v>
      </c>
      <c r="D44" s="411"/>
      <c r="E44" s="411"/>
      <c r="F44" s="411"/>
    </row>
    <row r="45" spans="1:8">
      <c r="B45" s="412" t="s">
        <v>622</v>
      </c>
      <c r="C45" s="410" t="s">
        <v>623</v>
      </c>
      <c r="D45" s="411">
        <v>0</v>
      </c>
      <c r="E45" s="411"/>
      <c r="F45" s="411">
        <v>-239.5</v>
      </c>
      <c r="H45" s="428">
        <f t="shared" ref="H45:H49" si="1">D45*$J$4</f>
        <v>0</v>
      </c>
    </row>
    <row r="46" spans="1:8">
      <c r="A46" s="142">
        <v>7021</v>
      </c>
      <c r="B46" s="412" t="s">
        <v>625</v>
      </c>
      <c r="C46" s="410" t="s">
        <v>626</v>
      </c>
      <c r="D46" s="411">
        <v>-520.29</v>
      </c>
      <c r="E46" s="411"/>
      <c r="F46" s="411">
        <v>-346.64</v>
      </c>
      <c r="H46" s="428">
        <f t="shared" si="1"/>
        <v>-575.76340784358558</v>
      </c>
    </row>
    <row r="47" spans="1:8">
      <c r="A47" s="142">
        <v>7021</v>
      </c>
      <c r="B47" s="412" t="s">
        <v>630</v>
      </c>
      <c r="C47" s="410" t="s">
        <v>703</v>
      </c>
      <c r="D47" s="411">
        <v>-232.1</v>
      </c>
      <c r="E47" s="411"/>
      <c r="F47" s="411">
        <v>-820</v>
      </c>
      <c r="H47" s="428">
        <f t="shared" si="1"/>
        <v>-256.84654127601186</v>
      </c>
    </row>
    <row r="48" spans="1:8">
      <c r="A48" s="142">
        <v>7021</v>
      </c>
      <c r="B48" s="412" t="s">
        <v>633</v>
      </c>
      <c r="C48" s="410" t="s">
        <v>746</v>
      </c>
      <c r="D48" s="411">
        <v>-33.4</v>
      </c>
      <c r="E48" s="411"/>
      <c r="F48" s="411">
        <v>-680.4</v>
      </c>
      <c r="H48" s="428">
        <f t="shared" si="1"/>
        <v>-36.961113651955174</v>
      </c>
    </row>
    <row r="49" spans="1:9">
      <c r="A49" s="142">
        <v>7021</v>
      </c>
      <c r="B49" s="412" t="s">
        <v>638</v>
      </c>
      <c r="C49" s="410" t="s">
        <v>639</v>
      </c>
      <c r="D49" s="414">
        <v>-250.74</v>
      </c>
      <c r="E49" s="411">
        <v>-1036.53</v>
      </c>
      <c r="F49" s="411">
        <v>-175.23</v>
      </c>
      <c r="H49" s="430">
        <f t="shared" si="1"/>
        <v>-277.47394123027669</v>
      </c>
    </row>
    <row r="50" spans="1:9">
      <c r="B50" s="412" t="s">
        <v>486</v>
      </c>
      <c r="C50" s="410" t="s">
        <v>486</v>
      </c>
      <c r="D50" s="411"/>
      <c r="E50" s="411"/>
      <c r="F50" s="411"/>
      <c r="H50" s="427">
        <f>SUM(H45:H49)</f>
        <v>-1147.0450040018293</v>
      </c>
    </row>
    <row r="51" spans="1:9">
      <c r="B51" s="412"/>
      <c r="C51" s="410"/>
      <c r="D51" s="411"/>
      <c r="E51" s="411"/>
      <c r="F51" s="411"/>
      <c r="H51" s="427"/>
    </row>
    <row r="52" spans="1:9">
      <c r="A52" s="142">
        <v>7901</v>
      </c>
      <c r="B52" s="142">
        <v>9004</v>
      </c>
      <c r="C52" s="410" t="s">
        <v>470</v>
      </c>
      <c r="D52" s="411"/>
      <c r="E52" s="411"/>
      <c r="F52" s="411"/>
      <c r="H52" s="427">
        <f>-('GMBH BS 31.07.2020'!J44+'GMBH BS 31.07.2020'!J47)+301.83</f>
        <v>2871.5715410798148</v>
      </c>
    </row>
    <row r="53" spans="1:9">
      <c r="B53" s="412"/>
      <c r="C53" s="410"/>
      <c r="D53" s="411"/>
      <c r="E53" s="411"/>
      <c r="F53" s="411"/>
      <c r="H53" s="427"/>
    </row>
    <row r="54" spans="1:9" ht="15">
      <c r="B54" s="412" t="s">
        <v>486</v>
      </c>
      <c r="C54" s="409" t="s">
        <v>748</v>
      </c>
      <c r="D54" s="411"/>
      <c r="E54" s="411"/>
      <c r="F54" s="411"/>
    </row>
    <row r="55" spans="1:9">
      <c r="A55" s="142">
        <v>7028</v>
      </c>
      <c r="B55" s="412" t="s">
        <v>762</v>
      </c>
      <c r="C55" s="410" t="s">
        <v>749</v>
      </c>
      <c r="D55" s="411"/>
      <c r="E55" s="411">
        <v>-375.89</v>
      </c>
      <c r="F55" s="411">
        <v>0</v>
      </c>
      <c r="H55" s="427">
        <f>E55*$J$4</f>
        <v>-415.96745540818654</v>
      </c>
    </row>
    <row r="56" spans="1:9">
      <c r="B56" s="412" t="s">
        <v>486</v>
      </c>
      <c r="C56" s="410" t="s">
        <v>486</v>
      </c>
      <c r="D56" s="411"/>
      <c r="E56" s="414"/>
      <c r="F56" s="414"/>
      <c r="H56" s="472"/>
    </row>
    <row r="57" spans="1:9">
      <c r="B57" s="412" t="s">
        <v>486</v>
      </c>
      <c r="C57" s="410" t="s">
        <v>486</v>
      </c>
      <c r="D57" s="411"/>
      <c r="E57" s="411"/>
      <c r="F57" s="411"/>
    </row>
    <row r="58" spans="1:9" ht="30">
      <c r="B58" s="412" t="s">
        <v>486</v>
      </c>
      <c r="C58" s="413" t="s">
        <v>545</v>
      </c>
      <c r="D58" s="411"/>
      <c r="E58" s="411"/>
      <c r="F58" s="411"/>
    </row>
    <row r="59" spans="1:9">
      <c r="B59" s="412" t="s">
        <v>486</v>
      </c>
      <c r="C59" s="410" t="s">
        <v>546</v>
      </c>
      <c r="D59" s="411"/>
      <c r="E59" s="411">
        <v>3846.23</v>
      </c>
      <c r="F59" s="411">
        <v>7091.19</v>
      </c>
      <c r="H59" s="427">
        <f>H12+H15+H18+H23+H27+H30+H33+H43+H50+H55+H52</f>
        <v>7127.887234539694</v>
      </c>
      <c r="I59" s="285">
        <f>E59*J4-H59+H52</f>
        <v>-1.1823431123048067E-11</v>
      </c>
    </row>
    <row r="60" spans="1:9" ht="13.5" thickBot="1">
      <c r="B60" s="412" t="s">
        <v>486</v>
      </c>
      <c r="C60" s="410" t="s">
        <v>486</v>
      </c>
      <c r="D60" s="411"/>
      <c r="E60" s="415"/>
      <c r="F60" s="415"/>
      <c r="H60" s="431"/>
    </row>
    <row r="61" spans="1:9" ht="13.5" thickTop="1"/>
  </sheetData>
  <pageMargins left="0.7" right="0.7" top="0.75" bottom="0.75" header="0.3" footer="0.3"/>
  <pageSetup paperSize="9" orientation="portrait" r:id="rId1"/>
  <ignoredErrors>
    <ignoredError sqref="B55 B12:B50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CC221-0E14-4D3C-88DB-E8D8B369929B}">
  <dimension ref="A1:M91"/>
  <sheetViews>
    <sheetView topLeftCell="A5" zoomScaleNormal="100" workbookViewId="0">
      <selection activeCell="M3" sqref="M3:N5"/>
    </sheetView>
  </sheetViews>
  <sheetFormatPr defaultRowHeight="12.75"/>
  <cols>
    <col min="2" max="2" width="31.42578125" customWidth="1"/>
    <col min="3" max="3" width="34.5703125" style="417" bestFit="1" customWidth="1"/>
    <col min="5" max="5" width="12.5703125" bestFit="1" customWidth="1"/>
    <col min="6" max="6" width="12.42578125" hidden="1" customWidth="1"/>
    <col min="7" max="7" width="5.5703125" customWidth="1"/>
    <col min="8" max="8" width="10.42578125" style="418" bestFit="1" customWidth="1"/>
    <col min="9" max="9" width="10.5703125" bestFit="1" customWidth="1"/>
    <col min="10" max="10" width="9.5703125" bestFit="1" customWidth="1"/>
    <col min="11" max="11" width="11.5703125" bestFit="1" customWidth="1"/>
    <col min="13" max="13" width="17.42578125" bestFit="1" customWidth="1"/>
  </cols>
  <sheetData>
    <row r="1" spans="1:13" ht="15">
      <c r="B1" s="409" t="s">
        <v>485</v>
      </c>
      <c r="C1" s="416" t="s">
        <v>486</v>
      </c>
      <c r="D1" s="411"/>
      <c r="E1" s="411"/>
      <c r="F1" s="411"/>
      <c r="G1" s="411"/>
    </row>
    <row r="2" spans="1:13">
      <c r="B2" s="410" t="s">
        <v>487</v>
      </c>
      <c r="C2" s="416" t="s">
        <v>486</v>
      </c>
      <c r="D2" s="411"/>
      <c r="E2" s="411"/>
      <c r="F2" s="411"/>
      <c r="G2" s="411"/>
    </row>
    <row r="3" spans="1:13">
      <c r="B3" s="410" t="s">
        <v>715</v>
      </c>
      <c r="C3" s="416" t="s">
        <v>486</v>
      </c>
      <c r="D3" s="411"/>
      <c r="E3" s="411"/>
      <c r="F3" s="411"/>
      <c r="G3" s="411"/>
    </row>
    <row r="4" spans="1:13" ht="15">
      <c r="B4" s="412" t="s">
        <v>486</v>
      </c>
      <c r="C4" s="416" t="s">
        <v>486</v>
      </c>
      <c r="D4" s="411"/>
      <c r="E4" s="411"/>
      <c r="F4" s="411"/>
      <c r="G4" s="411"/>
      <c r="L4" s="391">
        <v>3.5649999999999999</v>
      </c>
      <c r="M4" s="380" t="s">
        <v>720</v>
      </c>
    </row>
    <row r="5" spans="1:13" ht="15">
      <c r="B5" s="409" t="s">
        <v>488</v>
      </c>
      <c r="C5" s="416" t="s">
        <v>486</v>
      </c>
      <c r="D5" s="411"/>
      <c r="E5" s="411"/>
      <c r="F5" s="411"/>
      <c r="G5" s="411"/>
      <c r="L5" s="392">
        <v>3.9003000000000001</v>
      </c>
      <c r="M5" s="382" t="s">
        <v>721</v>
      </c>
    </row>
    <row r="6" spans="1:13" ht="15">
      <c r="B6" s="412" t="s">
        <v>486</v>
      </c>
      <c r="C6" s="416" t="s">
        <v>486</v>
      </c>
      <c r="D6" s="411"/>
      <c r="E6" s="411"/>
      <c r="F6" s="411"/>
      <c r="G6" s="411"/>
      <c r="L6" s="392">
        <f>L5/L4</f>
        <v>1.094053295932679</v>
      </c>
      <c r="M6" s="382" t="s">
        <v>492</v>
      </c>
    </row>
    <row r="7" spans="1:13">
      <c r="B7" s="410" t="s">
        <v>489</v>
      </c>
      <c r="C7" s="416" t="s">
        <v>486</v>
      </c>
      <c r="D7" s="411"/>
      <c r="E7" s="411"/>
      <c r="F7" s="411"/>
      <c r="G7" s="411"/>
    </row>
    <row r="8" spans="1:13">
      <c r="B8" s="412" t="s">
        <v>484</v>
      </c>
      <c r="C8" s="416" t="s">
        <v>484</v>
      </c>
      <c r="D8" s="411" t="s">
        <v>484</v>
      </c>
      <c r="E8" s="411" t="s">
        <v>484</v>
      </c>
      <c r="F8" s="411" t="s">
        <v>484</v>
      </c>
      <c r="G8" s="411"/>
    </row>
    <row r="9" spans="1:13">
      <c r="B9" s="412" t="s">
        <v>486</v>
      </c>
      <c r="C9" s="416" t="s">
        <v>486</v>
      </c>
      <c r="D9" s="411"/>
      <c r="E9" s="412" t="s">
        <v>490</v>
      </c>
      <c r="F9" s="412" t="s">
        <v>491</v>
      </c>
      <c r="G9" s="412"/>
    </row>
    <row r="10" spans="1:13">
      <c r="B10" s="412" t="s">
        <v>494</v>
      </c>
      <c r="C10" s="416" t="s">
        <v>495</v>
      </c>
      <c r="D10" s="412" t="s">
        <v>496</v>
      </c>
      <c r="E10" s="412" t="s">
        <v>496</v>
      </c>
      <c r="F10" s="412" t="s">
        <v>496</v>
      </c>
      <c r="G10" s="412"/>
      <c r="H10" s="426" t="s">
        <v>117</v>
      </c>
    </row>
    <row r="11" spans="1:13">
      <c r="B11" s="412" t="s">
        <v>486</v>
      </c>
      <c r="C11" s="416" t="s">
        <v>486</v>
      </c>
      <c r="D11" s="411"/>
      <c r="E11" s="411"/>
      <c r="F11" s="411"/>
      <c r="G11" s="411"/>
    </row>
    <row r="12" spans="1:13" ht="45">
      <c r="B12" s="412" t="s">
        <v>486</v>
      </c>
      <c r="C12" s="413" t="s">
        <v>497</v>
      </c>
      <c r="D12" s="411"/>
      <c r="E12" s="411"/>
      <c r="F12" s="411"/>
      <c r="G12" s="411"/>
    </row>
    <row r="13" spans="1:13">
      <c r="A13" s="418">
        <v>1904</v>
      </c>
      <c r="B13" s="142">
        <v>490</v>
      </c>
      <c r="C13" s="416" t="s">
        <v>499</v>
      </c>
      <c r="D13" s="411"/>
      <c r="E13" s="411">
        <v>633.66999999999996</v>
      </c>
      <c r="F13" s="411">
        <v>1126</v>
      </c>
      <c r="G13" s="411"/>
      <c r="H13" s="427">
        <f>E13*$L$6</f>
        <v>693.26875203366069</v>
      </c>
    </row>
    <row r="14" spans="1:13">
      <c r="B14" s="412" t="s">
        <v>486</v>
      </c>
      <c r="C14" s="416" t="s">
        <v>486</v>
      </c>
      <c r="D14" s="411"/>
      <c r="E14" s="411"/>
      <c r="F14" s="411"/>
      <c r="G14" s="411"/>
    </row>
    <row r="15" spans="1:13" ht="15">
      <c r="B15" s="412" t="s">
        <v>486</v>
      </c>
      <c r="C15" s="413" t="s">
        <v>538</v>
      </c>
      <c r="D15" s="411"/>
      <c r="E15" s="411"/>
      <c r="F15" s="411"/>
      <c r="G15" s="411"/>
    </row>
    <row r="16" spans="1:13">
      <c r="A16" s="418">
        <v>1351</v>
      </c>
      <c r="B16" s="142">
        <v>1410</v>
      </c>
      <c r="C16" s="416" t="s">
        <v>538</v>
      </c>
      <c r="D16" s="411"/>
      <c r="E16" s="411">
        <v>37554.050000000003</v>
      </c>
      <c r="F16" s="411">
        <v>67588.240000000005</v>
      </c>
      <c r="G16" s="411"/>
      <c r="H16" s="427">
        <f>E16*$L$6</f>
        <v>41086.132178120628</v>
      </c>
      <c r="I16" s="99" t="s">
        <v>439</v>
      </c>
    </row>
    <row r="17" spans="1:8">
      <c r="B17" s="412" t="s">
        <v>486</v>
      </c>
      <c r="C17" s="416" t="s">
        <v>486</v>
      </c>
      <c r="D17" s="411"/>
      <c r="E17" s="411"/>
      <c r="F17" s="411"/>
      <c r="G17" s="411"/>
    </row>
    <row r="18" spans="1:8" ht="15">
      <c r="B18" s="412" t="s">
        <v>486</v>
      </c>
      <c r="C18" s="413" t="s">
        <v>500</v>
      </c>
      <c r="D18" s="411"/>
      <c r="E18" s="411"/>
      <c r="F18" s="411"/>
      <c r="G18" s="411"/>
    </row>
    <row r="19" spans="1:8">
      <c r="A19" s="418">
        <v>1307</v>
      </c>
      <c r="B19" s="142">
        <v>1525</v>
      </c>
      <c r="C19" s="416" t="s">
        <v>502</v>
      </c>
      <c r="D19" s="411">
        <v>1119.6199999999999</v>
      </c>
      <c r="E19" s="411"/>
      <c r="F19" s="411">
        <v>1119.6199999999999</v>
      </c>
      <c r="G19" s="411"/>
      <c r="H19" s="428">
        <f>D19*$L$6</f>
        <v>1224.923951192146</v>
      </c>
    </row>
    <row r="20" spans="1:8">
      <c r="B20" s="142">
        <v>1548</v>
      </c>
      <c r="C20" s="416" t="s">
        <v>688</v>
      </c>
      <c r="D20" s="411">
        <v>0</v>
      </c>
      <c r="E20" s="411"/>
      <c r="F20" s="411">
        <v>165.72</v>
      </c>
      <c r="G20" s="411"/>
      <c r="H20" s="428">
        <f t="shared" ref="H20:H25" si="0">D20*$L$6</f>
        <v>0</v>
      </c>
    </row>
    <row r="21" spans="1:8">
      <c r="B21" s="142">
        <v>1571</v>
      </c>
      <c r="C21" s="416" t="s">
        <v>506</v>
      </c>
      <c r="D21" s="411">
        <v>0</v>
      </c>
      <c r="E21" s="411"/>
      <c r="F21" s="411">
        <v>130.11000000000001</v>
      </c>
      <c r="G21" s="411"/>
      <c r="H21" s="428">
        <f t="shared" si="0"/>
        <v>0</v>
      </c>
    </row>
    <row r="22" spans="1:8">
      <c r="A22" s="418">
        <v>1357</v>
      </c>
      <c r="B22" s="142">
        <v>1576</v>
      </c>
      <c r="C22" s="416" t="s">
        <v>508</v>
      </c>
      <c r="D22" s="411">
        <v>2836.34</v>
      </c>
      <c r="E22" s="411"/>
      <c r="F22" s="411">
        <v>1538.74</v>
      </c>
      <c r="G22" s="411"/>
      <c r="H22" s="428">
        <f t="shared" si="0"/>
        <v>3103.1071253856949</v>
      </c>
    </row>
    <row r="23" spans="1:8">
      <c r="A23" s="418">
        <v>1357</v>
      </c>
      <c r="B23" s="142">
        <v>1780</v>
      </c>
      <c r="C23" s="416" t="s">
        <v>510</v>
      </c>
      <c r="D23" s="411">
        <v>-1296.1500000000001</v>
      </c>
      <c r="E23" s="411"/>
      <c r="F23" s="411">
        <v>0</v>
      </c>
      <c r="G23" s="411"/>
      <c r="H23" s="428">
        <f t="shared" si="0"/>
        <v>-1418.0571795231419</v>
      </c>
    </row>
    <row r="24" spans="1:8">
      <c r="A24" s="418">
        <v>1357</v>
      </c>
      <c r="B24" s="142">
        <v>1790</v>
      </c>
      <c r="C24" s="416" t="s">
        <v>512</v>
      </c>
      <c r="D24" s="411">
        <v>2270.9699999999998</v>
      </c>
      <c r="E24" s="411"/>
      <c r="F24" s="411">
        <v>3531.61</v>
      </c>
      <c r="G24" s="411"/>
      <c r="H24" s="429">
        <f t="shared" si="0"/>
        <v>2484.5622134642358</v>
      </c>
    </row>
    <row r="25" spans="1:8">
      <c r="A25" s="418">
        <v>1357</v>
      </c>
      <c r="B25" s="142">
        <v>1791</v>
      </c>
      <c r="C25" s="416" t="s">
        <v>690</v>
      </c>
      <c r="D25" s="414">
        <v>536.28</v>
      </c>
      <c r="E25" s="411">
        <v>5467.06</v>
      </c>
      <c r="F25" s="411">
        <v>0</v>
      </c>
      <c r="G25" s="411"/>
      <c r="H25" s="430">
        <f t="shared" si="0"/>
        <v>586.71890154277708</v>
      </c>
    </row>
    <row r="26" spans="1:8">
      <c r="B26" s="412" t="s">
        <v>486</v>
      </c>
      <c r="C26" s="416" t="s">
        <v>486</v>
      </c>
      <c r="D26" s="411"/>
      <c r="E26" s="411"/>
      <c r="F26" s="411"/>
      <c r="G26" s="411"/>
      <c r="H26" s="427">
        <f>SUM(H19:H25)</f>
        <v>5981.2550120617125</v>
      </c>
    </row>
    <row r="27" spans="1:8" ht="45">
      <c r="B27" s="412" t="s">
        <v>486</v>
      </c>
      <c r="C27" s="413" t="s">
        <v>513</v>
      </c>
      <c r="D27" s="411"/>
      <c r="E27" s="411"/>
      <c r="F27" s="411"/>
      <c r="G27" s="411"/>
    </row>
    <row r="28" spans="1:8">
      <c r="A28" s="418">
        <v>1307</v>
      </c>
      <c r="B28" s="142">
        <v>1200</v>
      </c>
      <c r="C28" s="416" t="s">
        <v>515</v>
      </c>
      <c r="D28" s="411"/>
      <c r="E28" s="411">
        <v>3965.33</v>
      </c>
      <c r="F28" s="411">
        <v>17136.27</v>
      </c>
      <c r="G28" s="411"/>
      <c r="H28" s="428">
        <f>E28*$L$6</f>
        <v>4338.2823559607295</v>
      </c>
    </row>
    <row r="29" spans="1:8">
      <c r="B29" s="412" t="s">
        <v>486</v>
      </c>
      <c r="C29" s="416" t="s">
        <v>486</v>
      </c>
      <c r="D29" s="411"/>
      <c r="E29" s="411"/>
      <c r="F29" s="411"/>
      <c r="G29" s="411"/>
    </row>
    <row r="30" spans="1:8" ht="15">
      <c r="B30" s="412" t="s">
        <v>486</v>
      </c>
      <c r="C30" s="413" t="s">
        <v>516</v>
      </c>
      <c r="D30" s="411"/>
      <c r="E30" s="411"/>
      <c r="F30" s="411"/>
      <c r="G30" s="411"/>
    </row>
    <row r="31" spans="1:8">
      <c r="B31" s="412" t="s">
        <v>486</v>
      </c>
      <c r="C31" s="416" t="s">
        <v>517</v>
      </c>
      <c r="D31" s="411"/>
      <c r="E31" s="411">
        <v>0</v>
      </c>
      <c r="F31" s="411">
        <v>12977.4</v>
      </c>
      <c r="G31" s="411"/>
    </row>
    <row r="32" spans="1:8">
      <c r="B32" s="412" t="s">
        <v>486</v>
      </c>
      <c r="C32" s="416" t="s">
        <v>486</v>
      </c>
      <c r="D32" s="411"/>
      <c r="E32" s="411"/>
      <c r="F32" s="411"/>
      <c r="G32" s="411"/>
    </row>
    <row r="33" spans="1:11" ht="15">
      <c r="B33" s="412" t="s">
        <v>486</v>
      </c>
      <c r="C33" s="413" t="s">
        <v>500</v>
      </c>
      <c r="D33" s="411"/>
      <c r="E33" s="411"/>
      <c r="F33" s="411"/>
      <c r="G33" s="411"/>
    </row>
    <row r="34" spans="1:11">
      <c r="A34" s="418">
        <v>1358</v>
      </c>
      <c r="B34" s="142">
        <v>975</v>
      </c>
      <c r="C34" s="416" t="s">
        <v>486</v>
      </c>
      <c r="D34" s="411">
        <v>66.8</v>
      </c>
      <c r="E34" s="411"/>
      <c r="F34" s="411">
        <v>0</v>
      </c>
      <c r="G34" s="411"/>
      <c r="H34" s="428">
        <f>D34*$L$6</f>
        <v>73.082760168302954</v>
      </c>
    </row>
    <row r="35" spans="1:11">
      <c r="A35" s="418">
        <v>1358</v>
      </c>
      <c r="B35" s="142">
        <v>977</v>
      </c>
      <c r="C35" s="416" t="s">
        <v>525</v>
      </c>
      <c r="D35" s="414">
        <v>2959.4</v>
      </c>
      <c r="E35" s="411">
        <v>3026.2</v>
      </c>
      <c r="F35" s="411">
        <v>0</v>
      </c>
      <c r="G35" s="411"/>
      <c r="H35" s="430">
        <f>D35*$L$6</f>
        <v>3237.7413239831703</v>
      </c>
    </row>
    <row r="36" spans="1:11">
      <c r="B36" s="412" t="s">
        <v>486</v>
      </c>
      <c r="C36" s="416" t="s">
        <v>486</v>
      </c>
      <c r="D36" s="411"/>
      <c r="E36" s="414"/>
      <c r="F36" s="414"/>
      <c r="G36" s="425"/>
      <c r="H36" s="427">
        <f>SUM(H34:H35)</f>
        <v>3310.8240841514735</v>
      </c>
    </row>
    <row r="37" spans="1:11">
      <c r="B37" s="412" t="s">
        <v>486</v>
      </c>
      <c r="C37" s="416" t="s">
        <v>486</v>
      </c>
      <c r="D37" s="411"/>
      <c r="E37" s="411"/>
      <c r="F37" s="411"/>
      <c r="G37" s="411"/>
    </row>
    <row r="38" spans="1:11">
      <c r="B38" s="412" t="s">
        <v>486</v>
      </c>
      <c r="C38" s="416" t="s">
        <v>518</v>
      </c>
      <c r="D38" s="411"/>
      <c r="E38" s="411">
        <v>50646.31</v>
      </c>
      <c r="F38" s="411">
        <v>105313.71</v>
      </c>
      <c r="G38" s="411"/>
      <c r="H38" s="427">
        <f>H36+H28+H26+H16+H13</f>
        <v>55409.762382328205</v>
      </c>
      <c r="I38" s="422">
        <f>E38*L6-H38</f>
        <v>0</v>
      </c>
    </row>
    <row r="39" spans="1:11" ht="13.5" thickBot="1">
      <c r="B39" s="412" t="s">
        <v>486</v>
      </c>
      <c r="C39" s="416" t="s">
        <v>486</v>
      </c>
      <c r="D39" s="411"/>
      <c r="E39" s="415"/>
      <c r="F39" s="415"/>
      <c r="G39" s="415"/>
      <c r="H39" s="431"/>
    </row>
    <row r="40" spans="1:11" ht="13.5" thickTop="1">
      <c r="B40" s="410" t="s">
        <v>519</v>
      </c>
      <c r="C40" s="416" t="s">
        <v>486</v>
      </c>
      <c r="D40" s="411"/>
      <c r="E40" s="411"/>
      <c r="F40" s="411"/>
      <c r="G40" s="411"/>
    </row>
    <row r="41" spans="1:11">
      <c r="B41" s="412" t="s">
        <v>484</v>
      </c>
      <c r="C41" s="416" t="s">
        <v>484</v>
      </c>
      <c r="D41" s="411" t="s">
        <v>484</v>
      </c>
      <c r="E41" s="411" t="s">
        <v>484</v>
      </c>
      <c r="F41" s="411" t="s">
        <v>484</v>
      </c>
      <c r="G41" s="411"/>
    </row>
    <row r="42" spans="1:11">
      <c r="B42" s="412" t="s">
        <v>486</v>
      </c>
      <c r="C42" s="416" t="s">
        <v>486</v>
      </c>
      <c r="D42" s="411"/>
      <c r="E42" s="412" t="s">
        <v>490</v>
      </c>
      <c r="F42" s="412" t="s">
        <v>491</v>
      </c>
      <c r="G42" s="412"/>
    </row>
    <row r="43" spans="1:11">
      <c r="B43" s="412" t="s">
        <v>494</v>
      </c>
      <c r="C43" s="416" t="s">
        <v>495</v>
      </c>
      <c r="D43" s="412" t="s">
        <v>496</v>
      </c>
      <c r="E43" s="412" t="s">
        <v>496</v>
      </c>
      <c r="F43" s="412" t="s">
        <v>496</v>
      </c>
      <c r="G43" s="412"/>
    </row>
    <row r="44" spans="1:11">
      <c r="B44" s="412" t="s">
        <v>486</v>
      </c>
      <c r="C44" s="416" t="s">
        <v>486</v>
      </c>
      <c r="D44" s="411"/>
      <c r="E44" s="411"/>
      <c r="F44" s="411"/>
      <c r="G44" s="411"/>
    </row>
    <row r="45" spans="1:11" ht="15">
      <c r="B45" s="412" t="s">
        <v>486</v>
      </c>
      <c r="C45" s="413" t="s">
        <v>520</v>
      </c>
      <c r="D45" s="411"/>
      <c r="E45" s="411"/>
      <c r="F45" s="411"/>
      <c r="G45" s="411"/>
      <c r="I45" s="411" t="s">
        <v>665</v>
      </c>
      <c r="J45" s="411" t="s">
        <v>407</v>
      </c>
      <c r="K45" s="411"/>
    </row>
    <row r="46" spans="1:11">
      <c r="A46" s="418">
        <v>1842</v>
      </c>
      <c r="B46" s="142">
        <v>800</v>
      </c>
      <c r="C46" s="416" t="s">
        <v>520</v>
      </c>
      <c r="D46" s="411"/>
      <c r="E46" s="411">
        <v>25000</v>
      </c>
      <c r="F46" s="411">
        <v>25000</v>
      </c>
      <c r="G46" s="411"/>
      <c r="H46" s="427">
        <f>E46*$L$6</f>
        <v>27351.332398316976</v>
      </c>
      <c r="I46" s="411">
        <v>28054</v>
      </c>
      <c r="J46" s="411">
        <f>I46-H46</f>
        <v>702.66760168302426</v>
      </c>
      <c r="K46" s="411"/>
    </row>
    <row r="47" spans="1:11">
      <c r="B47" s="412" t="s">
        <v>486</v>
      </c>
      <c r="C47" s="416" t="s">
        <v>486</v>
      </c>
      <c r="D47" s="411"/>
      <c r="E47" s="411"/>
      <c r="F47" s="411"/>
      <c r="G47" s="411"/>
    </row>
    <row r="48" spans="1:11" ht="30">
      <c r="B48" s="412" t="s">
        <v>486</v>
      </c>
      <c r="C48" s="413" t="s">
        <v>656</v>
      </c>
      <c r="D48" s="411"/>
      <c r="E48" s="411"/>
      <c r="F48" s="411"/>
      <c r="G48" s="411"/>
      <c r="J48" s="411" t="s">
        <v>407</v>
      </c>
    </row>
    <row r="49" spans="1:10">
      <c r="A49" s="418">
        <v>9410</v>
      </c>
      <c r="B49" s="142">
        <v>860</v>
      </c>
      <c r="C49" s="416" t="s">
        <v>658</v>
      </c>
      <c r="D49" s="411"/>
      <c r="E49" s="411">
        <v>11943.69</v>
      </c>
      <c r="F49" s="411">
        <v>6553.33</v>
      </c>
      <c r="G49" s="411"/>
      <c r="H49" s="427">
        <f>E49*$L$6</f>
        <v>13067.03341009818</v>
      </c>
      <c r="I49" s="411">
        <v>13158</v>
      </c>
      <c r="J49" s="285">
        <f>I49-H49</f>
        <v>90.966589901820043</v>
      </c>
    </row>
    <row r="50" spans="1:10">
      <c r="B50" s="412" t="s">
        <v>486</v>
      </c>
      <c r="C50" s="416" t="s">
        <v>486</v>
      </c>
      <c r="D50" s="411"/>
      <c r="E50" s="411"/>
      <c r="F50" s="411"/>
      <c r="G50" s="411"/>
    </row>
    <row r="51" spans="1:10" ht="30">
      <c r="B51" s="412" t="s">
        <v>486</v>
      </c>
      <c r="C51" s="413" t="s">
        <v>545</v>
      </c>
      <c r="D51" s="411"/>
      <c r="E51" s="411"/>
      <c r="F51" s="411"/>
      <c r="G51" s="411"/>
    </row>
    <row r="52" spans="1:10">
      <c r="B52" s="412" t="s">
        <v>486</v>
      </c>
      <c r="C52" s="419" t="s">
        <v>546</v>
      </c>
      <c r="D52" s="420"/>
      <c r="E52" s="420">
        <v>3619.58</v>
      </c>
      <c r="F52" s="411">
        <v>-44530.73</v>
      </c>
      <c r="G52" s="411"/>
      <c r="H52" s="427">
        <f>E52*$L$6</f>
        <v>3960.0134288920062</v>
      </c>
      <c r="I52" s="433">
        <f>H52-(J49+J46)</f>
        <v>3166.3792373071619</v>
      </c>
    </row>
    <row r="53" spans="1:10">
      <c r="B53" s="412" t="s">
        <v>486</v>
      </c>
      <c r="C53" s="416" t="s">
        <v>486</v>
      </c>
      <c r="D53" s="411"/>
      <c r="E53" s="411"/>
      <c r="F53" s="411"/>
      <c r="G53" s="411"/>
    </row>
    <row r="54" spans="1:10" ht="15">
      <c r="B54" s="412" t="s">
        <v>486</v>
      </c>
      <c r="C54" s="413" t="s">
        <v>522</v>
      </c>
      <c r="D54" s="411"/>
      <c r="E54" s="411"/>
      <c r="F54" s="411"/>
      <c r="G54" s="411"/>
    </row>
    <row r="55" spans="1:10">
      <c r="B55" s="412" t="s">
        <v>486</v>
      </c>
      <c r="C55" s="416" t="s">
        <v>517</v>
      </c>
      <c r="D55" s="411"/>
      <c r="E55" s="411">
        <v>0</v>
      </c>
      <c r="F55" s="411">
        <v>12977.4</v>
      </c>
      <c r="G55" s="411"/>
    </row>
    <row r="56" spans="1:10">
      <c r="B56" s="412" t="s">
        <v>486</v>
      </c>
      <c r="C56" s="416" t="s">
        <v>486</v>
      </c>
      <c r="D56" s="411"/>
      <c r="E56" s="411"/>
      <c r="F56" s="411"/>
      <c r="G56" s="411"/>
    </row>
    <row r="57" spans="1:10" ht="15">
      <c r="B57" s="412" t="s">
        <v>486</v>
      </c>
      <c r="C57" s="413" t="s">
        <v>548</v>
      </c>
      <c r="D57" s="411"/>
      <c r="E57" s="411"/>
      <c r="F57" s="411"/>
      <c r="G57" s="411"/>
    </row>
    <row r="58" spans="1:10">
      <c r="A58" s="418">
        <v>2688</v>
      </c>
      <c r="B58" s="142">
        <v>956</v>
      </c>
      <c r="C58" s="416" t="s">
        <v>550</v>
      </c>
      <c r="D58" s="411">
        <v>1905</v>
      </c>
      <c r="E58" s="411"/>
      <c r="F58" s="411">
        <v>1040</v>
      </c>
      <c r="G58" s="411"/>
      <c r="H58" s="428">
        <f>D58*$L$6</f>
        <v>2084.1715287517536</v>
      </c>
    </row>
    <row r="59" spans="1:10">
      <c r="A59" s="418">
        <v>2688</v>
      </c>
      <c r="B59" s="142">
        <v>963</v>
      </c>
      <c r="C59" s="416" t="s">
        <v>552</v>
      </c>
      <c r="D59" s="414">
        <v>2624.84</v>
      </c>
      <c r="E59" s="411">
        <v>4529.84</v>
      </c>
      <c r="F59" s="411">
        <v>1436.91</v>
      </c>
      <c r="G59" s="411"/>
      <c r="H59" s="430">
        <f>D59*$L$6</f>
        <v>2871.7148532959332</v>
      </c>
    </row>
    <row r="60" spans="1:10">
      <c r="B60" s="412" t="s">
        <v>486</v>
      </c>
      <c r="C60" s="416" t="s">
        <v>486</v>
      </c>
      <c r="D60" s="411"/>
      <c r="E60" s="411"/>
      <c r="F60" s="411"/>
      <c r="G60" s="411"/>
      <c r="H60" s="427">
        <f>SUM(H58:H59)</f>
        <v>4955.8863820476872</v>
      </c>
    </row>
    <row r="61" spans="1:10" ht="15">
      <c r="B61" s="412" t="s">
        <v>486</v>
      </c>
      <c r="C61" s="413" t="s">
        <v>523</v>
      </c>
      <c r="D61" s="411"/>
      <c r="E61" s="411"/>
      <c r="F61" s="411"/>
      <c r="G61" s="411"/>
    </row>
    <row r="62" spans="1:10">
      <c r="A62">
        <v>2687</v>
      </c>
      <c r="B62" s="142">
        <v>977</v>
      </c>
      <c r="C62" s="416" t="s">
        <v>525</v>
      </c>
      <c r="D62" s="411"/>
      <c r="E62" s="411">
        <v>0</v>
      </c>
      <c r="F62" s="411">
        <v>2600</v>
      </c>
      <c r="G62" s="411"/>
    </row>
    <row r="63" spans="1:10">
      <c r="B63" s="412" t="s">
        <v>486</v>
      </c>
      <c r="C63" s="416" t="s">
        <v>486</v>
      </c>
      <c r="D63" s="411"/>
      <c r="E63" s="411"/>
      <c r="F63" s="411"/>
      <c r="G63" s="411"/>
    </row>
    <row r="64" spans="1:10" ht="15">
      <c r="B64" s="412" t="s">
        <v>486</v>
      </c>
      <c r="C64" s="413" t="s">
        <v>691</v>
      </c>
      <c r="D64" s="411"/>
      <c r="E64" s="411"/>
      <c r="F64" s="411"/>
      <c r="G64" s="411"/>
    </row>
    <row r="65" spans="1:8">
      <c r="B65" s="142">
        <v>1610</v>
      </c>
      <c r="C65" s="416" t="s">
        <v>693</v>
      </c>
      <c r="D65" s="411"/>
      <c r="E65" s="411">
        <v>0</v>
      </c>
      <c r="F65" s="411">
        <v>822.76</v>
      </c>
      <c r="G65" s="411"/>
    </row>
    <row r="66" spans="1:8">
      <c r="B66" s="412" t="s">
        <v>486</v>
      </c>
      <c r="C66" s="416" t="s">
        <v>486</v>
      </c>
      <c r="D66" s="411"/>
      <c r="E66" s="411"/>
      <c r="F66" s="411"/>
      <c r="G66" s="411"/>
    </row>
    <row r="67" spans="1:8" ht="30">
      <c r="B67" s="412" t="s">
        <v>486</v>
      </c>
      <c r="C67" s="413" t="s">
        <v>716</v>
      </c>
      <c r="D67" s="411"/>
      <c r="E67" s="411"/>
      <c r="F67" s="411"/>
      <c r="G67" s="411"/>
    </row>
    <row r="68" spans="1:8">
      <c r="B68" s="142">
        <v>1610</v>
      </c>
      <c r="C68" s="416" t="s">
        <v>693</v>
      </c>
      <c r="D68" s="411"/>
      <c r="E68" s="411"/>
      <c r="F68" s="411"/>
      <c r="G68" s="411"/>
    </row>
    <row r="69" spans="1:8">
      <c r="B69" s="412" t="s">
        <v>486</v>
      </c>
      <c r="C69" s="416" t="s">
        <v>486</v>
      </c>
      <c r="D69" s="411"/>
      <c r="E69" s="411"/>
      <c r="F69" s="411"/>
      <c r="G69" s="411"/>
    </row>
    <row r="70" spans="1:8" ht="15">
      <c r="B70" s="412" t="s">
        <v>486</v>
      </c>
      <c r="C70" s="413" t="s">
        <v>9</v>
      </c>
      <c r="D70" s="411"/>
      <c r="E70" s="411"/>
      <c r="F70" s="411"/>
      <c r="G70" s="411"/>
    </row>
    <row r="71" spans="1:8">
      <c r="B71" s="142">
        <v>1665</v>
      </c>
      <c r="C71" s="416" t="s">
        <v>696</v>
      </c>
      <c r="D71" s="411">
        <v>0</v>
      </c>
      <c r="E71" s="411"/>
      <c r="F71" s="411">
        <v>60000</v>
      </c>
      <c r="G71" s="411"/>
      <c r="H71" s="428">
        <f t="shared" ref="H71:H74" si="1">D71*$L$6</f>
        <v>0</v>
      </c>
    </row>
    <row r="72" spans="1:8">
      <c r="A72" s="418">
        <v>2689</v>
      </c>
      <c r="B72" s="142">
        <v>1700</v>
      </c>
      <c r="C72" s="416" t="s">
        <v>9</v>
      </c>
      <c r="D72" s="411">
        <v>4745.4399999999996</v>
      </c>
      <c r="E72" s="411"/>
      <c r="F72" s="411">
        <v>10990.35</v>
      </c>
      <c r="G72" s="411"/>
      <c r="H72" s="428">
        <f t="shared" si="1"/>
        <v>5191.764272650772</v>
      </c>
    </row>
    <row r="73" spans="1:8">
      <c r="B73" s="142">
        <v>1705</v>
      </c>
      <c r="C73" s="416" t="s">
        <v>554</v>
      </c>
      <c r="D73" s="411">
        <v>0</v>
      </c>
      <c r="E73" s="411"/>
      <c r="F73" s="411">
        <v>559.80999999999995</v>
      </c>
      <c r="G73" s="411"/>
      <c r="H73" s="428">
        <f t="shared" si="1"/>
        <v>0</v>
      </c>
    </row>
    <row r="74" spans="1:8">
      <c r="A74" s="418">
        <v>2685</v>
      </c>
      <c r="B74" s="142">
        <v>1741</v>
      </c>
      <c r="C74" s="416" t="s">
        <v>529</v>
      </c>
      <c r="D74" s="414">
        <v>807.76</v>
      </c>
      <c r="E74" s="411">
        <v>5553.2</v>
      </c>
      <c r="F74" s="411">
        <v>27863.88</v>
      </c>
      <c r="G74" s="411"/>
      <c r="H74" s="430">
        <f t="shared" si="1"/>
        <v>883.7324903225807</v>
      </c>
    </row>
    <row r="75" spans="1:8">
      <c r="B75" s="412" t="s">
        <v>486</v>
      </c>
      <c r="C75" s="416" t="s">
        <v>486</v>
      </c>
      <c r="D75" s="411"/>
      <c r="E75" s="411"/>
      <c r="F75" s="411"/>
      <c r="G75" s="411"/>
      <c r="H75" s="427">
        <f>SUM(H71:H74)</f>
        <v>6075.4967629733528</v>
      </c>
    </row>
    <row r="76" spans="1:8" ht="30">
      <c r="B76" s="412" t="s">
        <v>486</v>
      </c>
      <c r="C76" s="413" t="s">
        <v>717</v>
      </c>
      <c r="D76" s="411"/>
      <c r="E76" s="411"/>
      <c r="F76" s="411"/>
      <c r="G76" s="411"/>
    </row>
    <row r="77" spans="1:8">
      <c r="B77" s="142">
        <v>1665</v>
      </c>
      <c r="C77" s="416" t="s">
        <v>696</v>
      </c>
      <c r="D77" s="411"/>
      <c r="E77" s="411"/>
      <c r="F77" s="411"/>
      <c r="G77" s="411"/>
    </row>
    <row r="78" spans="1:8">
      <c r="B78" s="412" t="s">
        <v>486</v>
      </c>
      <c r="C78" s="416" t="s">
        <v>486</v>
      </c>
      <c r="D78" s="411"/>
      <c r="E78" s="411"/>
      <c r="F78" s="411"/>
      <c r="G78" s="411"/>
    </row>
    <row r="79" spans="1:8" ht="30">
      <c r="B79" s="412" t="s">
        <v>486</v>
      </c>
      <c r="C79" s="413" t="s">
        <v>718</v>
      </c>
      <c r="D79" s="411"/>
      <c r="E79" s="411"/>
      <c r="F79" s="411"/>
      <c r="G79" s="411"/>
    </row>
    <row r="80" spans="1:8">
      <c r="B80" s="142">
        <v>1741</v>
      </c>
      <c r="C80" s="416" t="s">
        <v>529</v>
      </c>
      <c r="D80" s="411"/>
      <c r="E80" s="411"/>
      <c r="F80" s="411"/>
      <c r="G80" s="411"/>
    </row>
    <row r="81" spans="2:8">
      <c r="B81" s="412" t="s">
        <v>486</v>
      </c>
      <c r="C81" s="416" t="s">
        <v>486</v>
      </c>
      <c r="D81" s="411"/>
      <c r="E81" s="411"/>
      <c r="F81" s="411"/>
      <c r="G81" s="411"/>
    </row>
    <row r="82" spans="2:8" ht="45">
      <c r="B82" s="412" t="s">
        <v>486</v>
      </c>
      <c r="C82" s="413" t="s">
        <v>719</v>
      </c>
      <c r="D82" s="411"/>
      <c r="E82" s="411"/>
      <c r="F82" s="411"/>
      <c r="G82" s="411"/>
    </row>
    <row r="83" spans="2:8">
      <c r="B83" s="142">
        <v>1665</v>
      </c>
      <c r="C83" s="416" t="s">
        <v>696</v>
      </c>
      <c r="D83" s="411"/>
      <c r="E83" s="411"/>
      <c r="F83" s="411"/>
      <c r="G83" s="411"/>
    </row>
    <row r="84" spans="2:8">
      <c r="B84" s="142">
        <v>1700</v>
      </c>
      <c r="C84" s="416" t="s">
        <v>9</v>
      </c>
      <c r="D84" s="411"/>
      <c r="E84" s="411"/>
      <c r="F84" s="411"/>
      <c r="G84" s="411"/>
    </row>
    <row r="85" spans="2:8">
      <c r="B85" s="142">
        <v>1705</v>
      </c>
      <c r="C85" s="416" t="s">
        <v>554</v>
      </c>
      <c r="D85" s="411"/>
      <c r="E85" s="411"/>
      <c r="F85" s="411"/>
      <c r="G85" s="411"/>
    </row>
    <row r="86" spans="2:8">
      <c r="B86" s="142">
        <v>1741</v>
      </c>
      <c r="C86" s="416" t="s">
        <v>529</v>
      </c>
      <c r="D86" s="411"/>
      <c r="E86" s="411"/>
      <c r="F86" s="411"/>
      <c r="G86" s="411"/>
    </row>
    <row r="87" spans="2:8">
      <c r="B87" s="412" t="s">
        <v>486</v>
      </c>
      <c r="C87" s="416" t="s">
        <v>486</v>
      </c>
      <c r="D87" s="411"/>
      <c r="E87" s="414"/>
      <c r="F87" s="414"/>
      <c r="G87" s="425"/>
      <c r="H87" s="432"/>
    </row>
    <row r="88" spans="2:8">
      <c r="B88" s="412" t="s">
        <v>486</v>
      </c>
      <c r="C88" s="416" t="s">
        <v>486</v>
      </c>
      <c r="D88" s="411"/>
      <c r="E88" s="411"/>
      <c r="F88" s="411"/>
      <c r="G88" s="411"/>
    </row>
    <row r="89" spans="2:8">
      <c r="B89" s="412" t="s">
        <v>486</v>
      </c>
      <c r="C89" s="416" t="s">
        <v>530</v>
      </c>
      <c r="D89" s="411"/>
      <c r="E89" s="411">
        <v>50646.31</v>
      </c>
      <c r="F89" s="411">
        <v>105313.71</v>
      </c>
      <c r="G89" s="411"/>
      <c r="H89" s="427">
        <f>H75+H60+I52+I49+I46</f>
        <v>55409.762382328205</v>
      </c>
    </row>
    <row r="90" spans="2:8" ht="13.5" thickBot="1">
      <c r="B90" s="412" t="s">
        <v>486</v>
      </c>
      <c r="C90" s="416" t="s">
        <v>486</v>
      </c>
      <c r="D90" s="411"/>
      <c r="E90" s="415"/>
      <c r="F90" s="415"/>
      <c r="G90" s="425"/>
      <c r="H90" s="431"/>
    </row>
    <row r="91" spans="2:8" ht="13.5" thickTop="1"/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C1F10-9E66-4697-9111-82C2202B50F6}">
  <dimension ref="A1:N52"/>
  <sheetViews>
    <sheetView workbookViewId="0">
      <selection activeCell="M3" sqref="M3:N5"/>
    </sheetView>
  </sheetViews>
  <sheetFormatPr defaultRowHeight="12.75"/>
  <cols>
    <col min="2" max="2" width="16.42578125" customWidth="1"/>
    <col min="3" max="3" width="38.42578125" bestFit="1" customWidth="1"/>
    <col min="5" max="5" width="12.5703125" bestFit="1" customWidth="1"/>
    <col min="6" max="6" width="12.42578125" hidden="1" customWidth="1"/>
    <col min="8" max="8" width="10.5703125" bestFit="1" customWidth="1"/>
    <col min="14" max="14" width="17.42578125" bestFit="1" customWidth="1"/>
  </cols>
  <sheetData>
    <row r="1" spans="1:14" ht="15">
      <c r="B1" s="409" t="s">
        <v>667</v>
      </c>
      <c r="C1" s="410" t="s">
        <v>486</v>
      </c>
      <c r="D1" s="411"/>
      <c r="E1" s="411"/>
      <c r="F1" s="411"/>
    </row>
    <row r="2" spans="1:14">
      <c r="B2" s="410" t="s">
        <v>668</v>
      </c>
      <c r="C2" s="410" t="s">
        <v>486</v>
      </c>
      <c r="D2" s="411"/>
      <c r="E2" s="411"/>
      <c r="F2" s="411"/>
    </row>
    <row r="3" spans="1:14">
      <c r="B3" s="410" t="s">
        <v>711</v>
      </c>
      <c r="C3" s="410" t="s">
        <v>486</v>
      </c>
      <c r="D3" s="411"/>
      <c r="E3" s="411"/>
      <c r="F3" s="411"/>
      <c r="M3" s="434">
        <v>3.5649999999999999</v>
      </c>
      <c r="N3" s="435" t="s">
        <v>720</v>
      </c>
    </row>
    <row r="4" spans="1:14">
      <c r="B4" s="412" t="s">
        <v>486</v>
      </c>
      <c r="C4" s="410" t="s">
        <v>486</v>
      </c>
      <c r="D4" s="411"/>
      <c r="E4" s="411"/>
      <c r="F4" s="411"/>
      <c r="M4" s="436">
        <v>3.9003000000000001</v>
      </c>
      <c r="N4" s="437" t="s">
        <v>721</v>
      </c>
    </row>
    <row r="5" spans="1:14" ht="15">
      <c r="B5" s="409" t="s">
        <v>488</v>
      </c>
      <c r="C5" s="410" t="s">
        <v>486</v>
      </c>
      <c r="D5" s="411"/>
      <c r="E5" s="411"/>
      <c r="F5" s="411"/>
      <c r="M5" s="436">
        <f>M4/M3</f>
        <v>1.094053295932679</v>
      </c>
      <c r="N5" s="437" t="s">
        <v>492</v>
      </c>
    </row>
    <row r="6" spans="1:14">
      <c r="B6" s="412" t="s">
        <v>486</v>
      </c>
      <c r="C6" s="410" t="s">
        <v>486</v>
      </c>
      <c r="D6" s="411"/>
      <c r="E6" s="411"/>
      <c r="F6" s="411"/>
    </row>
    <row r="7" spans="1:14">
      <c r="B7" s="412" t="s">
        <v>484</v>
      </c>
      <c r="C7" s="410" t="s">
        <v>484</v>
      </c>
      <c r="D7" s="411" t="s">
        <v>484</v>
      </c>
      <c r="E7" s="411" t="s">
        <v>484</v>
      </c>
      <c r="F7" s="411" t="s">
        <v>484</v>
      </c>
    </row>
    <row r="8" spans="1:14">
      <c r="B8" s="412" t="s">
        <v>486</v>
      </c>
      <c r="C8" s="410" t="s">
        <v>486</v>
      </c>
      <c r="D8" s="411"/>
      <c r="E8" s="412" t="s">
        <v>490</v>
      </c>
      <c r="F8" s="412" t="s">
        <v>491</v>
      </c>
    </row>
    <row r="9" spans="1:14">
      <c r="B9" s="412" t="s">
        <v>494</v>
      </c>
      <c r="C9" s="410" t="s">
        <v>495</v>
      </c>
      <c r="D9" s="412" t="s">
        <v>496</v>
      </c>
      <c r="E9" s="412" t="s">
        <v>496</v>
      </c>
      <c r="F9" s="412" t="s">
        <v>496</v>
      </c>
      <c r="H9" s="421" t="s">
        <v>117</v>
      </c>
    </row>
    <row r="10" spans="1:14">
      <c r="B10" s="412" t="s">
        <v>486</v>
      </c>
      <c r="C10" s="410" t="s">
        <v>486</v>
      </c>
      <c r="D10" s="411"/>
      <c r="E10" s="411"/>
      <c r="F10" s="411"/>
    </row>
    <row r="11" spans="1:14" ht="15">
      <c r="B11" s="412" t="s">
        <v>486</v>
      </c>
      <c r="C11" s="409" t="s">
        <v>573</v>
      </c>
      <c r="D11" s="411"/>
      <c r="E11" s="411"/>
      <c r="F11" s="411"/>
    </row>
    <row r="12" spans="1:14">
      <c r="A12">
        <v>7023</v>
      </c>
      <c r="B12" s="412" t="s">
        <v>572</v>
      </c>
      <c r="C12" s="410" t="s">
        <v>670</v>
      </c>
      <c r="D12" s="411"/>
      <c r="E12" s="411">
        <v>28437.37</v>
      </c>
      <c r="F12" s="411">
        <v>0</v>
      </c>
      <c r="H12" s="285">
        <f>E12*$M$5</f>
        <v>31111.998376157087</v>
      </c>
      <c r="J12" s="99" t="s">
        <v>723</v>
      </c>
    </row>
    <row r="13" spans="1:14">
      <c r="B13" s="412" t="s">
        <v>486</v>
      </c>
      <c r="C13" s="410" t="s">
        <v>486</v>
      </c>
      <c r="D13" s="411"/>
      <c r="E13" s="411"/>
      <c r="F13" s="411"/>
    </row>
    <row r="14" spans="1:14" ht="30">
      <c r="B14" s="412" t="s">
        <v>486</v>
      </c>
      <c r="C14" s="413" t="s">
        <v>712</v>
      </c>
      <c r="D14" s="411"/>
      <c r="E14" s="411"/>
      <c r="F14" s="411"/>
    </row>
    <row r="15" spans="1:14">
      <c r="A15">
        <v>7021</v>
      </c>
      <c r="B15" s="412" t="s">
        <v>713</v>
      </c>
      <c r="C15" s="410" t="s">
        <v>714</v>
      </c>
      <c r="D15" s="411"/>
      <c r="E15" s="411">
        <v>1513.1</v>
      </c>
      <c r="F15" s="411">
        <v>0</v>
      </c>
      <c r="H15" s="285">
        <f>E15*$M$5</f>
        <v>1655.4120420757365</v>
      </c>
    </row>
    <row r="16" spans="1:14">
      <c r="B16" s="412" t="s">
        <v>486</v>
      </c>
      <c r="C16" s="410" t="s">
        <v>486</v>
      </c>
      <c r="D16" s="411"/>
      <c r="E16" s="411"/>
      <c r="F16" s="411"/>
    </row>
    <row r="17" spans="1:8" ht="15">
      <c r="B17" s="412" t="s">
        <v>486</v>
      </c>
      <c r="C17" s="409" t="s">
        <v>577</v>
      </c>
      <c r="D17" s="411"/>
      <c r="E17" s="411"/>
      <c r="F17" s="411"/>
    </row>
    <row r="18" spans="1:8">
      <c r="A18">
        <v>7020</v>
      </c>
      <c r="B18" s="412" t="s">
        <v>576</v>
      </c>
      <c r="C18" s="410" t="s">
        <v>577</v>
      </c>
      <c r="D18" s="411"/>
      <c r="E18" s="411">
        <v>-12999.99</v>
      </c>
      <c r="F18" s="411">
        <v>-30000</v>
      </c>
      <c r="H18" s="285">
        <f>E18*$M$5</f>
        <v>-14222.681906591866</v>
      </c>
    </row>
    <row r="19" spans="1:8">
      <c r="B19" s="412" t="s">
        <v>486</v>
      </c>
      <c r="C19" s="410" t="s">
        <v>486</v>
      </c>
      <c r="D19" s="411"/>
      <c r="E19" s="411"/>
      <c r="F19" s="411"/>
    </row>
    <row r="20" spans="1:8" ht="45">
      <c r="B20" s="412" t="s">
        <v>486</v>
      </c>
      <c r="C20" s="413" t="s">
        <v>671</v>
      </c>
      <c r="D20" s="411"/>
      <c r="E20" s="411"/>
      <c r="F20" s="411"/>
    </row>
    <row r="21" spans="1:8">
      <c r="A21">
        <v>7020</v>
      </c>
      <c r="B21" s="412" t="s">
        <v>579</v>
      </c>
      <c r="C21" s="410" t="s">
        <v>580</v>
      </c>
      <c r="D21" s="411"/>
      <c r="E21" s="411">
        <v>-2886.66</v>
      </c>
      <c r="F21" s="411">
        <v>-3615.9</v>
      </c>
      <c r="H21" s="285">
        <f>E21*$M$5</f>
        <v>-3158.1598872370269</v>
      </c>
    </row>
    <row r="22" spans="1:8">
      <c r="B22" s="412" t="s">
        <v>486</v>
      </c>
      <c r="C22" s="410" t="s">
        <v>486</v>
      </c>
      <c r="D22" s="411"/>
      <c r="E22" s="411"/>
      <c r="F22" s="411"/>
    </row>
    <row r="23" spans="1:8" ht="30">
      <c r="B23" s="412" t="s">
        <v>486</v>
      </c>
      <c r="C23" s="413" t="s">
        <v>673</v>
      </c>
      <c r="D23" s="411"/>
      <c r="E23" s="411"/>
      <c r="F23" s="411"/>
    </row>
    <row r="24" spans="1:8">
      <c r="B24" s="412" t="s">
        <v>486</v>
      </c>
      <c r="C24" s="410" t="s">
        <v>486</v>
      </c>
      <c r="D24" s="411"/>
      <c r="E24" s="411"/>
      <c r="F24" s="411"/>
    </row>
    <row r="25" spans="1:8" ht="75">
      <c r="B25" s="412" t="s">
        <v>486</v>
      </c>
      <c r="C25" s="413" t="s">
        <v>674</v>
      </c>
      <c r="D25" s="411"/>
      <c r="E25" s="411"/>
      <c r="F25" s="411"/>
    </row>
    <row r="26" spans="1:8">
      <c r="A26">
        <v>7021</v>
      </c>
      <c r="B26" s="412" t="s">
        <v>586</v>
      </c>
      <c r="C26" s="410" t="s">
        <v>675</v>
      </c>
      <c r="D26" s="411"/>
      <c r="E26" s="411">
        <v>-70.33</v>
      </c>
      <c r="F26" s="411">
        <v>0</v>
      </c>
      <c r="H26" s="285">
        <f>E26*$M$5</f>
        <v>-76.944768302945306</v>
      </c>
    </row>
    <row r="27" spans="1:8">
      <c r="B27" s="412" t="s">
        <v>486</v>
      </c>
      <c r="C27" s="410" t="s">
        <v>486</v>
      </c>
      <c r="D27" s="411"/>
      <c r="E27" s="411"/>
      <c r="F27" s="411"/>
    </row>
    <row r="28" spans="1:8" ht="15">
      <c r="B28" s="412" t="s">
        <v>486</v>
      </c>
      <c r="C28" s="409" t="s">
        <v>676</v>
      </c>
      <c r="D28" s="411"/>
      <c r="E28" s="411"/>
      <c r="F28" s="411"/>
    </row>
    <row r="29" spans="1:8">
      <c r="A29">
        <v>7021</v>
      </c>
      <c r="B29" s="412" t="s">
        <v>589</v>
      </c>
      <c r="C29" s="410" t="s">
        <v>590</v>
      </c>
      <c r="D29" s="411"/>
      <c r="E29" s="411">
        <v>-1411.29</v>
      </c>
      <c r="F29" s="411">
        <v>-1411.29</v>
      </c>
      <c r="H29" s="285">
        <f>E29*$M$5</f>
        <v>-1544.0264760168304</v>
      </c>
    </row>
    <row r="30" spans="1:8">
      <c r="B30" s="412" t="s">
        <v>486</v>
      </c>
      <c r="C30" s="410" t="s">
        <v>486</v>
      </c>
      <c r="D30" s="411"/>
      <c r="E30" s="411"/>
      <c r="F30" s="411"/>
    </row>
    <row r="31" spans="1:8" ht="30">
      <c r="B31" s="412" t="s">
        <v>486</v>
      </c>
      <c r="C31" s="413" t="s">
        <v>677</v>
      </c>
      <c r="D31" s="411"/>
      <c r="E31" s="411"/>
      <c r="F31" s="411"/>
    </row>
    <row r="32" spans="1:8">
      <c r="A32">
        <v>7026</v>
      </c>
      <c r="B32" s="412" t="s">
        <v>595</v>
      </c>
      <c r="C32" s="410" t="s">
        <v>702</v>
      </c>
      <c r="D32" s="411">
        <v>-8400</v>
      </c>
      <c r="E32" s="411"/>
      <c r="F32" s="411">
        <v>-6578.92</v>
      </c>
      <c r="H32" s="285">
        <f>D32*$M$5</f>
        <v>-9190.0476858345028</v>
      </c>
    </row>
    <row r="33" spans="1:8">
      <c r="B33" s="412" t="s">
        <v>598</v>
      </c>
      <c r="C33" s="410" t="s">
        <v>599</v>
      </c>
      <c r="D33" s="411">
        <v>0</v>
      </c>
      <c r="E33" s="411"/>
      <c r="F33" s="411">
        <v>-234.96</v>
      </c>
    </row>
    <row r="34" spans="1:8">
      <c r="B34" s="412" t="s">
        <v>603</v>
      </c>
      <c r="C34" s="410" t="s">
        <v>604</v>
      </c>
      <c r="D34" s="411">
        <v>0</v>
      </c>
      <c r="E34" s="411"/>
      <c r="F34" s="411">
        <v>-139.06</v>
      </c>
    </row>
    <row r="35" spans="1:8">
      <c r="B35" s="412" t="s">
        <v>606</v>
      </c>
      <c r="C35" s="410" t="s">
        <v>607</v>
      </c>
      <c r="D35" s="411">
        <v>0</v>
      </c>
      <c r="E35" s="411"/>
      <c r="F35" s="411">
        <v>-330.29</v>
      </c>
    </row>
    <row r="36" spans="1:8">
      <c r="B36" s="412" t="s">
        <v>609</v>
      </c>
      <c r="C36" s="410" t="s">
        <v>610</v>
      </c>
      <c r="D36" s="411">
        <v>0</v>
      </c>
      <c r="E36" s="411"/>
      <c r="F36" s="411">
        <v>-77</v>
      </c>
    </row>
    <row r="37" spans="1:8">
      <c r="B37" s="412" t="s">
        <v>612</v>
      </c>
      <c r="C37" s="410" t="s">
        <v>613</v>
      </c>
      <c r="D37" s="414">
        <v>0</v>
      </c>
      <c r="E37" s="411">
        <v>-8400</v>
      </c>
      <c r="F37" s="411">
        <v>-1871.98</v>
      </c>
    </row>
    <row r="38" spans="1:8">
      <c r="B38" s="412" t="s">
        <v>486</v>
      </c>
      <c r="C38" s="410" t="s">
        <v>486</v>
      </c>
      <c r="D38" s="411"/>
      <c r="E38" s="411"/>
      <c r="F38" s="411"/>
    </row>
    <row r="39" spans="1:8" ht="30">
      <c r="B39" s="412" t="s">
        <v>486</v>
      </c>
      <c r="C39" s="413" t="s">
        <v>680</v>
      </c>
      <c r="D39" s="411"/>
      <c r="E39" s="411"/>
      <c r="F39" s="411"/>
    </row>
    <row r="40" spans="1:8">
      <c r="B40" s="412" t="s">
        <v>622</v>
      </c>
      <c r="C40" s="410" t="s">
        <v>623</v>
      </c>
      <c r="D40" s="411">
        <v>0</v>
      </c>
      <c r="E40" s="411"/>
      <c r="F40" s="411">
        <v>-177.95</v>
      </c>
      <c r="H40" s="285">
        <f>D40*$M$5</f>
        <v>0</v>
      </c>
    </row>
    <row r="41" spans="1:8">
      <c r="A41">
        <v>7021</v>
      </c>
      <c r="B41" s="412" t="s">
        <v>625</v>
      </c>
      <c r="C41" s="410" t="s">
        <v>626</v>
      </c>
      <c r="D41" s="411">
        <v>-227.39</v>
      </c>
      <c r="E41" s="411"/>
      <c r="F41" s="411">
        <v>-93.8</v>
      </c>
      <c r="H41" s="285">
        <f t="shared" ref="H41:H43" si="0">D41*$M$5</f>
        <v>-248.77677896213186</v>
      </c>
    </row>
    <row r="42" spans="1:8">
      <c r="A42">
        <v>7051</v>
      </c>
      <c r="B42" s="412" t="s">
        <v>630</v>
      </c>
      <c r="C42" s="410" t="s">
        <v>703</v>
      </c>
      <c r="D42" s="411">
        <v>-196.3</v>
      </c>
      <c r="E42" s="411"/>
      <c r="F42" s="411">
        <v>0</v>
      </c>
      <c r="H42" s="285">
        <f t="shared" si="0"/>
        <v>-214.76266199158491</v>
      </c>
    </row>
    <row r="43" spans="1:8">
      <c r="A43">
        <v>7021</v>
      </c>
      <c r="B43" s="412" t="s">
        <v>638</v>
      </c>
      <c r="C43" s="410" t="s">
        <v>639</v>
      </c>
      <c r="D43" s="414">
        <v>-138.93</v>
      </c>
      <c r="E43" s="411">
        <v>-562.62</v>
      </c>
      <c r="F43" s="411">
        <v>0.42</v>
      </c>
      <c r="H43" s="424">
        <f t="shared" si="0"/>
        <v>-151.99682440392709</v>
      </c>
    </row>
    <row r="44" spans="1:8">
      <c r="B44" s="412" t="s">
        <v>486</v>
      </c>
      <c r="C44" s="410" t="s">
        <v>486</v>
      </c>
      <c r="D44" s="411"/>
      <c r="E44" s="414"/>
      <c r="F44" s="414"/>
      <c r="H44" s="423">
        <f>SUM(H40:H43)</f>
        <v>-615.53626535764386</v>
      </c>
    </row>
    <row r="45" spans="1:8">
      <c r="B45" s="412"/>
      <c r="C45" s="410"/>
      <c r="D45" s="411"/>
      <c r="E45" s="425"/>
      <c r="F45" s="425"/>
      <c r="H45" s="423"/>
    </row>
    <row r="46" spans="1:8">
      <c r="A46">
        <v>7901</v>
      </c>
      <c r="B46" s="440" t="s">
        <v>722</v>
      </c>
      <c r="C46" s="276" t="s">
        <v>470</v>
      </c>
      <c r="D46" s="411"/>
      <c r="E46" s="425"/>
      <c r="F46" s="425"/>
      <c r="H46" s="423">
        <f>-('GMBH BS 31.03.2020'!J46+'GMBH BS 31.03.2020'!J49)</f>
        <v>-793.6341915848443</v>
      </c>
    </row>
    <row r="47" spans="1:8">
      <c r="B47" s="412"/>
      <c r="C47" s="410"/>
      <c r="D47" s="411"/>
      <c r="E47" s="425"/>
      <c r="F47" s="425"/>
      <c r="H47" s="423"/>
    </row>
    <row r="48" spans="1:8">
      <c r="B48" s="412" t="s">
        <v>486</v>
      </c>
      <c r="C48" s="410" t="s">
        <v>486</v>
      </c>
      <c r="D48" s="411"/>
      <c r="E48" s="411"/>
      <c r="F48" s="411"/>
    </row>
    <row r="49" spans="2:8" ht="30">
      <c r="B49" s="412" t="s">
        <v>486</v>
      </c>
      <c r="C49" s="413" t="s">
        <v>545</v>
      </c>
      <c r="D49" s="411"/>
      <c r="E49" s="411"/>
      <c r="F49" s="411"/>
    </row>
    <row r="50" spans="2:8">
      <c r="B50" s="412" t="s">
        <v>486</v>
      </c>
      <c r="C50" s="410" t="s">
        <v>546</v>
      </c>
      <c r="D50" s="411"/>
      <c r="E50" s="438">
        <v>3619.58</v>
      </c>
      <c r="F50" s="438">
        <v>-44530.73</v>
      </c>
      <c r="G50" s="439"/>
      <c r="H50" s="423">
        <f>H44+H32+H29+H26+H21+H18+H15+H12+H46</f>
        <v>3166.3792373071647</v>
      </c>
    </row>
    <row r="51" spans="2:8" ht="13.5" thickBot="1">
      <c r="B51" s="412" t="s">
        <v>486</v>
      </c>
      <c r="C51" s="410" t="s">
        <v>486</v>
      </c>
      <c r="D51" s="411"/>
      <c r="E51" s="415"/>
      <c r="F51" s="415"/>
      <c r="H51" s="415"/>
    </row>
    <row r="52" spans="2:8" ht="13.5" thickTop="1"/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DFFB5-8CB6-48C5-996D-7DCEEF350BCC}">
  <sheetPr>
    <outlinePr summaryBelow="0"/>
  </sheetPr>
  <dimension ref="A1:K86"/>
  <sheetViews>
    <sheetView zoomScale="90" zoomScaleNormal="90" workbookViewId="0">
      <selection activeCell="A14" sqref="A14"/>
    </sheetView>
  </sheetViews>
  <sheetFormatPr defaultColWidth="12.5703125" defaultRowHeight="15"/>
  <cols>
    <col min="1" max="1" width="12.5703125" style="319"/>
    <col min="2" max="2" width="21.5703125" style="319" customWidth="1"/>
    <col min="3" max="3" width="46" style="319" customWidth="1"/>
    <col min="4" max="4" width="14.5703125" style="319" customWidth="1"/>
    <col min="5" max="5" width="19.5703125" style="319" customWidth="1"/>
    <col min="6" max="6" width="19.42578125" style="319" hidden="1" customWidth="1"/>
    <col min="7" max="7" width="7.5703125" style="319" customWidth="1"/>
    <col min="8" max="8" width="12.5703125" style="383"/>
    <col min="9" max="9" width="13.5703125" style="319" bestFit="1" customWidth="1"/>
    <col min="10" max="10" width="18.42578125" style="319" customWidth="1"/>
    <col min="11" max="16384" width="12.5703125" style="319"/>
  </cols>
  <sheetData>
    <row r="1" spans="1:10">
      <c r="B1" s="320" t="s">
        <v>484</v>
      </c>
      <c r="C1" s="321" t="s">
        <v>484</v>
      </c>
      <c r="D1" s="322" t="s">
        <v>484</v>
      </c>
      <c r="E1" s="322" t="s">
        <v>484</v>
      </c>
      <c r="F1" s="322" t="s">
        <v>484</v>
      </c>
      <c r="G1" s="322"/>
    </row>
    <row r="2" spans="1:10">
      <c r="B2" s="323" t="s">
        <v>485</v>
      </c>
      <c r="C2" s="321" t="s">
        <v>486</v>
      </c>
      <c r="D2" s="322"/>
      <c r="E2" s="322"/>
      <c r="F2" s="322"/>
      <c r="G2" s="322"/>
    </row>
    <row r="3" spans="1:10">
      <c r="B3" s="321" t="s">
        <v>487</v>
      </c>
      <c r="C3" s="321" t="s">
        <v>486</v>
      </c>
      <c r="D3" s="322"/>
      <c r="E3" s="322"/>
      <c r="F3" s="322"/>
      <c r="G3" s="322"/>
      <c r="I3" s="391">
        <v>3.5019999999999998</v>
      </c>
      <c r="J3" s="380" t="s">
        <v>734</v>
      </c>
    </row>
    <row r="4" spans="1:10">
      <c r="B4" s="321" t="s">
        <v>735</v>
      </c>
      <c r="C4" s="321" t="s">
        <v>486</v>
      </c>
      <c r="D4" s="322"/>
      <c r="E4" s="322"/>
      <c r="F4" s="322"/>
      <c r="G4" s="322"/>
      <c r="I4" s="392">
        <v>3.8534000000000002</v>
      </c>
      <c r="J4" s="382" t="s">
        <v>736</v>
      </c>
    </row>
    <row r="5" spans="1:10">
      <c r="B5" s="320" t="s">
        <v>486</v>
      </c>
      <c r="C5" s="321" t="s">
        <v>486</v>
      </c>
      <c r="D5" s="322"/>
      <c r="E5" s="322"/>
      <c r="F5" s="322"/>
      <c r="G5" s="322"/>
      <c r="I5" s="392">
        <f>I4/I3</f>
        <v>1.1003426613363794</v>
      </c>
      <c r="J5" s="382" t="s">
        <v>492</v>
      </c>
    </row>
    <row r="6" spans="1:10">
      <c r="B6" s="323" t="s">
        <v>488</v>
      </c>
      <c r="C6" s="321" t="s">
        <v>486</v>
      </c>
      <c r="D6" s="322"/>
      <c r="E6" s="322"/>
      <c r="F6" s="322"/>
      <c r="G6" s="322"/>
    </row>
    <row r="7" spans="1:10">
      <c r="B7" s="320" t="s">
        <v>486</v>
      </c>
      <c r="C7" s="321" t="s">
        <v>486</v>
      </c>
      <c r="D7" s="322"/>
      <c r="E7" s="322"/>
      <c r="F7" s="322"/>
      <c r="G7" s="322"/>
    </row>
    <row r="8" spans="1:10">
      <c r="B8" s="321" t="s">
        <v>489</v>
      </c>
      <c r="C8" s="321" t="s">
        <v>486</v>
      </c>
      <c r="D8" s="322"/>
      <c r="E8" s="322"/>
      <c r="F8" s="322"/>
      <c r="G8" s="322"/>
    </row>
    <row r="9" spans="1:10">
      <c r="B9" s="320" t="s">
        <v>484</v>
      </c>
      <c r="C9" s="321" t="s">
        <v>484</v>
      </c>
      <c r="D9" s="322" t="s">
        <v>484</v>
      </c>
      <c r="E9" s="322" t="s">
        <v>484</v>
      </c>
      <c r="F9" s="322" t="s">
        <v>484</v>
      </c>
      <c r="G9" s="322"/>
    </row>
    <row r="10" spans="1:10">
      <c r="B10" s="320" t="s">
        <v>486</v>
      </c>
      <c r="C10" s="321" t="s">
        <v>486</v>
      </c>
      <c r="D10" s="322"/>
      <c r="E10" s="320" t="s">
        <v>490</v>
      </c>
      <c r="F10" s="320" t="s">
        <v>491</v>
      </c>
      <c r="G10" s="320"/>
    </row>
    <row r="11" spans="1:10">
      <c r="B11" s="320" t="s">
        <v>494</v>
      </c>
      <c r="C11" s="321" t="s">
        <v>495</v>
      </c>
      <c r="D11" s="320" t="s">
        <v>496</v>
      </c>
      <c r="E11" s="320" t="s">
        <v>496</v>
      </c>
      <c r="F11" s="320" t="s">
        <v>496</v>
      </c>
      <c r="G11" s="320"/>
      <c r="H11" s="408" t="s">
        <v>117</v>
      </c>
    </row>
    <row r="12" spans="1:10">
      <c r="B12" s="320" t="s">
        <v>486</v>
      </c>
      <c r="C12" s="321" t="s">
        <v>486</v>
      </c>
      <c r="D12" s="322"/>
      <c r="E12" s="322"/>
      <c r="F12" s="322"/>
      <c r="G12" s="322"/>
    </row>
    <row r="13" spans="1:10" ht="45">
      <c r="B13" s="320" t="s">
        <v>486</v>
      </c>
      <c r="C13" s="324" t="s">
        <v>497</v>
      </c>
      <c r="D13" s="322"/>
      <c r="E13" s="322"/>
      <c r="F13" s="322"/>
      <c r="G13" s="322"/>
    </row>
    <row r="14" spans="1:10">
      <c r="A14" s="383">
        <v>1904</v>
      </c>
      <c r="B14" s="320" t="s">
        <v>498</v>
      </c>
      <c r="C14" s="321" t="s">
        <v>499</v>
      </c>
      <c r="D14" s="322"/>
      <c r="E14" s="322">
        <v>528.16999999999996</v>
      </c>
      <c r="F14" s="322">
        <v>1126</v>
      </c>
      <c r="G14" s="322"/>
      <c r="H14" s="457">
        <f>E14*$I$5</f>
        <v>581.16798343803544</v>
      </c>
    </row>
    <row r="15" spans="1:10">
      <c r="B15" s="320" t="s">
        <v>486</v>
      </c>
      <c r="C15" s="321" t="s">
        <v>486</v>
      </c>
      <c r="D15" s="322"/>
      <c r="E15" s="322"/>
      <c r="F15" s="322"/>
      <c r="G15" s="322"/>
    </row>
    <row r="16" spans="1:10">
      <c r="B16" s="320" t="s">
        <v>486</v>
      </c>
      <c r="C16" s="323" t="s">
        <v>538</v>
      </c>
      <c r="D16" s="322"/>
      <c r="E16" s="322"/>
      <c r="F16" s="322"/>
      <c r="G16" s="322"/>
    </row>
    <row r="17" spans="1:8">
      <c r="A17" s="383">
        <v>1351</v>
      </c>
      <c r="B17" s="320" t="s">
        <v>539</v>
      </c>
      <c r="C17" s="321" t="s">
        <v>538</v>
      </c>
      <c r="D17" s="322"/>
      <c r="E17" s="322">
        <v>39787.49</v>
      </c>
      <c r="F17" s="322">
        <v>67588.240000000005</v>
      </c>
      <c r="G17" s="322"/>
      <c r="H17" s="457">
        <f>E17*$I$5</f>
        <v>43779.872634494575</v>
      </c>
    </row>
    <row r="18" spans="1:8">
      <c r="B18" s="320" t="s">
        <v>486</v>
      </c>
      <c r="C18" s="321" t="s">
        <v>486</v>
      </c>
      <c r="D18" s="322"/>
      <c r="E18" s="322"/>
      <c r="F18" s="322"/>
      <c r="G18" s="322"/>
    </row>
    <row r="19" spans="1:8">
      <c r="B19" s="320" t="s">
        <v>486</v>
      </c>
      <c r="C19" s="323" t="s">
        <v>500</v>
      </c>
      <c r="D19" s="322"/>
      <c r="E19" s="322"/>
      <c r="F19" s="322"/>
      <c r="G19" s="322"/>
    </row>
    <row r="20" spans="1:8">
      <c r="A20" s="383">
        <v>1307</v>
      </c>
      <c r="B20" s="320" t="s">
        <v>501</v>
      </c>
      <c r="C20" s="321" t="s">
        <v>502</v>
      </c>
      <c r="D20" s="322">
        <v>1119.6199999999999</v>
      </c>
      <c r="E20" s="322"/>
      <c r="F20" s="322">
        <v>1119.6199999999999</v>
      </c>
      <c r="G20" s="322"/>
      <c r="H20" s="458">
        <f>D20*$I$5</f>
        <v>1231.965650485437</v>
      </c>
    </row>
    <row r="21" spans="1:8">
      <c r="B21" s="320" t="s">
        <v>503</v>
      </c>
      <c r="C21" s="321" t="s">
        <v>504</v>
      </c>
      <c r="D21" s="322">
        <v>0</v>
      </c>
      <c r="E21" s="322"/>
      <c r="F21" s="322">
        <v>165.72</v>
      </c>
      <c r="G21" s="322"/>
      <c r="H21" s="458">
        <f t="shared" ref="H21:H27" si="0">D21*$I$5</f>
        <v>0</v>
      </c>
    </row>
    <row r="22" spans="1:8">
      <c r="B22" s="320" t="s">
        <v>505</v>
      </c>
      <c r="C22" s="321" t="s">
        <v>506</v>
      </c>
      <c r="D22" s="322">
        <v>0</v>
      </c>
      <c r="E22" s="322"/>
      <c r="F22" s="322">
        <v>130.11000000000001</v>
      </c>
      <c r="G22" s="322"/>
      <c r="H22" s="458">
        <f t="shared" si="0"/>
        <v>0</v>
      </c>
    </row>
    <row r="23" spans="1:8">
      <c r="A23" s="383">
        <v>1357</v>
      </c>
      <c r="B23" s="320" t="s">
        <v>507</v>
      </c>
      <c r="C23" s="321" t="s">
        <v>508</v>
      </c>
      <c r="D23" s="322">
        <v>3044.1</v>
      </c>
      <c r="E23" s="322"/>
      <c r="F23" s="322">
        <v>3670.93</v>
      </c>
      <c r="G23" s="322"/>
      <c r="H23" s="458">
        <f t="shared" si="0"/>
        <v>3349.5530953740722</v>
      </c>
    </row>
    <row r="24" spans="1:8">
      <c r="B24" s="320" t="s">
        <v>737</v>
      </c>
      <c r="C24" s="321" t="s">
        <v>725</v>
      </c>
      <c r="D24" s="322">
        <v>0</v>
      </c>
      <c r="E24" s="322"/>
      <c r="F24" s="322">
        <v>219.98</v>
      </c>
      <c r="G24" s="322"/>
      <c r="H24" s="458">
        <f t="shared" si="0"/>
        <v>0</v>
      </c>
    </row>
    <row r="25" spans="1:8">
      <c r="A25" s="383">
        <v>1357</v>
      </c>
      <c r="B25" s="320" t="s">
        <v>509</v>
      </c>
      <c r="C25" s="321" t="s">
        <v>510</v>
      </c>
      <c r="D25" s="322">
        <v>-2941.02</v>
      </c>
      <c r="E25" s="322"/>
      <c r="F25" s="322">
        <v>-2455.9499999999998</v>
      </c>
      <c r="G25" s="322"/>
      <c r="H25" s="458">
        <f t="shared" si="0"/>
        <v>-3236.1297738435183</v>
      </c>
    </row>
    <row r="26" spans="1:8">
      <c r="A26" s="383">
        <v>1357</v>
      </c>
      <c r="B26" s="320" t="s">
        <v>511</v>
      </c>
      <c r="C26" s="321" t="s">
        <v>512</v>
      </c>
      <c r="D26" s="322">
        <v>2270.9699999999998</v>
      </c>
      <c r="E26" s="322"/>
      <c r="F26" s="322">
        <v>2526.3200000000002</v>
      </c>
      <c r="G26" s="322"/>
      <c r="H26" s="458">
        <f t="shared" si="0"/>
        <v>2498.8451736150773</v>
      </c>
    </row>
    <row r="27" spans="1:8">
      <c r="A27" s="383">
        <v>1357</v>
      </c>
      <c r="B27" s="320" t="s">
        <v>689</v>
      </c>
      <c r="C27" s="321" t="s">
        <v>690</v>
      </c>
      <c r="D27" s="373">
        <v>536.28</v>
      </c>
      <c r="E27" s="322">
        <v>4029.95</v>
      </c>
      <c r="F27" s="322">
        <v>0</v>
      </c>
      <c r="G27" s="322"/>
      <c r="H27" s="459">
        <f t="shared" si="0"/>
        <v>590.0917624214735</v>
      </c>
    </row>
    <row r="28" spans="1:8">
      <c r="B28" s="320" t="s">
        <v>486</v>
      </c>
      <c r="C28" s="321" t="s">
        <v>486</v>
      </c>
      <c r="D28" s="322"/>
      <c r="E28" s="322"/>
      <c r="F28" s="322"/>
      <c r="G28" s="322"/>
      <c r="H28" s="457">
        <f>SUM(H20:H27)</f>
        <v>4434.3259080525422</v>
      </c>
    </row>
    <row r="29" spans="1:8" ht="45">
      <c r="B29" s="320" t="s">
        <v>486</v>
      </c>
      <c r="C29" s="324" t="s">
        <v>513</v>
      </c>
      <c r="D29" s="322"/>
      <c r="E29" s="322"/>
      <c r="F29" s="322"/>
      <c r="G29" s="322"/>
    </row>
    <row r="30" spans="1:8">
      <c r="A30" s="383">
        <v>1307</v>
      </c>
      <c r="B30" s="320" t="s">
        <v>514</v>
      </c>
      <c r="C30" s="321" t="s">
        <v>515</v>
      </c>
      <c r="D30" s="322"/>
      <c r="E30" s="322">
        <v>2948.7</v>
      </c>
      <c r="F30" s="322">
        <v>11607.66</v>
      </c>
      <c r="G30" s="322"/>
      <c r="H30" s="457">
        <f>E30*$I$5</f>
        <v>3244.5804054825817</v>
      </c>
    </row>
    <row r="31" spans="1:8">
      <c r="B31" s="320" t="s">
        <v>486</v>
      </c>
      <c r="C31" s="321" t="s">
        <v>486</v>
      </c>
      <c r="D31" s="322"/>
      <c r="E31" s="322"/>
      <c r="F31" s="322"/>
      <c r="G31" s="322"/>
    </row>
    <row r="32" spans="1:8">
      <c r="B32" s="320" t="s">
        <v>486</v>
      </c>
      <c r="C32" s="323" t="s">
        <v>516</v>
      </c>
      <c r="D32" s="322"/>
      <c r="E32" s="322"/>
      <c r="F32" s="322"/>
      <c r="G32" s="322"/>
    </row>
    <row r="33" spans="1:10">
      <c r="B33" s="320" t="s">
        <v>486</v>
      </c>
      <c r="C33" s="321" t="s">
        <v>517</v>
      </c>
      <c r="D33" s="322"/>
      <c r="E33" s="322">
        <v>0</v>
      </c>
      <c r="F33" s="322">
        <v>40893.94</v>
      </c>
      <c r="G33" s="322"/>
    </row>
    <row r="34" spans="1:10">
      <c r="B34" s="320" t="s">
        <v>486</v>
      </c>
      <c r="C34" s="321" t="s">
        <v>486</v>
      </c>
      <c r="D34" s="322"/>
      <c r="E34" s="322"/>
      <c r="F34" s="322"/>
      <c r="G34" s="322"/>
    </row>
    <row r="35" spans="1:10">
      <c r="B35" s="320" t="s">
        <v>486</v>
      </c>
      <c r="C35" s="323" t="s">
        <v>500</v>
      </c>
      <c r="D35" s="322"/>
      <c r="E35" s="322"/>
      <c r="F35" s="322"/>
      <c r="G35" s="322"/>
    </row>
    <row r="36" spans="1:10">
      <c r="A36" s="383">
        <v>1358</v>
      </c>
      <c r="B36" s="320" t="s">
        <v>660</v>
      </c>
      <c r="C36" s="321" t="s">
        <v>486</v>
      </c>
      <c r="D36" s="322">
        <v>66.8</v>
      </c>
      <c r="E36" s="322"/>
      <c r="F36" s="322">
        <v>0</v>
      </c>
      <c r="G36" s="322"/>
      <c r="H36" s="458">
        <f t="shared" ref="H36:H37" si="1">D36*$I$5</f>
        <v>73.502889777270141</v>
      </c>
    </row>
    <row r="37" spans="1:10">
      <c r="A37" s="383">
        <v>1358</v>
      </c>
      <c r="B37" s="320" t="s">
        <v>524</v>
      </c>
      <c r="C37" s="321" t="s">
        <v>525</v>
      </c>
      <c r="D37" s="373">
        <v>2959.4</v>
      </c>
      <c r="E37" s="322">
        <v>3026.2</v>
      </c>
      <c r="F37" s="322">
        <v>0</v>
      </c>
      <c r="G37" s="322"/>
      <c r="H37" s="459">
        <f t="shared" si="1"/>
        <v>3256.3540719588814</v>
      </c>
    </row>
    <row r="38" spans="1:10">
      <c r="B38" s="320" t="s">
        <v>486</v>
      </c>
      <c r="C38" s="321" t="s">
        <v>486</v>
      </c>
      <c r="D38" s="322"/>
      <c r="E38" s="373"/>
      <c r="F38" s="373"/>
      <c r="G38" s="322"/>
      <c r="H38" s="460">
        <f>SUM(H36:H37)</f>
        <v>3329.8569617361513</v>
      </c>
    </row>
    <row r="39" spans="1:10">
      <c r="B39" s="320" t="s">
        <v>486</v>
      </c>
      <c r="C39" s="321" t="s">
        <v>486</v>
      </c>
      <c r="D39" s="322"/>
      <c r="E39" s="322"/>
      <c r="F39" s="322"/>
      <c r="G39" s="322"/>
    </row>
    <row r="40" spans="1:10">
      <c r="B40" s="320" t="s">
        <v>486</v>
      </c>
      <c r="C40" s="321" t="s">
        <v>518</v>
      </c>
      <c r="D40" s="322"/>
      <c r="E40" s="411">
        <v>50320.51</v>
      </c>
      <c r="F40" s="322">
        <v>126592.57</v>
      </c>
      <c r="G40" s="322"/>
      <c r="H40" s="457">
        <f>H38+H30+H28+H17+H14</f>
        <v>55369.803893203883</v>
      </c>
      <c r="I40" s="461">
        <f>H40/E40</f>
        <v>1.1003426613363791</v>
      </c>
    </row>
    <row r="41" spans="1:10" ht="15.75" thickBot="1">
      <c r="B41" s="320" t="s">
        <v>486</v>
      </c>
      <c r="C41" s="321" t="s">
        <v>486</v>
      </c>
      <c r="D41" s="322"/>
      <c r="E41" s="376"/>
      <c r="F41" s="376"/>
      <c r="G41" s="322"/>
      <c r="H41" s="462"/>
    </row>
    <row r="42" spans="1:10" ht="15.75" thickTop="1">
      <c r="B42" s="321" t="s">
        <v>519</v>
      </c>
      <c r="C42" s="321" t="s">
        <v>486</v>
      </c>
      <c r="D42" s="322"/>
      <c r="E42" s="322"/>
      <c r="F42" s="322"/>
      <c r="G42" s="322"/>
    </row>
    <row r="43" spans="1:10">
      <c r="B43" s="320" t="s">
        <v>484</v>
      </c>
      <c r="C43" s="321" t="s">
        <v>484</v>
      </c>
      <c r="D43" s="322" t="s">
        <v>484</v>
      </c>
      <c r="E43" s="322" t="s">
        <v>484</v>
      </c>
      <c r="F43" s="322" t="s">
        <v>484</v>
      </c>
      <c r="G43" s="322"/>
    </row>
    <row r="44" spans="1:10">
      <c r="B44" s="320" t="s">
        <v>486</v>
      </c>
      <c r="C44" s="321" t="s">
        <v>486</v>
      </c>
      <c r="D44" s="322"/>
      <c r="E44" s="320" t="s">
        <v>490</v>
      </c>
      <c r="F44" s="320" t="s">
        <v>491</v>
      </c>
      <c r="G44" s="320"/>
    </row>
    <row r="45" spans="1:10">
      <c r="B45" s="320" t="s">
        <v>494</v>
      </c>
      <c r="C45" s="321" t="s">
        <v>495</v>
      </c>
      <c r="D45" s="320" t="s">
        <v>496</v>
      </c>
      <c r="E45" s="320" t="s">
        <v>496</v>
      </c>
      <c r="F45" s="320" t="s">
        <v>496</v>
      </c>
      <c r="G45" s="320"/>
    </row>
    <row r="46" spans="1:10">
      <c r="B46" s="320" t="s">
        <v>486</v>
      </c>
      <c r="C46" s="321" t="s">
        <v>486</v>
      </c>
      <c r="D46" s="322"/>
      <c r="E46" s="322"/>
      <c r="F46" s="322"/>
      <c r="G46" s="322"/>
    </row>
    <row r="47" spans="1:10">
      <c r="B47" s="320" t="s">
        <v>486</v>
      </c>
      <c r="C47" s="323" t="s">
        <v>520</v>
      </c>
      <c r="D47" s="322"/>
      <c r="E47" s="322"/>
      <c r="F47" s="322"/>
      <c r="G47" s="322"/>
      <c r="I47" s="463" t="s">
        <v>665</v>
      </c>
      <c r="J47" s="319" t="s">
        <v>407</v>
      </c>
    </row>
    <row r="48" spans="1:10">
      <c r="A48" s="383">
        <v>1842</v>
      </c>
      <c r="B48" s="320" t="s">
        <v>521</v>
      </c>
      <c r="C48" s="321" t="s">
        <v>520</v>
      </c>
      <c r="D48" s="322"/>
      <c r="E48" s="322">
        <v>25000</v>
      </c>
      <c r="F48" s="322">
        <v>25000</v>
      </c>
      <c r="G48" s="322"/>
      <c r="H48" s="340">
        <f>E48*$I$5</f>
        <v>27508.566533409485</v>
      </c>
      <c r="I48" s="467">
        <v>28054</v>
      </c>
      <c r="J48" s="340">
        <f>H48-I48</f>
        <v>-545.43346659051531</v>
      </c>
    </row>
    <row r="49" spans="1:11">
      <c r="B49" s="320" t="s">
        <v>486</v>
      </c>
      <c r="C49" s="321" t="s">
        <v>486</v>
      </c>
      <c r="D49" s="322"/>
      <c r="E49" s="322"/>
      <c r="F49" s="322"/>
      <c r="G49" s="322"/>
      <c r="H49" s="319"/>
      <c r="I49" s="383"/>
    </row>
    <row r="50" spans="1:11" ht="30">
      <c r="B50" s="320" t="s">
        <v>486</v>
      </c>
      <c r="C50" s="324" t="s">
        <v>656</v>
      </c>
      <c r="D50" s="322"/>
      <c r="E50" s="322"/>
      <c r="F50" s="322"/>
      <c r="G50" s="322"/>
      <c r="H50" s="319"/>
      <c r="I50" s="468" t="s">
        <v>665</v>
      </c>
      <c r="J50" s="319" t="s">
        <v>407</v>
      </c>
    </row>
    <row r="51" spans="1:11">
      <c r="A51" s="383">
        <v>9410</v>
      </c>
      <c r="B51" s="320" t="s">
        <v>657</v>
      </c>
      <c r="C51" s="321" t="s">
        <v>658</v>
      </c>
      <c r="D51" s="322"/>
      <c r="E51" s="322">
        <v>11943.69</v>
      </c>
      <c r="F51" s="322">
        <v>6553.33</v>
      </c>
      <c r="G51" s="322"/>
      <c r="H51" s="340">
        <f>E51*$I$5</f>
        <v>13142.151640776701</v>
      </c>
      <c r="I51" s="467">
        <v>13158</v>
      </c>
      <c r="J51" s="340">
        <f>H51-I51</f>
        <v>-15.848359223298758</v>
      </c>
    </row>
    <row r="52" spans="1:11">
      <c r="B52" s="320" t="s">
        <v>486</v>
      </c>
      <c r="C52" s="321" t="s">
        <v>486</v>
      </c>
      <c r="D52" s="322"/>
      <c r="E52" s="322"/>
      <c r="F52" s="322"/>
      <c r="G52" s="322"/>
      <c r="H52" s="319"/>
      <c r="I52" s="383"/>
    </row>
    <row r="53" spans="1:11" ht="30">
      <c r="B53" s="320" t="s">
        <v>486</v>
      </c>
      <c r="C53" s="324" t="s">
        <v>545</v>
      </c>
      <c r="D53" s="322"/>
      <c r="E53" s="322"/>
      <c r="F53" s="322"/>
      <c r="G53" s="322"/>
      <c r="H53" s="319"/>
      <c r="I53" s="383"/>
    </row>
    <row r="54" spans="1:11">
      <c r="B54" s="320" t="s">
        <v>486</v>
      </c>
      <c r="C54" s="403" t="s">
        <v>546</v>
      </c>
      <c r="D54" s="404"/>
      <c r="E54" s="404">
        <v>4149.8999999999996</v>
      </c>
      <c r="F54" s="404">
        <v>-72447.27</v>
      </c>
      <c r="G54" s="404"/>
      <c r="H54" s="340">
        <f>E54*I5</f>
        <v>4566.3120102798403</v>
      </c>
      <c r="I54" s="464">
        <f>'GMBH P&amp;L 31.05.2020'!H55</f>
        <v>4005.0322662953863</v>
      </c>
      <c r="J54" s="340">
        <f>H54+(J48+J51)</f>
        <v>4005.0301844660262</v>
      </c>
      <c r="K54" s="340">
        <f>I54-J54</f>
        <v>2.0818293601223559E-3</v>
      </c>
    </row>
    <row r="55" spans="1:11">
      <c r="B55" s="320" t="s">
        <v>486</v>
      </c>
      <c r="C55" s="321" t="s">
        <v>486</v>
      </c>
      <c r="D55" s="322"/>
      <c r="E55" s="322"/>
      <c r="F55" s="322"/>
      <c r="G55" s="322"/>
    </row>
    <row r="56" spans="1:11">
      <c r="B56" s="320" t="s">
        <v>486</v>
      </c>
      <c r="C56" s="323" t="s">
        <v>522</v>
      </c>
      <c r="D56" s="322"/>
      <c r="E56" s="322"/>
      <c r="F56" s="322"/>
      <c r="G56" s="322"/>
    </row>
    <row r="57" spans="1:11">
      <c r="B57" s="320" t="s">
        <v>486</v>
      </c>
      <c r="C57" s="321" t="s">
        <v>517</v>
      </c>
      <c r="D57" s="322"/>
      <c r="E57" s="322">
        <v>0</v>
      </c>
      <c r="F57" s="322">
        <v>40893.94</v>
      </c>
      <c r="G57" s="322"/>
    </row>
    <row r="58" spans="1:11">
      <c r="B58" s="320" t="s">
        <v>486</v>
      </c>
      <c r="C58" s="321" t="s">
        <v>486</v>
      </c>
      <c r="D58" s="322"/>
      <c r="E58" s="322"/>
      <c r="F58" s="322"/>
      <c r="G58" s="322"/>
    </row>
    <row r="59" spans="1:11">
      <c r="B59" s="320" t="s">
        <v>486</v>
      </c>
      <c r="C59" s="323" t="s">
        <v>548</v>
      </c>
      <c r="D59" s="322"/>
      <c r="E59" s="322"/>
      <c r="F59" s="322"/>
      <c r="G59" s="322"/>
    </row>
    <row r="60" spans="1:11">
      <c r="A60" s="383">
        <v>2688</v>
      </c>
      <c r="B60" s="320" t="s">
        <v>549</v>
      </c>
      <c r="C60" s="321" t="s">
        <v>550</v>
      </c>
      <c r="D60" s="322">
        <v>1905</v>
      </c>
      <c r="E60" s="322"/>
      <c r="F60" s="322">
        <v>1040</v>
      </c>
      <c r="G60" s="322"/>
      <c r="H60" s="458">
        <f t="shared" ref="H60:H61" si="2">D60*$I$5</f>
        <v>2096.1527698458026</v>
      </c>
    </row>
    <row r="61" spans="1:11">
      <c r="A61" s="383">
        <v>2688</v>
      </c>
      <c r="B61" s="320" t="s">
        <v>551</v>
      </c>
      <c r="C61" s="321" t="s">
        <v>552</v>
      </c>
      <c r="D61" s="373">
        <v>2624.84</v>
      </c>
      <c r="E61" s="322">
        <v>4529.84</v>
      </c>
      <c r="F61" s="322">
        <v>1436.91</v>
      </c>
      <c r="G61" s="322"/>
      <c r="H61" s="459">
        <f t="shared" si="2"/>
        <v>2888.2234311821821</v>
      </c>
    </row>
    <row r="62" spans="1:11">
      <c r="B62" s="320" t="s">
        <v>486</v>
      </c>
      <c r="C62" s="321" t="s">
        <v>486</v>
      </c>
      <c r="D62" s="322"/>
      <c r="E62" s="322"/>
      <c r="F62" s="322"/>
      <c r="G62" s="322"/>
      <c r="H62" s="457">
        <f>SUM(H60:H61)</f>
        <v>4984.3762010279843</v>
      </c>
    </row>
    <row r="63" spans="1:11">
      <c r="B63" s="320" t="s">
        <v>486</v>
      </c>
      <c r="C63" s="323" t="s">
        <v>523</v>
      </c>
      <c r="D63" s="322"/>
      <c r="E63" s="322"/>
      <c r="F63" s="322"/>
      <c r="G63" s="322"/>
    </row>
    <row r="64" spans="1:11">
      <c r="B64" s="320" t="s">
        <v>524</v>
      </c>
      <c r="C64" s="321" t="s">
        <v>525</v>
      </c>
      <c r="D64" s="322"/>
      <c r="E64" s="322">
        <v>0</v>
      </c>
      <c r="F64" s="322">
        <v>2600</v>
      </c>
      <c r="G64" s="322"/>
    </row>
    <row r="65" spans="1:8">
      <c r="B65" s="320" t="s">
        <v>486</v>
      </c>
      <c r="C65" s="321" t="s">
        <v>486</v>
      </c>
      <c r="D65" s="322"/>
      <c r="E65" s="322"/>
      <c r="F65" s="322"/>
      <c r="G65" s="322"/>
    </row>
    <row r="66" spans="1:8">
      <c r="B66" s="320" t="s">
        <v>486</v>
      </c>
      <c r="C66" s="323" t="s">
        <v>9</v>
      </c>
      <c r="D66" s="322"/>
      <c r="E66" s="322"/>
      <c r="F66" s="322"/>
      <c r="G66" s="322"/>
    </row>
    <row r="67" spans="1:8">
      <c r="B67" s="320" t="s">
        <v>695</v>
      </c>
      <c r="C67" s="321" t="s">
        <v>696</v>
      </c>
      <c r="D67" s="322">
        <v>0</v>
      </c>
      <c r="E67" s="322"/>
      <c r="F67" s="322">
        <v>80000</v>
      </c>
      <c r="G67" s="322"/>
      <c r="H67" s="458">
        <f t="shared" ref="H67:H69" si="3">D67*$I$5</f>
        <v>0</v>
      </c>
    </row>
    <row r="68" spans="1:8">
      <c r="A68" s="383">
        <v>2689</v>
      </c>
      <c r="B68" s="320" t="s">
        <v>526</v>
      </c>
      <c r="C68" s="321" t="s">
        <v>9</v>
      </c>
      <c r="D68" s="322">
        <v>4697.08</v>
      </c>
      <c r="E68" s="322"/>
      <c r="F68" s="322">
        <v>10689.59</v>
      </c>
      <c r="G68" s="322"/>
      <c r="H68" s="458">
        <f t="shared" si="3"/>
        <v>5168.3975077098803</v>
      </c>
    </row>
    <row r="69" spans="1:8">
      <c r="B69" s="320" t="s">
        <v>661</v>
      </c>
      <c r="C69" s="321" t="s">
        <v>529</v>
      </c>
      <c r="D69" s="373">
        <v>0</v>
      </c>
      <c r="E69" s="322">
        <v>4697.08</v>
      </c>
      <c r="F69" s="322">
        <v>30826.07</v>
      </c>
      <c r="G69" s="322"/>
      <c r="H69" s="459">
        <f t="shared" si="3"/>
        <v>0</v>
      </c>
    </row>
    <row r="70" spans="1:8">
      <c r="B70" s="320" t="s">
        <v>486</v>
      </c>
      <c r="C70" s="321" t="s">
        <v>486</v>
      </c>
      <c r="D70" s="322"/>
      <c r="E70" s="322"/>
      <c r="F70" s="322"/>
      <c r="G70" s="322"/>
      <c r="H70" s="457">
        <f>SUM(H67:H69)</f>
        <v>5168.3975077098803</v>
      </c>
    </row>
    <row r="71" spans="1:8" ht="30">
      <c r="B71" s="320" t="s">
        <v>486</v>
      </c>
      <c r="C71" s="324" t="s">
        <v>728</v>
      </c>
      <c r="D71" s="322"/>
      <c r="E71" s="322"/>
      <c r="F71" s="322"/>
      <c r="G71" s="322"/>
    </row>
    <row r="72" spans="1:8">
      <c r="B72" s="320" t="s">
        <v>695</v>
      </c>
      <c r="C72" s="321" t="s">
        <v>696</v>
      </c>
      <c r="D72" s="322"/>
      <c r="E72" s="322"/>
      <c r="F72" s="322"/>
      <c r="G72" s="322"/>
    </row>
    <row r="73" spans="1:8">
      <c r="B73" s="320" t="s">
        <v>486</v>
      </c>
      <c r="C73" s="321" t="s">
        <v>486</v>
      </c>
      <c r="D73" s="322"/>
      <c r="E73" s="322"/>
      <c r="F73" s="322"/>
      <c r="G73" s="322"/>
    </row>
    <row r="74" spans="1:8" ht="30">
      <c r="B74" s="320" t="s">
        <v>486</v>
      </c>
      <c r="C74" s="324" t="s">
        <v>738</v>
      </c>
      <c r="D74" s="322"/>
      <c r="E74" s="322"/>
      <c r="F74" s="322"/>
      <c r="G74" s="322"/>
    </row>
    <row r="75" spans="1:8">
      <c r="B75" s="320" t="s">
        <v>661</v>
      </c>
      <c r="C75" s="321" t="s">
        <v>529</v>
      </c>
      <c r="D75" s="322"/>
      <c r="E75" s="322"/>
      <c r="F75" s="322"/>
      <c r="G75" s="322"/>
    </row>
    <row r="76" spans="1:8">
      <c r="B76" s="320" t="s">
        <v>486</v>
      </c>
      <c r="C76" s="321" t="s">
        <v>486</v>
      </c>
      <c r="D76" s="322"/>
      <c r="E76" s="322"/>
      <c r="F76" s="322"/>
      <c r="G76" s="322"/>
    </row>
    <row r="77" spans="1:8" ht="45">
      <c r="B77" s="320" t="s">
        <v>486</v>
      </c>
      <c r="C77" s="324" t="s">
        <v>739</v>
      </c>
      <c r="D77" s="322"/>
      <c r="E77" s="322"/>
      <c r="F77" s="322"/>
      <c r="G77" s="322"/>
    </row>
    <row r="78" spans="1:8">
      <c r="B78" s="320" t="s">
        <v>695</v>
      </c>
      <c r="C78" s="321" t="s">
        <v>696</v>
      </c>
      <c r="D78" s="322"/>
      <c r="E78" s="322"/>
      <c r="F78" s="322"/>
      <c r="G78" s="322"/>
    </row>
    <row r="79" spans="1:8">
      <c r="B79" s="320" t="s">
        <v>526</v>
      </c>
      <c r="C79" s="321" t="s">
        <v>9</v>
      </c>
      <c r="D79" s="322"/>
      <c r="E79" s="322"/>
      <c r="F79" s="322"/>
      <c r="G79" s="322"/>
    </row>
    <row r="80" spans="1:8">
      <c r="B80" s="320" t="s">
        <v>661</v>
      </c>
      <c r="C80" s="321" t="s">
        <v>529</v>
      </c>
      <c r="D80" s="322"/>
      <c r="E80" s="322"/>
      <c r="F80" s="322"/>
      <c r="G80" s="322"/>
    </row>
    <row r="81" spans="2:9">
      <c r="B81" s="320" t="s">
        <v>486</v>
      </c>
      <c r="C81" s="321" t="s">
        <v>486</v>
      </c>
      <c r="D81" s="322"/>
      <c r="E81" s="373"/>
      <c r="F81" s="373"/>
      <c r="G81" s="322"/>
      <c r="H81" s="465"/>
    </row>
    <row r="82" spans="2:9">
      <c r="B82" s="320" t="s">
        <v>486</v>
      </c>
      <c r="C82" s="321" t="s">
        <v>486</v>
      </c>
      <c r="D82" s="322"/>
      <c r="E82" s="322"/>
      <c r="F82" s="322"/>
      <c r="G82" s="322"/>
    </row>
    <row r="83" spans="2:9">
      <c r="B83" s="320" t="s">
        <v>486</v>
      </c>
      <c r="C83" s="321" t="s">
        <v>530</v>
      </c>
      <c r="D83" s="322"/>
      <c r="E83" s="322">
        <v>50320.51</v>
      </c>
      <c r="F83" s="322">
        <v>126592.57</v>
      </c>
      <c r="G83" s="322"/>
      <c r="H83" s="457">
        <f>H70+H62+I54+I51+I48</f>
        <v>55369.805975033247</v>
      </c>
      <c r="I83" s="461">
        <f>H83/E83</f>
        <v>1.1003427027077675</v>
      </c>
    </row>
    <row r="84" spans="2:9" ht="15.75" thickBot="1">
      <c r="B84" s="320" t="s">
        <v>486</v>
      </c>
      <c r="C84" s="321" t="s">
        <v>486</v>
      </c>
      <c r="D84" s="322"/>
      <c r="E84" s="376"/>
      <c r="F84" s="376"/>
      <c r="G84" s="322"/>
      <c r="H84" s="462"/>
    </row>
    <row r="85" spans="2:9" ht="15.75" thickTop="1"/>
    <row r="86" spans="2:9">
      <c r="H86" s="458">
        <f>H83-H40</f>
        <v>2.0818293633055873E-3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E48C6-49F7-4432-9B85-067174E6F3E0}">
  <sheetPr>
    <outlinePr summaryBelow="0"/>
  </sheetPr>
  <dimension ref="A1:J57"/>
  <sheetViews>
    <sheetView zoomScale="90" zoomScaleNormal="90" workbookViewId="0">
      <selection activeCell="A14" sqref="A14"/>
    </sheetView>
  </sheetViews>
  <sheetFormatPr defaultColWidth="12.5703125" defaultRowHeight="15"/>
  <cols>
    <col min="1" max="1" width="12.5703125" style="319"/>
    <col min="2" max="2" width="24" style="319" customWidth="1"/>
    <col min="3" max="3" width="50.42578125" style="319" customWidth="1"/>
    <col min="4" max="4" width="14.5703125" style="319" customWidth="1"/>
    <col min="5" max="5" width="19.5703125" style="319" customWidth="1"/>
    <col min="6" max="6" width="19.42578125" style="319" hidden="1" customWidth="1"/>
    <col min="7" max="7" width="12.5703125" style="319"/>
    <col min="8" max="8" width="12.5703125" style="383"/>
    <col min="9" max="9" width="8.5703125" style="319" bestFit="1" customWidth="1"/>
    <col min="10" max="10" width="23.42578125" style="319" bestFit="1" customWidth="1"/>
    <col min="11" max="16384" width="12.5703125" style="319"/>
  </cols>
  <sheetData>
    <row r="1" spans="1:10">
      <c r="B1" s="320" t="s">
        <v>484</v>
      </c>
      <c r="C1" s="321" t="s">
        <v>484</v>
      </c>
      <c r="D1" s="322" t="s">
        <v>484</v>
      </c>
      <c r="E1" s="322" t="s">
        <v>484</v>
      </c>
      <c r="F1" s="322" t="s">
        <v>484</v>
      </c>
    </row>
    <row r="2" spans="1:10">
      <c r="B2" s="323" t="s">
        <v>667</v>
      </c>
      <c r="C2" s="321" t="s">
        <v>486</v>
      </c>
      <c r="D2" s="322"/>
      <c r="E2" s="322"/>
      <c r="F2" s="322"/>
    </row>
    <row r="3" spans="1:10">
      <c r="B3" s="321" t="s">
        <v>668</v>
      </c>
      <c r="C3" s="321" t="s">
        <v>486</v>
      </c>
      <c r="D3" s="322"/>
      <c r="E3" s="322"/>
      <c r="F3" s="322"/>
      <c r="I3" s="391">
        <v>3.5194000000000001</v>
      </c>
      <c r="J3" s="380" t="s">
        <v>740</v>
      </c>
    </row>
    <row r="4" spans="1:10">
      <c r="B4" s="321" t="s">
        <v>741</v>
      </c>
      <c r="C4" s="321" t="s">
        <v>486</v>
      </c>
      <c r="D4" s="322"/>
      <c r="E4" s="322"/>
      <c r="F4" s="322"/>
      <c r="I4" s="392">
        <v>3.8555000000000001</v>
      </c>
      <c r="J4" s="382" t="s">
        <v>742</v>
      </c>
    </row>
    <row r="5" spans="1:10">
      <c r="B5" s="320" t="s">
        <v>486</v>
      </c>
      <c r="C5" s="321" t="s">
        <v>486</v>
      </c>
      <c r="D5" s="322"/>
      <c r="E5" s="322"/>
      <c r="F5" s="322"/>
      <c r="I5" s="392">
        <f>I4/I3</f>
        <v>1.0954992328237767</v>
      </c>
      <c r="J5" s="382" t="s">
        <v>492</v>
      </c>
    </row>
    <row r="6" spans="1:10">
      <c r="B6" s="323" t="s">
        <v>488</v>
      </c>
      <c r="C6" s="321" t="s">
        <v>486</v>
      </c>
      <c r="D6" s="322"/>
      <c r="E6" s="322"/>
      <c r="F6" s="322"/>
    </row>
    <row r="7" spans="1:10">
      <c r="B7" s="320" t="s">
        <v>486</v>
      </c>
      <c r="C7" s="321" t="s">
        <v>486</v>
      </c>
      <c r="D7" s="322"/>
      <c r="E7" s="322"/>
      <c r="F7" s="322"/>
    </row>
    <row r="8" spans="1:10">
      <c r="B8" s="320" t="s">
        <v>484</v>
      </c>
      <c r="C8" s="321" t="s">
        <v>484</v>
      </c>
      <c r="D8" s="322" t="s">
        <v>484</v>
      </c>
      <c r="E8" s="322" t="s">
        <v>484</v>
      </c>
      <c r="F8" s="322" t="s">
        <v>484</v>
      </c>
    </row>
    <row r="9" spans="1:10">
      <c r="B9" s="320" t="s">
        <v>486</v>
      </c>
      <c r="C9" s="321" t="s">
        <v>486</v>
      </c>
      <c r="D9" s="322"/>
      <c r="E9" s="320" t="s">
        <v>490</v>
      </c>
      <c r="F9" s="320" t="s">
        <v>491</v>
      </c>
    </row>
    <row r="10" spans="1:10">
      <c r="B10" s="320" t="s">
        <v>494</v>
      </c>
      <c r="C10" s="321" t="s">
        <v>495</v>
      </c>
      <c r="D10" s="320" t="s">
        <v>496</v>
      </c>
      <c r="E10" s="320" t="s">
        <v>496</v>
      </c>
      <c r="F10" s="320" t="s">
        <v>496</v>
      </c>
      <c r="H10" s="408" t="s">
        <v>117</v>
      </c>
    </row>
    <row r="11" spans="1:10">
      <c r="B11" s="320" t="s">
        <v>486</v>
      </c>
      <c r="C11" s="321" t="s">
        <v>486</v>
      </c>
      <c r="D11" s="322"/>
      <c r="E11" s="322"/>
      <c r="F11" s="322"/>
    </row>
    <row r="12" spans="1:10">
      <c r="B12" s="320" t="s">
        <v>486</v>
      </c>
      <c r="C12" s="323" t="s">
        <v>573</v>
      </c>
      <c r="D12" s="322"/>
      <c r="E12" s="322"/>
      <c r="F12" s="322"/>
    </row>
    <row r="13" spans="1:10">
      <c r="A13" s="319">
        <v>7023</v>
      </c>
      <c r="B13" s="320" t="s">
        <v>572</v>
      </c>
      <c r="C13" s="321" t="s">
        <v>670</v>
      </c>
      <c r="D13" s="322"/>
      <c r="E13" s="322">
        <v>35670.81</v>
      </c>
      <c r="F13" s="322">
        <v>0</v>
      </c>
      <c r="H13" s="457">
        <f>E13*$I$5</f>
        <v>39077.344989202698</v>
      </c>
    </row>
    <row r="14" spans="1:10">
      <c r="B14" s="320" t="s">
        <v>486</v>
      </c>
      <c r="C14" s="321" t="s">
        <v>486</v>
      </c>
      <c r="D14" s="322"/>
      <c r="E14" s="322"/>
      <c r="F14" s="322"/>
    </row>
    <row r="15" spans="1:10" ht="30">
      <c r="B15" s="320" t="s">
        <v>486</v>
      </c>
      <c r="C15" s="324" t="s">
        <v>712</v>
      </c>
      <c r="D15" s="322"/>
      <c r="E15" s="322"/>
      <c r="F15" s="322"/>
    </row>
    <row r="16" spans="1:10">
      <c r="A16" s="319">
        <v>7021</v>
      </c>
      <c r="B16" s="320" t="s">
        <v>713</v>
      </c>
      <c r="C16" s="321" t="s">
        <v>714</v>
      </c>
      <c r="D16" s="322"/>
      <c r="E16" s="322">
        <v>1513.1</v>
      </c>
      <c r="F16" s="322">
        <v>0</v>
      </c>
      <c r="H16" s="457">
        <f>E16*$I$5</f>
        <v>1657.5998891856564</v>
      </c>
    </row>
    <row r="17" spans="1:8">
      <c r="B17" s="320" t="s">
        <v>486</v>
      </c>
      <c r="C17" s="321" t="s">
        <v>486</v>
      </c>
      <c r="D17" s="322"/>
      <c r="E17" s="322"/>
      <c r="F17" s="322"/>
    </row>
    <row r="18" spans="1:8">
      <c r="B18" s="320" t="s">
        <v>486</v>
      </c>
      <c r="C18" s="323" t="s">
        <v>577</v>
      </c>
      <c r="D18" s="322"/>
      <c r="E18" s="322"/>
      <c r="F18" s="322"/>
    </row>
    <row r="19" spans="1:8">
      <c r="A19" s="319">
        <v>7020</v>
      </c>
      <c r="B19" s="320" t="s">
        <v>576</v>
      </c>
      <c r="C19" s="321" t="s">
        <v>577</v>
      </c>
      <c r="D19" s="322"/>
      <c r="E19" s="322">
        <v>-17333.32</v>
      </c>
      <c r="F19" s="322">
        <v>-44333.33</v>
      </c>
      <c r="H19" s="457">
        <f>E19*$I$5</f>
        <v>-18988.638762289025</v>
      </c>
    </row>
    <row r="20" spans="1:8">
      <c r="B20" s="320" t="s">
        <v>486</v>
      </c>
      <c r="C20" s="321" t="s">
        <v>486</v>
      </c>
      <c r="D20" s="322"/>
      <c r="E20" s="322"/>
      <c r="F20" s="322"/>
    </row>
    <row r="21" spans="1:8" ht="45">
      <c r="B21" s="320" t="s">
        <v>486</v>
      </c>
      <c r="C21" s="324" t="s">
        <v>671</v>
      </c>
      <c r="D21" s="322"/>
      <c r="E21" s="322"/>
      <c r="F21" s="322"/>
    </row>
    <row r="22" spans="1:8">
      <c r="A22" s="319">
        <v>7020</v>
      </c>
      <c r="B22" s="320" t="s">
        <v>579</v>
      </c>
      <c r="C22" s="321" t="s">
        <v>580</v>
      </c>
      <c r="D22" s="322">
        <v>-3848.88</v>
      </c>
      <c r="E22" s="322"/>
      <c r="F22" s="322">
        <v>-5781.25</v>
      </c>
      <c r="H22" s="458">
        <f>D22*$I$5</f>
        <v>-4216.445087230778</v>
      </c>
    </row>
    <row r="23" spans="1:8">
      <c r="A23" s="319">
        <v>7020</v>
      </c>
      <c r="B23" s="320" t="s">
        <v>582</v>
      </c>
      <c r="C23" s="321" t="s">
        <v>672</v>
      </c>
      <c r="D23" s="373">
        <v>-171.23</v>
      </c>
      <c r="E23" s="322">
        <v>-4020.11</v>
      </c>
      <c r="F23" s="322">
        <v>0</v>
      </c>
      <c r="H23" s="459">
        <f>D23*$I$5</f>
        <v>-187.58233363641529</v>
      </c>
    </row>
    <row r="24" spans="1:8">
      <c r="B24" s="320" t="s">
        <v>486</v>
      </c>
      <c r="C24" s="321" t="s">
        <v>486</v>
      </c>
      <c r="D24" s="322"/>
      <c r="E24" s="322"/>
      <c r="F24" s="322"/>
      <c r="H24" s="457">
        <f>SUM(H22:H23)</f>
        <v>-4404.0274208671935</v>
      </c>
    </row>
    <row r="25" spans="1:8" ht="30">
      <c r="B25" s="320" t="s">
        <v>486</v>
      </c>
      <c r="C25" s="324" t="s">
        <v>673</v>
      </c>
      <c r="D25" s="322"/>
      <c r="E25" s="322"/>
      <c r="F25" s="322"/>
    </row>
    <row r="26" spans="1:8">
      <c r="B26" s="320" t="s">
        <v>486</v>
      </c>
      <c r="C26" s="321" t="s">
        <v>486</v>
      </c>
      <c r="D26" s="322"/>
      <c r="E26" s="322"/>
      <c r="F26" s="322"/>
    </row>
    <row r="27" spans="1:8" ht="75">
      <c r="B27" s="320" t="s">
        <v>486</v>
      </c>
      <c r="C27" s="324" t="s">
        <v>674</v>
      </c>
      <c r="D27" s="322"/>
      <c r="E27" s="322"/>
      <c r="F27" s="322"/>
    </row>
    <row r="28" spans="1:8">
      <c r="A28" s="319">
        <v>7021</v>
      </c>
      <c r="B28" s="320" t="s">
        <v>586</v>
      </c>
      <c r="C28" s="321" t="s">
        <v>675</v>
      </c>
      <c r="D28" s="322"/>
      <c r="E28" s="322">
        <v>-175.83</v>
      </c>
      <c r="F28" s="322">
        <v>0</v>
      </c>
      <c r="H28" s="457">
        <f>E28*$I$5</f>
        <v>-192.62163010740468</v>
      </c>
    </row>
    <row r="29" spans="1:8">
      <c r="B29" s="320" t="s">
        <v>486</v>
      </c>
      <c r="C29" s="321" t="s">
        <v>486</v>
      </c>
      <c r="D29" s="322"/>
      <c r="E29" s="322"/>
      <c r="F29" s="322"/>
    </row>
    <row r="30" spans="1:8">
      <c r="B30" s="320" t="s">
        <v>486</v>
      </c>
      <c r="C30" s="323" t="s">
        <v>676</v>
      </c>
      <c r="D30" s="322"/>
      <c r="E30" s="322"/>
      <c r="F30" s="322"/>
    </row>
    <row r="31" spans="1:8">
      <c r="A31" s="319">
        <v>7021</v>
      </c>
      <c r="B31" s="320" t="s">
        <v>589</v>
      </c>
      <c r="C31" s="321" t="s">
        <v>590</v>
      </c>
      <c r="D31" s="322"/>
      <c r="E31" s="322">
        <v>-2352.15</v>
      </c>
      <c r="F31" s="322">
        <v>-2352.15</v>
      </c>
      <c r="H31" s="457">
        <f>E31*$I$5</f>
        <v>-2576.7785204864463</v>
      </c>
    </row>
    <row r="32" spans="1:8">
      <c r="B32" s="320" t="s">
        <v>486</v>
      </c>
      <c r="C32" s="321" t="s">
        <v>486</v>
      </c>
      <c r="D32" s="322"/>
      <c r="E32" s="322"/>
      <c r="F32" s="322"/>
    </row>
    <row r="33" spans="1:8" ht="30">
      <c r="B33" s="320" t="s">
        <v>486</v>
      </c>
      <c r="C33" s="324" t="s">
        <v>743</v>
      </c>
      <c r="D33" s="322"/>
      <c r="E33" s="322"/>
      <c r="F33" s="322"/>
    </row>
    <row r="34" spans="1:8">
      <c r="A34" s="319">
        <v>7020</v>
      </c>
      <c r="B34" s="320" t="s">
        <v>744</v>
      </c>
      <c r="C34" s="321" t="s">
        <v>745</v>
      </c>
      <c r="D34" s="322"/>
      <c r="E34" s="322">
        <v>-25</v>
      </c>
      <c r="F34" s="322">
        <v>0</v>
      </c>
      <c r="H34" s="457">
        <f>E34*$I$5</f>
        <v>-27.387480820594419</v>
      </c>
    </row>
    <row r="35" spans="1:8">
      <c r="B35" s="320" t="s">
        <v>486</v>
      </c>
      <c r="C35" s="321" t="s">
        <v>486</v>
      </c>
      <c r="D35" s="322"/>
      <c r="E35" s="322"/>
      <c r="F35" s="322"/>
    </row>
    <row r="36" spans="1:8" ht="30">
      <c r="B36" s="320" t="s">
        <v>486</v>
      </c>
      <c r="C36" s="324" t="s">
        <v>677</v>
      </c>
      <c r="D36" s="322"/>
      <c r="E36" s="322"/>
      <c r="F36" s="322"/>
    </row>
    <row r="37" spans="1:8">
      <c r="A37" s="319">
        <v>7026</v>
      </c>
      <c r="B37" s="320" t="s">
        <v>595</v>
      </c>
      <c r="C37" s="321" t="s">
        <v>702</v>
      </c>
      <c r="D37" s="322">
        <v>-8400</v>
      </c>
      <c r="E37" s="322"/>
      <c r="F37" s="322">
        <v>-15429.72</v>
      </c>
      <c r="H37" s="458">
        <f>D37*$I$5</f>
        <v>-9202.1935557197248</v>
      </c>
    </row>
    <row r="38" spans="1:8">
      <c r="B38" s="320" t="s">
        <v>598</v>
      </c>
      <c r="C38" s="321" t="s">
        <v>599</v>
      </c>
      <c r="D38" s="322">
        <v>0</v>
      </c>
      <c r="E38" s="322"/>
      <c r="F38" s="322">
        <v>-234.96</v>
      </c>
    </row>
    <row r="39" spans="1:8">
      <c r="B39" s="320" t="s">
        <v>603</v>
      </c>
      <c r="C39" s="321" t="s">
        <v>604</v>
      </c>
      <c r="D39" s="322">
        <v>0</v>
      </c>
      <c r="E39" s="322"/>
      <c r="F39" s="322">
        <v>-139.06</v>
      </c>
    </row>
    <row r="40" spans="1:8">
      <c r="B40" s="320" t="s">
        <v>606</v>
      </c>
      <c r="C40" s="321" t="s">
        <v>607</v>
      </c>
      <c r="D40" s="322">
        <v>0</v>
      </c>
      <c r="E40" s="322"/>
      <c r="F40" s="322">
        <v>-330.29</v>
      </c>
    </row>
    <row r="41" spans="1:8">
      <c r="B41" s="320" t="s">
        <v>609</v>
      </c>
      <c r="C41" s="321" t="s">
        <v>610</v>
      </c>
      <c r="D41" s="322">
        <v>0</v>
      </c>
      <c r="E41" s="322"/>
      <c r="F41" s="322">
        <v>-77</v>
      </c>
    </row>
    <row r="42" spans="1:8">
      <c r="B42" s="320" t="s">
        <v>612</v>
      </c>
      <c r="C42" s="321" t="s">
        <v>613</v>
      </c>
      <c r="D42" s="373">
        <v>0</v>
      </c>
      <c r="E42" s="322">
        <v>-8400</v>
      </c>
      <c r="F42" s="322">
        <v>-1871.98</v>
      </c>
      <c r="H42" s="465"/>
    </row>
    <row r="43" spans="1:8">
      <c r="B43" s="320" t="s">
        <v>486</v>
      </c>
      <c r="C43" s="321" t="s">
        <v>486</v>
      </c>
      <c r="D43" s="322"/>
      <c r="E43" s="322"/>
      <c r="F43" s="322"/>
      <c r="H43" s="457">
        <f>SUM(H37:H42)</f>
        <v>-9202.1935557197248</v>
      </c>
    </row>
    <row r="44" spans="1:8" ht="30">
      <c r="B44" s="320" t="s">
        <v>486</v>
      </c>
      <c r="C44" s="324" t="s">
        <v>680</v>
      </c>
      <c r="D44" s="322"/>
      <c r="E44" s="322"/>
      <c r="F44" s="322"/>
    </row>
    <row r="45" spans="1:8">
      <c r="B45" s="320" t="s">
        <v>622</v>
      </c>
      <c r="C45" s="321" t="s">
        <v>623</v>
      </c>
      <c r="D45" s="322">
        <v>0</v>
      </c>
      <c r="E45" s="322"/>
      <c r="F45" s="322">
        <v>-216</v>
      </c>
    </row>
    <row r="46" spans="1:8">
      <c r="A46" s="319">
        <v>7021</v>
      </c>
      <c r="B46" s="320" t="s">
        <v>625</v>
      </c>
      <c r="C46" s="321" t="s">
        <v>626</v>
      </c>
      <c r="D46" s="322">
        <v>-380.01</v>
      </c>
      <c r="E46" s="322"/>
      <c r="F46" s="322">
        <v>-93.8</v>
      </c>
      <c r="H46" s="458">
        <f>D46*$I$5</f>
        <v>-416.30066346536336</v>
      </c>
    </row>
    <row r="47" spans="1:8">
      <c r="A47" s="319">
        <v>7021</v>
      </c>
      <c r="B47" s="320" t="s">
        <v>630</v>
      </c>
      <c r="C47" s="321" t="s">
        <v>703</v>
      </c>
      <c r="D47" s="322">
        <v>-196.3</v>
      </c>
      <c r="E47" s="322"/>
      <c r="F47" s="322">
        <v>-820</v>
      </c>
      <c r="H47" s="458">
        <f>D47*$I$5</f>
        <v>-215.04649940330737</v>
      </c>
    </row>
    <row r="48" spans="1:8">
      <c r="B48" s="320" t="s">
        <v>633</v>
      </c>
      <c r="C48" s="321" t="s">
        <v>746</v>
      </c>
      <c r="D48" s="322">
        <v>0</v>
      </c>
      <c r="E48" s="322"/>
      <c r="F48" s="322">
        <v>-680.4</v>
      </c>
    </row>
    <row r="49" spans="1:9">
      <c r="A49" s="319">
        <v>7021</v>
      </c>
      <c r="B49" s="320" t="s">
        <v>638</v>
      </c>
      <c r="C49" s="321" t="s">
        <v>639</v>
      </c>
      <c r="D49" s="373">
        <v>-151.29</v>
      </c>
      <c r="E49" s="411">
        <v>-727.6</v>
      </c>
      <c r="F49" s="322">
        <v>-87.33</v>
      </c>
      <c r="H49" s="459">
        <f>D49*$I$5</f>
        <v>-165.73807893390918</v>
      </c>
    </row>
    <row r="50" spans="1:9">
      <c r="B50" s="320" t="s">
        <v>486</v>
      </c>
      <c r="C50" s="321" t="s">
        <v>486</v>
      </c>
      <c r="D50" s="322"/>
      <c r="E50" s="373"/>
      <c r="F50" s="373"/>
      <c r="H50" s="466">
        <f>SUM(H45:H49)</f>
        <v>-797.08524180257984</v>
      </c>
    </row>
    <row r="51" spans="1:9">
      <c r="D51" s="322"/>
      <c r="E51" s="322"/>
      <c r="F51" s="322"/>
      <c r="H51" s="466"/>
    </row>
    <row r="52" spans="1:9">
      <c r="A52" s="319">
        <v>7901</v>
      </c>
      <c r="B52" s="320" t="s">
        <v>722</v>
      </c>
      <c r="C52" s="321" t="s">
        <v>470</v>
      </c>
      <c r="D52" s="322"/>
      <c r="E52" s="322"/>
      <c r="F52" s="322"/>
      <c r="H52" s="466">
        <f>-561.28+20.1</f>
        <v>-541.17999999999995</v>
      </c>
    </row>
    <row r="53" spans="1:9">
      <c r="B53" s="320" t="s">
        <v>486</v>
      </c>
      <c r="C53" s="321" t="s">
        <v>486</v>
      </c>
      <c r="D53" s="322"/>
      <c r="E53" s="322"/>
      <c r="F53" s="322"/>
    </row>
    <row r="54" spans="1:9" ht="30">
      <c r="B54" s="320" t="s">
        <v>486</v>
      </c>
      <c r="C54" s="324" t="s">
        <v>545</v>
      </c>
      <c r="D54" s="322"/>
      <c r="E54" s="322"/>
      <c r="F54" s="322"/>
    </row>
    <row r="55" spans="1:9">
      <c r="B55" s="320" t="s">
        <v>486</v>
      </c>
      <c r="C55" s="321" t="s">
        <v>546</v>
      </c>
      <c r="D55" s="322"/>
      <c r="E55" s="322">
        <v>4149.8999999999996</v>
      </c>
      <c r="F55" s="322">
        <v>-72447.27</v>
      </c>
      <c r="H55" s="458">
        <f>H50+H43+H34+H28+H24+H19+H16+H13+H31+H52</f>
        <v>4005.0322662953863</v>
      </c>
      <c r="I55" s="461"/>
    </row>
    <row r="56" spans="1:9" ht="15.75" thickBot="1">
      <c r="B56" s="320" t="s">
        <v>486</v>
      </c>
      <c r="C56" s="321" t="s">
        <v>486</v>
      </c>
      <c r="D56" s="322"/>
      <c r="E56" s="376"/>
      <c r="F56" s="376"/>
      <c r="H56" s="377"/>
    </row>
    <row r="57" spans="1:9" ht="15.75" thickTop="1"/>
  </sheetData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7B282-D85D-410B-8B95-B768AD4BA1FF}">
  <dimension ref="A1:N103"/>
  <sheetViews>
    <sheetView workbookViewId="0">
      <selection activeCell="A79" sqref="A79"/>
    </sheetView>
  </sheetViews>
  <sheetFormatPr defaultRowHeight="12.75"/>
  <cols>
    <col min="2" max="2" width="34" customWidth="1"/>
    <col min="3" max="3" width="34.5703125" bestFit="1" customWidth="1"/>
    <col min="4" max="4" width="8.5703125" bestFit="1" customWidth="1"/>
    <col min="5" max="5" width="12.5703125" customWidth="1"/>
    <col min="6" max="6" width="12.42578125" hidden="1" customWidth="1"/>
    <col min="8" max="8" width="10.42578125" style="442" bestFit="1" customWidth="1"/>
    <col min="9" max="9" width="11.42578125" bestFit="1" customWidth="1"/>
    <col min="14" max="14" width="17.42578125" bestFit="1" customWidth="1"/>
  </cols>
  <sheetData>
    <row r="1" spans="1:14" ht="15">
      <c r="B1" s="409" t="s">
        <v>485</v>
      </c>
      <c r="C1" s="410" t="s">
        <v>486</v>
      </c>
      <c r="D1" s="411"/>
      <c r="E1" s="411"/>
      <c r="F1" s="411"/>
    </row>
    <row r="2" spans="1:14">
      <c r="B2" s="410" t="s">
        <v>487</v>
      </c>
      <c r="C2" s="410" t="s">
        <v>486</v>
      </c>
      <c r="D2" s="411"/>
      <c r="E2" s="411"/>
      <c r="F2" s="411"/>
    </row>
    <row r="3" spans="1:14" ht="15">
      <c r="B3" s="410" t="s">
        <v>724</v>
      </c>
      <c r="C3" s="410" t="s">
        <v>486</v>
      </c>
      <c r="D3" s="411"/>
      <c r="E3" s="411"/>
      <c r="F3" s="411"/>
      <c r="M3" s="391">
        <v>3.5</v>
      </c>
      <c r="N3" s="380" t="s">
        <v>720</v>
      </c>
    </row>
    <row r="4" spans="1:14" ht="15">
      <c r="B4" s="412" t="s">
        <v>486</v>
      </c>
      <c r="C4" s="410" t="s">
        <v>486</v>
      </c>
      <c r="D4" s="411"/>
      <c r="E4" s="411"/>
      <c r="F4" s="411"/>
      <c r="M4" s="392">
        <v>3.8066</v>
      </c>
      <c r="N4" s="382" t="s">
        <v>721</v>
      </c>
    </row>
    <row r="5" spans="1:14" ht="15">
      <c r="B5" s="409" t="s">
        <v>488</v>
      </c>
      <c r="C5" s="410" t="s">
        <v>486</v>
      </c>
      <c r="D5" s="411"/>
      <c r="E5" s="411"/>
      <c r="F5" s="411"/>
      <c r="M5" s="392">
        <f>M4/M3</f>
        <v>1.0875999999999999</v>
      </c>
      <c r="N5" s="382" t="s">
        <v>492</v>
      </c>
    </row>
    <row r="6" spans="1:14">
      <c r="B6" s="412" t="s">
        <v>486</v>
      </c>
      <c r="C6" s="410" t="s">
        <v>486</v>
      </c>
      <c r="D6" s="411"/>
      <c r="E6" s="411"/>
      <c r="F6" s="411"/>
    </row>
    <row r="7" spans="1:14">
      <c r="B7" s="410" t="s">
        <v>489</v>
      </c>
      <c r="C7" s="410" t="s">
        <v>486</v>
      </c>
      <c r="D7" s="411"/>
      <c r="E7" s="411"/>
      <c r="F7" s="411"/>
    </row>
    <row r="8" spans="1:14">
      <c r="B8" s="412" t="s">
        <v>484</v>
      </c>
      <c r="C8" s="410" t="s">
        <v>484</v>
      </c>
      <c r="D8" s="411" t="s">
        <v>484</v>
      </c>
      <c r="E8" s="411" t="s">
        <v>484</v>
      </c>
      <c r="F8" s="411" t="s">
        <v>484</v>
      </c>
    </row>
    <row r="9" spans="1:14">
      <c r="B9" s="412" t="s">
        <v>486</v>
      </c>
      <c r="C9" s="410" t="s">
        <v>486</v>
      </c>
      <c r="D9" s="411"/>
      <c r="E9" s="412" t="s">
        <v>490</v>
      </c>
      <c r="F9" s="412" t="s">
        <v>491</v>
      </c>
    </row>
    <row r="10" spans="1:14">
      <c r="B10" s="412" t="s">
        <v>494</v>
      </c>
      <c r="C10" s="410" t="s">
        <v>495</v>
      </c>
      <c r="D10" s="412" t="s">
        <v>496</v>
      </c>
      <c r="E10" s="412" t="s">
        <v>496</v>
      </c>
      <c r="F10" s="412" t="s">
        <v>496</v>
      </c>
      <c r="H10" s="443" t="s">
        <v>117</v>
      </c>
    </row>
    <row r="11" spans="1:14">
      <c r="B11" s="412" t="s">
        <v>486</v>
      </c>
      <c r="C11" s="410" t="s">
        <v>486</v>
      </c>
      <c r="D11" s="411"/>
      <c r="E11" s="411"/>
      <c r="F11" s="411"/>
    </row>
    <row r="12" spans="1:14" ht="45">
      <c r="B12" s="412" t="s">
        <v>486</v>
      </c>
      <c r="C12" s="413" t="s">
        <v>497</v>
      </c>
      <c r="D12" s="411"/>
      <c r="E12" s="411"/>
      <c r="F12" s="411"/>
    </row>
    <row r="13" spans="1:14">
      <c r="A13" s="418">
        <v>1904</v>
      </c>
      <c r="B13" s="142">
        <v>490</v>
      </c>
      <c r="C13" s="410" t="s">
        <v>499</v>
      </c>
      <c r="D13" s="411"/>
      <c r="E13" s="411">
        <v>563.34</v>
      </c>
      <c r="F13" s="411">
        <v>1126</v>
      </c>
      <c r="H13" s="444">
        <f>E13*$M$5</f>
        <v>612.68858399999999</v>
      </c>
    </row>
    <row r="14" spans="1:14">
      <c r="B14" s="412" t="s">
        <v>486</v>
      </c>
      <c r="C14" s="410" t="s">
        <v>486</v>
      </c>
      <c r="D14" s="411"/>
      <c r="E14" s="411"/>
      <c r="F14" s="411"/>
    </row>
    <row r="15" spans="1:14" ht="15">
      <c r="B15" s="412" t="s">
        <v>486</v>
      </c>
      <c r="C15" s="409" t="s">
        <v>538</v>
      </c>
      <c r="D15" s="411"/>
      <c r="E15" s="411"/>
      <c r="F15" s="411"/>
    </row>
    <row r="16" spans="1:14">
      <c r="A16" s="418">
        <v>1351</v>
      </c>
      <c r="B16" s="142">
        <v>1410</v>
      </c>
      <c r="C16" s="441" t="s">
        <v>538</v>
      </c>
      <c r="D16" s="420"/>
      <c r="E16" s="420">
        <v>43944.25</v>
      </c>
      <c r="F16" s="420">
        <v>67588.240000000005</v>
      </c>
      <c r="G16" s="309"/>
      <c r="H16" s="433">
        <f>E16*$M$5</f>
        <v>47793.766299999996</v>
      </c>
      <c r="I16" s="99" t="s">
        <v>733</v>
      </c>
    </row>
    <row r="17" spans="1:8">
      <c r="B17" s="412" t="s">
        <v>486</v>
      </c>
      <c r="C17" s="410" t="s">
        <v>486</v>
      </c>
      <c r="D17" s="411"/>
      <c r="E17" s="411"/>
      <c r="F17" s="411"/>
    </row>
    <row r="18" spans="1:8" ht="15">
      <c r="B18" s="412" t="s">
        <v>486</v>
      </c>
      <c r="C18" s="409" t="s">
        <v>500</v>
      </c>
      <c r="D18" s="411"/>
      <c r="E18" s="411"/>
      <c r="F18" s="411"/>
    </row>
    <row r="19" spans="1:8">
      <c r="A19" s="418">
        <v>1307</v>
      </c>
      <c r="B19" s="142">
        <v>1525</v>
      </c>
      <c r="C19" s="410" t="s">
        <v>502</v>
      </c>
      <c r="D19" s="411">
        <v>1119.6199999999999</v>
      </c>
      <c r="E19" s="411"/>
      <c r="F19" s="411">
        <v>1119.6199999999999</v>
      </c>
      <c r="H19" s="445">
        <f>D19*$M$5</f>
        <v>1217.6987119999997</v>
      </c>
    </row>
    <row r="20" spans="1:8">
      <c r="B20" s="142">
        <v>1570</v>
      </c>
      <c r="C20" s="410" t="s">
        <v>504</v>
      </c>
      <c r="D20" s="411">
        <v>0</v>
      </c>
      <c r="E20" s="411"/>
      <c r="F20" s="411">
        <v>165.72</v>
      </c>
      <c r="H20" s="445">
        <f t="shared" ref="H20:H26" si="0">D20*$M$5</f>
        <v>0</v>
      </c>
    </row>
    <row r="21" spans="1:8">
      <c r="B21" s="142">
        <v>1571</v>
      </c>
      <c r="C21" s="410" t="s">
        <v>506</v>
      </c>
      <c r="D21" s="411">
        <v>0</v>
      </c>
      <c r="E21" s="411"/>
      <c r="F21" s="411">
        <v>130.11000000000001</v>
      </c>
      <c r="H21" s="445">
        <f t="shared" si="0"/>
        <v>0</v>
      </c>
    </row>
    <row r="22" spans="1:8">
      <c r="A22" s="418">
        <v>1357</v>
      </c>
      <c r="B22" s="142">
        <v>1576</v>
      </c>
      <c r="C22" s="410" t="s">
        <v>508</v>
      </c>
      <c r="D22" s="411">
        <v>2941.02</v>
      </c>
      <c r="E22" s="411"/>
      <c r="F22" s="411">
        <v>2160.12</v>
      </c>
      <c r="H22" s="445">
        <f t="shared" si="0"/>
        <v>3198.6533519999998</v>
      </c>
    </row>
    <row r="23" spans="1:8">
      <c r="B23" s="142">
        <v>1590</v>
      </c>
      <c r="C23" s="410" t="s">
        <v>725</v>
      </c>
      <c r="D23" s="411">
        <v>0</v>
      </c>
      <c r="E23" s="411"/>
      <c r="F23" s="411">
        <v>3868.45</v>
      </c>
      <c r="H23" s="445">
        <f t="shared" si="0"/>
        <v>0</v>
      </c>
    </row>
    <row r="24" spans="1:8">
      <c r="A24" s="418">
        <v>1357</v>
      </c>
      <c r="B24" s="142">
        <v>1780</v>
      </c>
      <c r="C24" s="410" t="s">
        <v>510</v>
      </c>
      <c r="D24" s="411">
        <v>-2836.34</v>
      </c>
      <c r="E24" s="411"/>
      <c r="F24" s="411">
        <v>0</v>
      </c>
      <c r="H24" s="445">
        <f t="shared" si="0"/>
        <v>-3084.8033839999998</v>
      </c>
    </row>
    <row r="25" spans="1:8">
      <c r="A25" s="418">
        <v>1357</v>
      </c>
      <c r="B25" s="142">
        <v>1790</v>
      </c>
      <c r="C25" s="410" t="s">
        <v>512</v>
      </c>
      <c r="D25" s="411">
        <v>2270.9699999999998</v>
      </c>
      <c r="E25" s="411"/>
      <c r="F25" s="411">
        <v>3531.61</v>
      </c>
      <c r="H25" s="445">
        <f t="shared" si="0"/>
        <v>2469.9069719999998</v>
      </c>
    </row>
    <row r="26" spans="1:8">
      <c r="A26" s="418">
        <v>1357</v>
      </c>
      <c r="B26" s="142">
        <v>1791</v>
      </c>
      <c r="C26" s="410" t="s">
        <v>690</v>
      </c>
      <c r="D26" s="414">
        <v>536.28</v>
      </c>
      <c r="E26" s="411">
        <v>4031.55</v>
      </c>
      <c r="F26" s="411">
        <v>0</v>
      </c>
      <c r="H26" s="446">
        <f t="shared" si="0"/>
        <v>583.25812799999994</v>
      </c>
    </row>
    <row r="27" spans="1:8">
      <c r="B27" s="412" t="s">
        <v>486</v>
      </c>
      <c r="C27" s="410" t="s">
        <v>486</v>
      </c>
      <c r="D27" s="411"/>
      <c r="E27" s="411"/>
      <c r="F27" s="411"/>
      <c r="H27" s="444">
        <f>SUM(H19:H26)</f>
        <v>4384.71378</v>
      </c>
    </row>
    <row r="28" spans="1:8" ht="45">
      <c r="B28" s="412" t="s">
        <v>486</v>
      </c>
      <c r="C28" s="413" t="s">
        <v>513</v>
      </c>
      <c r="D28" s="411"/>
      <c r="E28" s="411"/>
      <c r="F28" s="411"/>
    </row>
    <row r="29" spans="1:8">
      <c r="B29" s="142">
        <v>1200</v>
      </c>
      <c r="C29" s="410" t="s">
        <v>515</v>
      </c>
      <c r="D29" s="411"/>
      <c r="E29" s="411">
        <v>0</v>
      </c>
      <c r="F29" s="411">
        <v>21230.29</v>
      </c>
      <c r="H29" s="445">
        <f>E29*$M$5</f>
        <v>0</v>
      </c>
    </row>
    <row r="30" spans="1:8">
      <c r="B30" s="412" t="s">
        <v>486</v>
      </c>
      <c r="C30" s="410" t="s">
        <v>486</v>
      </c>
      <c r="D30" s="411"/>
      <c r="E30" s="411"/>
      <c r="F30" s="411"/>
    </row>
    <row r="31" spans="1:8" ht="15">
      <c r="B31" s="412" t="s">
        <v>486</v>
      </c>
      <c r="C31" s="409" t="s">
        <v>516</v>
      </c>
      <c r="D31" s="411"/>
      <c r="E31" s="411"/>
      <c r="F31" s="411"/>
    </row>
    <row r="32" spans="1:8">
      <c r="B32" s="412" t="s">
        <v>486</v>
      </c>
      <c r="C32" s="410" t="s">
        <v>517</v>
      </c>
      <c r="D32" s="411"/>
      <c r="E32" s="411">
        <v>0</v>
      </c>
      <c r="F32" s="411">
        <v>27615.88</v>
      </c>
      <c r="H32" s="445">
        <f>E32*$M$5</f>
        <v>0</v>
      </c>
    </row>
    <row r="33" spans="1:10">
      <c r="B33" s="412" t="s">
        <v>486</v>
      </c>
      <c r="C33" s="410" t="s">
        <v>486</v>
      </c>
      <c r="D33" s="411"/>
      <c r="E33" s="411"/>
      <c r="F33" s="411"/>
    </row>
    <row r="34" spans="1:10" ht="15">
      <c r="B34" s="412" t="s">
        <v>486</v>
      </c>
      <c r="C34" s="409" t="s">
        <v>500</v>
      </c>
      <c r="D34" s="411"/>
      <c r="E34" s="411"/>
      <c r="F34" s="411"/>
    </row>
    <row r="35" spans="1:10">
      <c r="A35" s="418">
        <v>1358</v>
      </c>
      <c r="B35" s="142">
        <v>975</v>
      </c>
      <c r="C35" s="410" t="s">
        <v>486</v>
      </c>
      <c r="D35" s="411">
        <v>66.8</v>
      </c>
      <c r="E35" s="411"/>
      <c r="F35" s="411">
        <v>0</v>
      </c>
      <c r="H35" s="445">
        <f>D35*$M$5</f>
        <v>72.651679999999985</v>
      </c>
    </row>
    <row r="36" spans="1:10">
      <c r="A36" s="418">
        <v>1358</v>
      </c>
      <c r="B36" s="142">
        <v>977</v>
      </c>
      <c r="C36" s="410" t="s">
        <v>525</v>
      </c>
      <c r="D36" s="414">
        <v>2959.4</v>
      </c>
      <c r="E36" s="411">
        <v>3026.2</v>
      </c>
      <c r="F36" s="411">
        <v>0</v>
      </c>
      <c r="H36" s="446">
        <f>D36*$M$5</f>
        <v>3218.6434399999998</v>
      </c>
    </row>
    <row r="37" spans="1:10">
      <c r="B37" s="412" t="s">
        <v>486</v>
      </c>
      <c r="C37" s="410" t="s">
        <v>486</v>
      </c>
      <c r="D37" s="411"/>
      <c r="E37" s="414"/>
      <c r="F37" s="414"/>
      <c r="H37" s="447">
        <f>SUM(H35:H36)</f>
        <v>3291.2951199999998</v>
      </c>
    </row>
    <row r="38" spans="1:10">
      <c r="B38" s="412" t="s">
        <v>486</v>
      </c>
      <c r="C38" s="410" t="s">
        <v>486</v>
      </c>
      <c r="D38" s="411"/>
      <c r="E38" s="411"/>
      <c r="F38" s="411"/>
    </row>
    <row r="39" spans="1:10">
      <c r="B39" s="412" t="s">
        <v>486</v>
      </c>
      <c r="C39" s="410" t="s">
        <v>518</v>
      </c>
      <c r="D39" s="411"/>
      <c r="E39" s="411">
        <v>51565.34</v>
      </c>
      <c r="F39" s="411">
        <v>128536.04</v>
      </c>
      <c r="H39" s="444">
        <f>H37+H27+H16+H13</f>
        <v>56082.463784</v>
      </c>
      <c r="I39" s="285"/>
    </row>
    <row r="40" spans="1:10" ht="13.5" thickBot="1">
      <c r="B40" s="412" t="s">
        <v>486</v>
      </c>
      <c r="C40" s="410" t="s">
        <v>486</v>
      </c>
      <c r="D40" s="411"/>
      <c r="E40" s="415"/>
      <c r="F40" s="415"/>
      <c r="H40" s="448"/>
    </row>
    <row r="41" spans="1:10" ht="13.5" thickTop="1">
      <c r="B41" s="410" t="s">
        <v>519</v>
      </c>
      <c r="C41" s="410" t="s">
        <v>486</v>
      </c>
      <c r="D41" s="411"/>
      <c r="E41" s="411"/>
      <c r="F41" s="411"/>
    </row>
    <row r="42" spans="1:10">
      <c r="B42" s="412" t="s">
        <v>484</v>
      </c>
      <c r="C42" s="410" t="s">
        <v>484</v>
      </c>
      <c r="D42" s="411" t="s">
        <v>484</v>
      </c>
      <c r="E42" s="411" t="s">
        <v>484</v>
      </c>
      <c r="F42" s="411" t="s">
        <v>484</v>
      </c>
    </row>
    <row r="43" spans="1:10">
      <c r="B43" s="412" t="s">
        <v>486</v>
      </c>
      <c r="C43" s="410" t="s">
        <v>486</v>
      </c>
      <c r="D43" s="411"/>
      <c r="E43" s="412" t="s">
        <v>490</v>
      </c>
      <c r="F43" s="412" t="s">
        <v>491</v>
      </c>
    </row>
    <row r="44" spans="1:10">
      <c r="B44" s="412" t="s">
        <v>494</v>
      </c>
      <c r="C44" s="410" t="s">
        <v>495</v>
      </c>
      <c r="D44" s="412" t="s">
        <v>496</v>
      </c>
      <c r="E44" s="412" t="s">
        <v>496</v>
      </c>
      <c r="F44" s="412" t="s">
        <v>496</v>
      </c>
    </row>
    <row r="45" spans="1:10">
      <c r="B45" s="412" t="s">
        <v>486</v>
      </c>
      <c r="C45" s="410" t="s">
        <v>486</v>
      </c>
      <c r="D45" s="411"/>
      <c r="E45" s="411"/>
      <c r="F45" s="411"/>
    </row>
    <row r="46" spans="1:10" ht="15">
      <c r="B46" s="412" t="s">
        <v>486</v>
      </c>
      <c r="C46" s="409" t="s">
        <v>520</v>
      </c>
      <c r="D46" s="411"/>
      <c r="E46" s="411"/>
      <c r="F46" s="411"/>
      <c r="I46" s="99" t="s">
        <v>665</v>
      </c>
      <c r="J46" s="411" t="s">
        <v>407</v>
      </c>
    </row>
    <row r="47" spans="1:10">
      <c r="A47" s="418">
        <v>1842</v>
      </c>
      <c r="B47" s="142">
        <v>800</v>
      </c>
      <c r="C47" s="410" t="s">
        <v>520</v>
      </c>
      <c r="D47" s="411"/>
      <c r="E47" s="411">
        <v>25000</v>
      </c>
      <c r="F47" s="411">
        <v>25000</v>
      </c>
      <c r="H47" s="445">
        <f>E47*$M$5</f>
        <v>27189.999999999996</v>
      </c>
      <c r="I47" s="411">
        <v>28054</v>
      </c>
      <c r="J47" s="285">
        <f>H47-I47</f>
        <v>-864.00000000000364</v>
      </c>
    </row>
    <row r="48" spans="1:10">
      <c r="B48" s="412" t="s">
        <v>486</v>
      </c>
      <c r="C48" s="410" t="s">
        <v>486</v>
      </c>
      <c r="D48" s="411"/>
      <c r="E48" s="411"/>
      <c r="F48" s="411"/>
    </row>
    <row r="49" spans="1:10" ht="30">
      <c r="B49" s="412" t="s">
        <v>486</v>
      </c>
      <c r="C49" s="413" t="s">
        <v>656</v>
      </c>
      <c r="D49" s="411"/>
      <c r="E49" s="411"/>
      <c r="F49" s="411"/>
      <c r="I49" s="99" t="s">
        <v>665</v>
      </c>
      <c r="J49" s="411" t="s">
        <v>407</v>
      </c>
    </row>
    <row r="50" spans="1:10">
      <c r="A50" s="418">
        <v>9410</v>
      </c>
      <c r="B50" s="142">
        <v>860</v>
      </c>
      <c r="C50" s="410" t="s">
        <v>658</v>
      </c>
      <c r="D50" s="411"/>
      <c r="E50" s="411">
        <v>11943.69</v>
      </c>
      <c r="F50" s="411">
        <v>6553.33</v>
      </c>
      <c r="H50" s="445">
        <f>E50*$M$5</f>
        <v>12989.957243999999</v>
      </c>
      <c r="I50" s="411">
        <v>13158</v>
      </c>
      <c r="J50" s="285">
        <f>H50-I50</f>
        <v>-168.04275600000074</v>
      </c>
    </row>
    <row r="51" spans="1:10">
      <c r="B51" s="412" t="s">
        <v>486</v>
      </c>
      <c r="C51" s="410" t="s">
        <v>486</v>
      </c>
      <c r="D51" s="411"/>
      <c r="E51" s="411"/>
      <c r="F51" s="411"/>
    </row>
    <row r="52" spans="1:10" ht="30">
      <c r="B52" s="412" t="s">
        <v>486</v>
      </c>
      <c r="C52" s="413" t="s">
        <v>545</v>
      </c>
      <c r="D52" s="411"/>
      <c r="E52" s="411"/>
      <c r="F52" s="411"/>
    </row>
    <row r="53" spans="1:10">
      <c r="B53" s="412" t="s">
        <v>486</v>
      </c>
      <c r="C53" s="441" t="s">
        <v>546</v>
      </c>
      <c r="D53" s="420"/>
      <c r="E53" s="420">
        <v>4092.93</v>
      </c>
      <c r="F53" s="420">
        <v>-59169.21</v>
      </c>
      <c r="G53" s="309"/>
      <c r="H53" s="452">
        <f>E53*$M$5</f>
        <v>4451.470667999999</v>
      </c>
      <c r="I53" s="433">
        <f>H53+(J47+J50)</f>
        <v>3419.4279119999946</v>
      </c>
    </row>
    <row r="54" spans="1:10">
      <c r="B54" s="412" t="s">
        <v>486</v>
      </c>
      <c r="C54" s="410" t="s">
        <v>486</v>
      </c>
      <c r="D54" s="411"/>
      <c r="E54" s="411"/>
      <c r="F54" s="411"/>
    </row>
    <row r="55" spans="1:10" ht="15">
      <c r="B55" s="412" t="s">
        <v>486</v>
      </c>
      <c r="C55" s="409" t="s">
        <v>522</v>
      </c>
      <c r="D55" s="411"/>
      <c r="E55" s="411"/>
      <c r="F55" s="411"/>
    </row>
    <row r="56" spans="1:10">
      <c r="B56" s="412" t="s">
        <v>486</v>
      </c>
      <c r="C56" s="410" t="s">
        <v>517</v>
      </c>
      <c r="D56" s="411"/>
      <c r="E56" s="411">
        <v>0</v>
      </c>
      <c r="F56" s="411">
        <v>27615.88</v>
      </c>
      <c r="H56" s="445">
        <f>E56*$M$5</f>
        <v>0</v>
      </c>
    </row>
    <row r="57" spans="1:10">
      <c r="B57" s="412" t="s">
        <v>486</v>
      </c>
      <c r="C57" s="410" t="s">
        <v>486</v>
      </c>
      <c r="D57" s="411"/>
      <c r="E57" s="411"/>
      <c r="F57" s="411"/>
    </row>
    <row r="58" spans="1:10" ht="15">
      <c r="B58" s="412" t="s">
        <v>486</v>
      </c>
      <c r="C58" s="409" t="s">
        <v>548</v>
      </c>
      <c r="D58" s="411"/>
      <c r="E58" s="411"/>
      <c r="F58" s="411"/>
    </row>
    <row r="59" spans="1:10">
      <c r="A59" s="418">
        <v>2688</v>
      </c>
      <c r="B59" s="142">
        <v>956</v>
      </c>
      <c r="C59" s="410" t="s">
        <v>550</v>
      </c>
      <c r="D59" s="411">
        <v>1905</v>
      </c>
      <c r="E59" s="411"/>
      <c r="F59" s="411">
        <v>1040</v>
      </c>
      <c r="H59" s="445">
        <f>D59*$M$5</f>
        <v>2071.8779999999997</v>
      </c>
    </row>
    <row r="60" spans="1:10">
      <c r="A60" s="418">
        <v>2688</v>
      </c>
      <c r="B60" s="142">
        <v>963</v>
      </c>
      <c r="C60" s="410" t="s">
        <v>552</v>
      </c>
      <c r="D60" s="414">
        <v>2624.84</v>
      </c>
      <c r="E60" s="411">
        <v>4529.84</v>
      </c>
      <c r="F60" s="411">
        <v>1436.91</v>
      </c>
      <c r="H60" s="446">
        <f>D60*$M$5</f>
        <v>2854.7759839999999</v>
      </c>
    </row>
    <row r="61" spans="1:10">
      <c r="B61" s="412" t="s">
        <v>486</v>
      </c>
      <c r="C61" s="410" t="s">
        <v>486</v>
      </c>
      <c r="D61" s="411"/>
      <c r="E61" s="411"/>
      <c r="F61" s="411"/>
      <c r="H61" s="444">
        <f>SUM(H59:H60)</f>
        <v>4926.6539839999996</v>
      </c>
    </row>
    <row r="62" spans="1:10" ht="15">
      <c r="B62" s="412" t="s">
        <v>486</v>
      </c>
      <c r="C62" s="409" t="s">
        <v>523</v>
      </c>
      <c r="D62" s="411"/>
      <c r="E62" s="411"/>
      <c r="F62" s="411"/>
    </row>
    <row r="63" spans="1:10">
      <c r="A63">
        <v>2687</v>
      </c>
      <c r="B63" s="142">
        <v>977</v>
      </c>
      <c r="C63" s="410" t="s">
        <v>525</v>
      </c>
      <c r="D63" s="411"/>
      <c r="E63" s="411">
        <v>0</v>
      </c>
      <c r="F63" s="411">
        <v>2600</v>
      </c>
    </row>
    <row r="64" spans="1:10">
      <c r="B64" s="412" t="s">
        <v>486</v>
      </c>
      <c r="C64" s="410" t="s">
        <v>486</v>
      </c>
      <c r="D64" s="411"/>
      <c r="E64" s="411"/>
      <c r="F64" s="411"/>
    </row>
    <row r="65" spans="1:8" ht="15">
      <c r="B65" s="412" t="s">
        <v>486</v>
      </c>
      <c r="C65" s="409" t="s">
        <v>726</v>
      </c>
      <c r="D65" s="411"/>
      <c r="E65" s="411"/>
      <c r="F65" s="411"/>
    </row>
    <row r="66" spans="1:8">
      <c r="A66" s="418">
        <v>2658</v>
      </c>
      <c r="B66" s="142">
        <v>1200</v>
      </c>
      <c r="C66" s="410" t="s">
        <v>515</v>
      </c>
      <c r="D66" s="411"/>
      <c r="E66" s="411">
        <v>448.68</v>
      </c>
      <c r="F66" s="411">
        <v>0</v>
      </c>
      <c r="H66" s="444">
        <f>E66*$M$5</f>
        <v>487.98436799999996</v>
      </c>
    </row>
    <row r="67" spans="1:8">
      <c r="B67" s="412" t="s">
        <v>486</v>
      </c>
      <c r="C67" s="410" t="s">
        <v>486</v>
      </c>
      <c r="D67" s="411"/>
      <c r="E67" s="411"/>
      <c r="F67" s="411"/>
    </row>
    <row r="68" spans="1:8" ht="30">
      <c r="B68" s="412" t="s">
        <v>486</v>
      </c>
      <c r="C68" s="413" t="s">
        <v>727</v>
      </c>
      <c r="D68" s="411"/>
      <c r="E68" s="411"/>
      <c r="F68" s="411"/>
    </row>
    <row r="69" spans="1:8">
      <c r="B69" s="142">
        <v>1200</v>
      </c>
      <c r="C69" s="410" t="s">
        <v>515</v>
      </c>
      <c r="D69" s="411"/>
      <c r="E69" s="411"/>
      <c r="F69" s="411"/>
    </row>
    <row r="70" spans="1:8">
      <c r="B70" s="412" t="s">
        <v>486</v>
      </c>
      <c r="C70" s="410" t="s">
        <v>486</v>
      </c>
      <c r="D70" s="411"/>
      <c r="E70" s="411"/>
      <c r="F70" s="411"/>
    </row>
    <row r="71" spans="1:8" ht="15">
      <c r="B71" s="412" t="s">
        <v>486</v>
      </c>
      <c r="C71" s="409" t="s">
        <v>691</v>
      </c>
      <c r="D71" s="411"/>
      <c r="E71" s="411"/>
      <c r="F71" s="411"/>
    </row>
    <row r="72" spans="1:8">
      <c r="B72" s="142">
        <v>1610</v>
      </c>
      <c r="C72" s="410" t="s">
        <v>693</v>
      </c>
      <c r="D72" s="411"/>
      <c r="E72" s="411">
        <v>0</v>
      </c>
      <c r="F72" s="411">
        <v>822.76</v>
      </c>
    </row>
    <row r="73" spans="1:8">
      <c r="B73" s="412" t="s">
        <v>486</v>
      </c>
      <c r="C73" s="410" t="s">
        <v>486</v>
      </c>
      <c r="D73" s="411"/>
      <c r="E73" s="411"/>
      <c r="F73" s="411"/>
    </row>
    <row r="74" spans="1:8" ht="30">
      <c r="B74" s="412" t="s">
        <v>486</v>
      </c>
      <c r="C74" s="413" t="s">
        <v>716</v>
      </c>
      <c r="D74" s="411"/>
      <c r="E74" s="411"/>
      <c r="F74" s="411"/>
    </row>
    <row r="75" spans="1:8">
      <c r="B75" s="142">
        <v>1610</v>
      </c>
      <c r="C75" s="410" t="s">
        <v>693</v>
      </c>
      <c r="D75" s="411"/>
      <c r="E75" s="411"/>
      <c r="F75" s="411"/>
    </row>
    <row r="76" spans="1:8">
      <c r="B76" s="412" t="s">
        <v>486</v>
      </c>
      <c r="C76" s="410" t="s">
        <v>486</v>
      </c>
      <c r="D76" s="411"/>
      <c r="E76" s="411"/>
      <c r="F76" s="411"/>
    </row>
    <row r="77" spans="1:8" ht="15">
      <c r="B77" s="412" t="s">
        <v>486</v>
      </c>
      <c r="C77" s="409" t="s">
        <v>9</v>
      </c>
      <c r="D77" s="411"/>
      <c r="E77" s="411"/>
      <c r="F77" s="411"/>
    </row>
    <row r="78" spans="1:8">
      <c r="B78" s="142">
        <v>1665</v>
      </c>
      <c r="C78" s="410" t="s">
        <v>696</v>
      </c>
      <c r="D78" s="411">
        <v>0</v>
      </c>
      <c r="E78" s="411"/>
      <c r="F78" s="411">
        <v>80000</v>
      </c>
      <c r="H78" s="445">
        <f t="shared" ref="H78:H82" si="1">D78*$M$5</f>
        <v>0</v>
      </c>
    </row>
    <row r="79" spans="1:8">
      <c r="A79" s="418">
        <v>2689</v>
      </c>
      <c r="B79" s="142">
        <v>1700</v>
      </c>
      <c r="C79" s="410" t="s">
        <v>9</v>
      </c>
      <c r="D79" s="411">
        <v>4742.4399999999996</v>
      </c>
      <c r="E79" s="411"/>
      <c r="F79" s="411">
        <v>10129.780000000001</v>
      </c>
      <c r="H79" s="445">
        <f t="shared" si="1"/>
        <v>5157.8777439999994</v>
      </c>
    </row>
    <row r="80" spans="1:8">
      <c r="B80" s="142">
        <v>1705</v>
      </c>
      <c r="C80" s="410" t="s">
        <v>554</v>
      </c>
      <c r="D80" s="411">
        <v>0</v>
      </c>
      <c r="E80" s="411"/>
      <c r="F80" s="411">
        <v>559.80999999999995</v>
      </c>
      <c r="H80" s="445">
        <f t="shared" si="1"/>
        <v>0</v>
      </c>
    </row>
    <row r="81" spans="1:8">
      <c r="A81" s="418">
        <v>2685</v>
      </c>
      <c r="B81" s="142">
        <v>1741</v>
      </c>
      <c r="C81" s="410" t="s">
        <v>529</v>
      </c>
      <c r="D81" s="411">
        <v>807.76</v>
      </c>
      <c r="E81" s="411"/>
      <c r="F81" s="411">
        <v>30364.240000000002</v>
      </c>
      <c r="H81" s="445">
        <f t="shared" si="1"/>
        <v>878.51977599999987</v>
      </c>
    </row>
    <row r="82" spans="1:8">
      <c r="B82" s="142">
        <v>1742</v>
      </c>
      <c r="C82" s="410" t="s">
        <v>558</v>
      </c>
      <c r="D82" s="414">
        <v>0</v>
      </c>
      <c r="E82" s="411">
        <v>5550.2</v>
      </c>
      <c r="F82" s="411">
        <v>1582.54</v>
      </c>
      <c r="H82" s="446">
        <f t="shared" si="1"/>
        <v>0</v>
      </c>
    </row>
    <row r="83" spans="1:8">
      <c r="B83" s="412" t="s">
        <v>486</v>
      </c>
      <c r="C83" s="410" t="s">
        <v>486</v>
      </c>
      <c r="D83" s="411"/>
      <c r="E83" s="411"/>
      <c r="F83" s="411"/>
      <c r="H83" s="444">
        <f>SUM(H78:H82)</f>
        <v>6036.3975199999995</v>
      </c>
    </row>
    <row r="84" spans="1:8" ht="30">
      <c r="B84" s="412" t="s">
        <v>486</v>
      </c>
      <c r="C84" s="413" t="s">
        <v>728</v>
      </c>
      <c r="D84" s="411"/>
      <c r="E84" s="411"/>
      <c r="F84" s="411"/>
    </row>
    <row r="85" spans="1:8">
      <c r="B85" s="142">
        <v>1665</v>
      </c>
      <c r="C85" s="410" t="s">
        <v>696</v>
      </c>
      <c r="D85" s="411"/>
      <c r="E85" s="411"/>
      <c r="F85" s="411"/>
    </row>
    <row r="86" spans="1:8">
      <c r="B86" s="412" t="s">
        <v>486</v>
      </c>
      <c r="C86" s="410" t="s">
        <v>486</v>
      </c>
      <c r="D86" s="411"/>
      <c r="E86" s="411"/>
      <c r="F86" s="411"/>
    </row>
    <row r="87" spans="1:8" ht="30">
      <c r="B87" s="412" t="s">
        <v>486</v>
      </c>
      <c r="C87" s="413" t="s">
        <v>729</v>
      </c>
      <c r="D87" s="411"/>
      <c r="E87" s="411"/>
      <c r="F87" s="411"/>
    </row>
    <row r="88" spans="1:8">
      <c r="B88" s="142">
        <v>1741</v>
      </c>
      <c r="C88" s="410" t="s">
        <v>529</v>
      </c>
      <c r="D88" s="411"/>
      <c r="E88" s="411"/>
      <c r="F88" s="411"/>
    </row>
    <row r="89" spans="1:8">
      <c r="B89" s="412" t="s">
        <v>486</v>
      </c>
      <c r="C89" s="410" t="s">
        <v>486</v>
      </c>
      <c r="D89" s="411"/>
      <c r="E89" s="411"/>
      <c r="F89" s="411"/>
    </row>
    <row r="90" spans="1:8" ht="30">
      <c r="B90" s="412" t="s">
        <v>486</v>
      </c>
      <c r="C90" s="413" t="s">
        <v>730</v>
      </c>
      <c r="D90" s="411"/>
      <c r="E90" s="411"/>
      <c r="F90" s="411"/>
    </row>
    <row r="91" spans="1:8">
      <c r="B91" s="142">
        <v>1742</v>
      </c>
      <c r="C91" s="410" t="s">
        <v>558</v>
      </c>
      <c r="D91" s="411"/>
      <c r="E91" s="411"/>
      <c r="F91" s="411"/>
    </row>
    <row r="92" spans="1:8">
      <c r="B92" s="412" t="s">
        <v>486</v>
      </c>
      <c r="C92" s="410" t="s">
        <v>486</v>
      </c>
      <c r="D92" s="411"/>
      <c r="E92" s="411"/>
      <c r="F92" s="411"/>
    </row>
    <row r="93" spans="1:8" ht="45">
      <c r="B93" s="412" t="s">
        <v>486</v>
      </c>
      <c r="C93" s="413" t="s">
        <v>731</v>
      </c>
      <c r="D93" s="411"/>
      <c r="E93" s="411"/>
      <c r="F93" s="411"/>
    </row>
    <row r="94" spans="1:8">
      <c r="B94" s="142">
        <v>1665</v>
      </c>
      <c r="C94" s="410" t="s">
        <v>696</v>
      </c>
      <c r="D94" s="411"/>
      <c r="E94" s="411"/>
      <c r="F94" s="411"/>
    </row>
    <row r="95" spans="1:8">
      <c r="B95" s="142">
        <v>1700</v>
      </c>
      <c r="C95" s="410" t="s">
        <v>9</v>
      </c>
      <c r="D95" s="411"/>
      <c r="E95" s="411"/>
      <c r="F95" s="411"/>
    </row>
    <row r="96" spans="1:8">
      <c r="B96" s="142">
        <v>1705</v>
      </c>
      <c r="C96" s="410" t="s">
        <v>554</v>
      </c>
      <c r="D96" s="411"/>
      <c r="E96" s="411"/>
      <c r="F96" s="411"/>
    </row>
    <row r="97" spans="2:9">
      <c r="B97" s="142">
        <v>1741</v>
      </c>
      <c r="C97" s="410" t="s">
        <v>529</v>
      </c>
      <c r="D97" s="411"/>
      <c r="E97" s="411"/>
      <c r="F97" s="411"/>
    </row>
    <row r="98" spans="2:9">
      <c r="B98" s="142">
        <v>1742</v>
      </c>
      <c r="C98" s="410" t="s">
        <v>558</v>
      </c>
      <c r="D98" s="411"/>
      <c r="E98" s="411"/>
      <c r="F98" s="411"/>
    </row>
    <row r="99" spans="2:9">
      <c r="B99" s="412" t="s">
        <v>486</v>
      </c>
      <c r="C99" s="410" t="s">
        <v>486</v>
      </c>
      <c r="D99" s="411"/>
      <c r="E99" s="414"/>
      <c r="F99" s="414"/>
      <c r="H99" s="449"/>
    </row>
    <row r="100" spans="2:9">
      <c r="B100" s="412" t="s">
        <v>486</v>
      </c>
      <c r="C100" s="410" t="s">
        <v>486</v>
      </c>
      <c r="D100" s="411"/>
      <c r="E100" s="411"/>
      <c r="F100" s="411"/>
      <c r="H100" s="450"/>
    </row>
    <row r="101" spans="2:9">
      <c r="B101" s="412" t="s">
        <v>486</v>
      </c>
      <c r="C101" s="410" t="s">
        <v>530</v>
      </c>
      <c r="D101" s="411"/>
      <c r="E101" s="411">
        <v>51565.34</v>
      </c>
      <c r="F101" s="411">
        <v>128536.04</v>
      </c>
      <c r="H101" s="453">
        <f>H83+H61+I53+I50+I47+H66</f>
        <v>56082.463783999992</v>
      </c>
      <c r="I101" s="285"/>
    </row>
    <row r="102" spans="2:9" ht="13.5" thickBot="1">
      <c r="B102" s="412" t="s">
        <v>486</v>
      </c>
      <c r="C102" s="410" t="s">
        <v>486</v>
      </c>
      <c r="D102" s="411"/>
      <c r="E102" s="415"/>
      <c r="F102" s="415"/>
      <c r="H102" s="451"/>
    </row>
    <row r="103" spans="2:9" ht="13.5" thickTop="1"/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A21F-7B07-4DB4-9A3E-EF4509CF11F1}">
  <dimension ref="A1:M53"/>
  <sheetViews>
    <sheetView topLeftCell="A31" workbookViewId="0">
      <selection activeCell="A79" sqref="A79"/>
    </sheetView>
  </sheetViews>
  <sheetFormatPr defaultRowHeight="12.75"/>
  <cols>
    <col min="2" max="2" width="24.5703125" customWidth="1"/>
    <col min="3" max="3" width="38.42578125" bestFit="1" customWidth="1"/>
    <col min="5" max="5" width="12.5703125" bestFit="1" customWidth="1"/>
    <col min="6" max="6" width="12.42578125" hidden="1" customWidth="1"/>
    <col min="8" max="8" width="10.5703125" style="442" bestFit="1" customWidth="1"/>
    <col min="13" max="13" width="15.5703125" bestFit="1" customWidth="1"/>
  </cols>
  <sheetData>
    <row r="1" spans="1:13">
      <c r="B1" s="412" t="s">
        <v>484</v>
      </c>
      <c r="C1" s="410" t="s">
        <v>484</v>
      </c>
      <c r="D1" s="411" t="s">
        <v>484</v>
      </c>
      <c r="E1" s="411" t="s">
        <v>484</v>
      </c>
      <c r="F1" s="411" t="s">
        <v>484</v>
      </c>
    </row>
    <row r="2" spans="1:13" ht="15">
      <c r="B2" s="409" t="s">
        <v>667</v>
      </c>
      <c r="C2" s="410" t="s">
        <v>486</v>
      </c>
      <c r="D2" s="411"/>
      <c r="E2" s="411"/>
      <c r="F2" s="411"/>
    </row>
    <row r="3" spans="1:13">
      <c r="B3" s="410" t="s">
        <v>668</v>
      </c>
      <c r="C3" s="410" t="s">
        <v>486</v>
      </c>
      <c r="D3" s="411"/>
      <c r="E3" s="411"/>
      <c r="F3" s="411"/>
      <c r="L3" s="434">
        <v>3.5</v>
      </c>
      <c r="M3" s="435" t="s">
        <v>720</v>
      </c>
    </row>
    <row r="4" spans="1:13">
      <c r="B4" s="410" t="s">
        <v>732</v>
      </c>
      <c r="C4" s="410" t="s">
        <v>486</v>
      </c>
      <c r="D4" s="411"/>
      <c r="E4" s="411"/>
      <c r="F4" s="411"/>
      <c r="L4" s="436">
        <v>3.8066</v>
      </c>
      <c r="M4" s="437" t="s">
        <v>721</v>
      </c>
    </row>
    <row r="5" spans="1:13">
      <c r="B5" s="412" t="s">
        <v>486</v>
      </c>
      <c r="C5" s="410" t="s">
        <v>486</v>
      </c>
      <c r="D5" s="411"/>
      <c r="E5" s="411"/>
      <c r="F5" s="411"/>
      <c r="L5" s="436">
        <v>1.0875999999999999</v>
      </c>
      <c r="M5" s="437" t="s">
        <v>492</v>
      </c>
    </row>
    <row r="6" spans="1:13" ht="15">
      <c r="B6" s="409" t="s">
        <v>488</v>
      </c>
      <c r="C6" s="410" t="s">
        <v>486</v>
      </c>
      <c r="D6" s="411"/>
      <c r="E6" s="411"/>
      <c r="F6" s="411"/>
    </row>
    <row r="7" spans="1:13">
      <c r="B7" s="412" t="s">
        <v>486</v>
      </c>
      <c r="C7" s="410" t="s">
        <v>486</v>
      </c>
      <c r="D7" s="411"/>
      <c r="E7" s="411"/>
      <c r="F7" s="411"/>
    </row>
    <row r="8" spans="1:13">
      <c r="B8" s="412" t="s">
        <v>484</v>
      </c>
      <c r="C8" s="410" t="s">
        <v>484</v>
      </c>
      <c r="D8" s="411" t="s">
        <v>484</v>
      </c>
      <c r="E8" s="411" t="s">
        <v>484</v>
      </c>
      <c r="F8" s="411" t="s">
        <v>484</v>
      </c>
    </row>
    <row r="9" spans="1:13">
      <c r="B9" s="412" t="s">
        <v>486</v>
      </c>
      <c r="C9" s="410" t="s">
        <v>486</v>
      </c>
      <c r="D9" s="411"/>
      <c r="E9" s="412" t="s">
        <v>490</v>
      </c>
      <c r="F9" s="412" t="s">
        <v>491</v>
      </c>
    </row>
    <row r="10" spans="1:13">
      <c r="B10" s="412" t="s">
        <v>494</v>
      </c>
      <c r="C10" s="410" t="s">
        <v>495</v>
      </c>
      <c r="D10" s="412" t="s">
        <v>496</v>
      </c>
      <c r="E10" s="412" t="s">
        <v>496</v>
      </c>
      <c r="F10" s="412" t="s">
        <v>496</v>
      </c>
      <c r="H10" s="454" t="s">
        <v>117</v>
      </c>
    </row>
    <row r="11" spans="1:13">
      <c r="B11" s="412" t="s">
        <v>486</v>
      </c>
      <c r="C11" s="410" t="s">
        <v>486</v>
      </c>
      <c r="D11" s="411"/>
      <c r="E11" s="411"/>
      <c r="F11" s="411"/>
    </row>
    <row r="12" spans="1:13" ht="15">
      <c r="B12" s="412" t="s">
        <v>486</v>
      </c>
      <c r="C12" s="409" t="s">
        <v>573</v>
      </c>
      <c r="D12" s="411"/>
      <c r="E12" s="411"/>
      <c r="F12" s="411"/>
    </row>
    <row r="13" spans="1:13">
      <c r="A13">
        <v>7023</v>
      </c>
      <c r="B13" s="142">
        <v>8338</v>
      </c>
      <c r="C13" s="410" t="s">
        <v>670</v>
      </c>
      <c r="D13" s="411"/>
      <c r="E13" s="411">
        <v>34827.57</v>
      </c>
      <c r="F13" s="411">
        <v>0</v>
      </c>
      <c r="H13" s="445">
        <f>E13*$L$5</f>
        <v>37878.465131999998</v>
      </c>
    </row>
    <row r="14" spans="1:13">
      <c r="B14" s="412" t="s">
        <v>486</v>
      </c>
      <c r="C14" s="410" t="s">
        <v>486</v>
      </c>
      <c r="D14" s="411"/>
      <c r="E14" s="411"/>
      <c r="F14" s="411"/>
    </row>
    <row r="15" spans="1:13" ht="30">
      <c r="B15" s="412" t="s">
        <v>486</v>
      </c>
      <c r="C15" s="413" t="s">
        <v>712</v>
      </c>
      <c r="D15" s="411"/>
      <c r="E15" s="411"/>
      <c r="F15" s="411"/>
    </row>
    <row r="16" spans="1:13">
      <c r="A16">
        <v>7021</v>
      </c>
      <c r="B16" s="142">
        <v>2735</v>
      </c>
      <c r="C16" s="410" t="s">
        <v>714</v>
      </c>
      <c r="D16" s="411"/>
      <c r="E16" s="411">
        <v>1513.1</v>
      </c>
      <c r="F16" s="411">
        <v>0</v>
      </c>
      <c r="H16" s="445">
        <f>E16*$L$5</f>
        <v>1645.6475599999997</v>
      </c>
    </row>
    <row r="17" spans="1:8">
      <c r="B17" s="412" t="s">
        <v>486</v>
      </c>
      <c r="C17" s="410" t="s">
        <v>486</v>
      </c>
      <c r="D17" s="411"/>
      <c r="E17" s="411"/>
      <c r="F17" s="411"/>
    </row>
    <row r="18" spans="1:8" ht="15">
      <c r="B18" s="412" t="s">
        <v>486</v>
      </c>
      <c r="C18" s="409" t="s">
        <v>577</v>
      </c>
      <c r="D18" s="411"/>
      <c r="E18" s="411"/>
      <c r="F18" s="411"/>
    </row>
    <row r="19" spans="1:8">
      <c r="A19">
        <v>7020</v>
      </c>
      <c r="B19" s="142">
        <v>4100</v>
      </c>
      <c r="C19" s="410" t="s">
        <v>577</v>
      </c>
      <c r="D19" s="411"/>
      <c r="E19" s="411">
        <v>-17333.32</v>
      </c>
      <c r="F19" s="411">
        <v>-40000</v>
      </c>
      <c r="H19" s="445">
        <f>E19*$L$5</f>
        <v>-18851.718831999999</v>
      </c>
    </row>
    <row r="20" spans="1:8">
      <c r="B20" s="412" t="s">
        <v>486</v>
      </c>
      <c r="C20" s="410" t="s">
        <v>486</v>
      </c>
      <c r="D20" s="411"/>
      <c r="E20" s="411"/>
      <c r="F20" s="411"/>
    </row>
    <row r="21" spans="1:8" ht="45">
      <c r="B21" s="412" t="s">
        <v>486</v>
      </c>
      <c r="C21" s="413" t="s">
        <v>671</v>
      </c>
      <c r="D21" s="411"/>
      <c r="E21" s="411"/>
      <c r="F21" s="411"/>
    </row>
    <row r="22" spans="1:8">
      <c r="A22">
        <v>7020</v>
      </c>
      <c r="B22" s="142">
        <v>4130</v>
      </c>
      <c r="C22" s="410" t="s">
        <v>580</v>
      </c>
      <c r="D22" s="411"/>
      <c r="E22" s="411">
        <v>-3848.88</v>
      </c>
      <c r="F22" s="411">
        <v>-4821.2</v>
      </c>
      <c r="H22" s="445">
        <f>E22*$L$5</f>
        <v>-4186.0418879999997</v>
      </c>
    </row>
    <row r="23" spans="1:8">
      <c r="B23" s="412" t="s">
        <v>486</v>
      </c>
      <c r="C23" s="410" t="s">
        <v>486</v>
      </c>
      <c r="D23" s="411"/>
      <c r="E23" s="411"/>
      <c r="F23" s="411"/>
    </row>
    <row r="24" spans="1:8" ht="30">
      <c r="B24" s="412" t="s">
        <v>486</v>
      </c>
      <c r="C24" s="413" t="s">
        <v>673</v>
      </c>
      <c r="D24" s="411"/>
      <c r="E24" s="411"/>
      <c r="F24" s="411"/>
    </row>
    <row r="25" spans="1:8">
      <c r="B25" s="412" t="s">
        <v>486</v>
      </c>
      <c r="C25" s="410" t="s">
        <v>486</v>
      </c>
      <c r="D25" s="411"/>
      <c r="E25" s="411"/>
      <c r="F25" s="411"/>
    </row>
    <row r="26" spans="1:8" ht="75">
      <c r="B26" s="412" t="s">
        <v>486</v>
      </c>
      <c r="C26" s="413" t="s">
        <v>674</v>
      </c>
      <c r="D26" s="411"/>
      <c r="E26" s="411"/>
      <c r="F26" s="411"/>
    </row>
    <row r="27" spans="1:8">
      <c r="A27">
        <v>7021</v>
      </c>
      <c r="B27" s="142">
        <v>4830</v>
      </c>
      <c r="C27" s="410" t="s">
        <v>675</v>
      </c>
      <c r="D27" s="411"/>
      <c r="E27" s="411">
        <v>-140.66</v>
      </c>
      <c r="F27" s="411">
        <v>0</v>
      </c>
      <c r="H27" s="445">
        <f>E27*$L$5</f>
        <v>-152.98181599999998</v>
      </c>
    </row>
    <row r="28" spans="1:8">
      <c r="B28" s="412" t="s">
        <v>486</v>
      </c>
      <c r="C28" s="410" t="s">
        <v>486</v>
      </c>
      <c r="D28" s="411"/>
      <c r="E28" s="411"/>
      <c r="F28" s="411"/>
    </row>
    <row r="29" spans="1:8" ht="15">
      <c r="B29" s="412" t="s">
        <v>486</v>
      </c>
      <c r="C29" s="409" t="s">
        <v>676</v>
      </c>
      <c r="D29" s="411"/>
      <c r="E29" s="411"/>
      <c r="F29" s="411"/>
    </row>
    <row r="30" spans="1:8">
      <c r="A30">
        <v>7021</v>
      </c>
      <c r="B30" s="142">
        <v>4210</v>
      </c>
      <c r="C30" s="410" t="s">
        <v>590</v>
      </c>
      <c r="D30" s="411"/>
      <c r="E30" s="411">
        <v>-1881.72</v>
      </c>
      <c r="F30" s="411">
        <v>-1881.72</v>
      </c>
      <c r="H30" s="445">
        <f>E30*$L$5</f>
        <v>-2046.5586719999999</v>
      </c>
    </row>
    <row r="31" spans="1:8">
      <c r="B31" s="412" t="s">
        <v>486</v>
      </c>
      <c r="C31" s="410" t="s">
        <v>486</v>
      </c>
      <c r="D31" s="411"/>
      <c r="E31" s="411"/>
      <c r="F31" s="411"/>
    </row>
    <row r="32" spans="1:8" ht="30">
      <c r="B32" s="412" t="s">
        <v>486</v>
      </c>
      <c r="C32" s="413" t="s">
        <v>677</v>
      </c>
      <c r="D32" s="411"/>
      <c r="E32" s="411"/>
      <c r="F32" s="411"/>
    </row>
    <row r="33" spans="1:8">
      <c r="A33">
        <v>7026</v>
      </c>
      <c r="B33" s="142">
        <v>4600</v>
      </c>
      <c r="C33" s="410" t="s">
        <v>702</v>
      </c>
      <c r="D33" s="411">
        <v>-8400</v>
      </c>
      <c r="E33" s="411"/>
      <c r="F33" s="411">
        <v>-9378.92</v>
      </c>
      <c r="H33" s="445">
        <f>D33*$L$5</f>
        <v>-9135.8399999999983</v>
      </c>
    </row>
    <row r="34" spans="1:8">
      <c r="B34" s="142">
        <v>4650</v>
      </c>
      <c r="C34" s="410" t="s">
        <v>599</v>
      </c>
      <c r="D34" s="411">
        <v>0</v>
      </c>
      <c r="E34" s="411"/>
      <c r="F34" s="411">
        <v>-234.96</v>
      </c>
    </row>
    <row r="35" spans="1:8">
      <c r="B35" s="142">
        <v>4660</v>
      </c>
      <c r="C35" s="410" t="s">
        <v>604</v>
      </c>
      <c r="D35" s="411">
        <v>0</v>
      </c>
      <c r="E35" s="411"/>
      <c r="F35" s="411">
        <v>-139.06</v>
      </c>
    </row>
    <row r="36" spans="1:8">
      <c r="B36" s="142">
        <v>4663</v>
      </c>
      <c r="C36" s="410" t="s">
        <v>607</v>
      </c>
      <c r="D36" s="411">
        <v>0</v>
      </c>
      <c r="E36" s="411"/>
      <c r="F36" s="411">
        <v>-330.29</v>
      </c>
    </row>
    <row r="37" spans="1:8">
      <c r="B37" s="142">
        <v>4664</v>
      </c>
      <c r="C37" s="410" t="s">
        <v>610</v>
      </c>
      <c r="D37" s="411">
        <v>0</v>
      </c>
      <c r="E37" s="411"/>
      <c r="F37" s="411">
        <v>-77</v>
      </c>
    </row>
    <row r="38" spans="1:8">
      <c r="B38" s="142">
        <v>4666</v>
      </c>
      <c r="C38" s="410" t="s">
        <v>613</v>
      </c>
      <c r="D38" s="414">
        <v>0</v>
      </c>
      <c r="E38" s="411">
        <v>-8400</v>
      </c>
      <c r="F38" s="411">
        <v>-1871.98</v>
      </c>
      <c r="H38" s="455"/>
    </row>
    <row r="39" spans="1:8">
      <c r="B39" s="412" t="s">
        <v>486</v>
      </c>
      <c r="C39" s="410" t="s">
        <v>486</v>
      </c>
      <c r="D39" s="411"/>
      <c r="E39" s="411"/>
      <c r="F39" s="411"/>
      <c r="H39" s="444">
        <f>SUM(H33:H38)</f>
        <v>-9135.8399999999983</v>
      </c>
    </row>
    <row r="40" spans="1:8" ht="30">
      <c r="B40" s="412" t="s">
        <v>486</v>
      </c>
      <c r="C40" s="413" t="s">
        <v>680</v>
      </c>
      <c r="D40" s="411"/>
      <c r="E40" s="411"/>
      <c r="F40" s="411"/>
    </row>
    <row r="41" spans="1:8">
      <c r="B41" s="142">
        <v>4900</v>
      </c>
      <c r="C41" s="410" t="s">
        <v>623</v>
      </c>
      <c r="D41" s="411">
        <v>0</v>
      </c>
      <c r="E41" s="411"/>
      <c r="F41" s="411">
        <v>-182.95</v>
      </c>
      <c r="H41" s="445">
        <f t="shared" ref="H41:H44" si="0">D41*$L$5</f>
        <v>0</v>
      </c>
    </row>
    <row r="42" spans="1:8">
      <c r="A42">
        <v>7021</v>
      </c>
      <c r="B42" s="142">
        <v>4920</v>
      </c>
      <c r="C42" s="410" t="s">
        <v>626</v>
      </c>
      <c r="D42" s="411">
        <v>-307.93</v>
      </c>
      <c r="E42" s="411"/>
      <c r="F42" s="411">
        <v>-93.8</v>
      </c>
      <c r="H42" s="445">
        <f t="shared" si="0"/>
        <v>-334.90466799999996</v>
      </c>
    </row>
    <row r="43" spans="1:8">
      <c r="A43">
        <v>7021</v>
      </c>
      <c r="B43" s="142">
        <v>4950</v>
      </c>
      <c r="C43" s="410" t="s">
        <v>703</v>
      </c>
      <c r="D43" s="411">
        <v>-196.3</v>
      </c>
      <c r="E43" s="411"/>
      <c r="F43" s="411">
        <v>-70</v>
      </c>
      <c r="H43" s="445">
        <f t="shared" si="0"/>
        <v>-213.49588</v>
      </c>
    </row>
    <row r="44" spans="1:8">
      <c r="A44">
        <v>7021</v>
      </c>
      <c r="B44" s="142">
        <v>4970</v>
      </c>
      <c r="C44" s="410" t="s">
        <v>639</v>
      </c>
      <c r="D44" s="414">
        <v>-138.93</v>
      </c>
      <c r="E44" s="411">
        <v>-643.16</v>
      </c>
      <c r="F44" s="411">
        <v>-87.33</v>
      </c>
      <c r="H44" s="446">
        <f t="shared" si="0"/>
        <v>-151.100268</v>
      </c>
    </row>
    <row r="45" spans="1:8">
      <c r="B45" s="412" t="s">
        <v>486</v>
      </c>
      <c r="C45" s="410" t="s">
        <v>486</v>
      </c>
      <c r="D45" s="411"/>
      <c r="E45" s="414"/>
      <c r="F45" s="414"/>
      <c r="H45" s="444">
        <f>SUM(H41:H44)</f>
        <v>-699.50081599999999</v>
      </c>
    </row>
    <row r="46" spans="1:8">
      <c r="B46" s="412"/>
      <c r="C46" s="410"/>
      <c r="D46" s="411"/>
      <c r="E46" s="425"/>
      <c r="F46" s="425"/>
      <c r="H46" s="444"/>
    </row>
    <row r="47" spans="1:8">
      <c r="A47">
        <v>7901</v>
      </c>
      <c r="B47" s="412" t="s">
        <v>722</v>
      </c>
      <c r="C47" s="410" t="s">
        <v>470</v>
      </c>
      <c r="D47" s="411"/>
      <c r="E47" s="425"/>
      <c r="F47" s="425"/>
      <c r="H47" s="444">
        <f>('GMBH BS 30.04.2020'!J47+'GMBH BS 30.04.2020'!J50)</f>
        <v>-1032.0427560000044</v>
      </c>
    </row>
    <row r="48" spans="1:8">
      <c r="B48" s="412"/>
      <c r="C48" s="410"/>
      <c r="D48" s="411"/>
      <c r="E48" s="425"/>
      <c r="F48" s="425"/>
      <c r="H48" s="444"/>
    </row>
    <row r="49" spans="2:8">
      <c r="B49" s="412" t="s">
        <v>486</v>
      </c>
      <c r="C49" s="410" t="s">
        <v>486</v>
      </c>
      <c r="D49" s="411"/>
      <c r="E49" s="411"/>
      <c r="F49" s="411"/>
    </row>
    <row r="50" spans="2:8" ht="30">
      <c r="B50" s="412" t="s">
        <v>486</v>
      </c>
      <c r="C50" s="413" t="s">
        <v>545</v>
      </c>
      <c r="D50" s="411"/>
      <c r="E50" s="411"/>
      <c r="F50" s="411"/>
    </row>
    <row r="51" spans="2:8">
      <c r="B51" s="412" t="s">
        <v>486</v>
      </c>
      <c r="C51" s="410" t="s">
        <v>546</v>
      </c>
      <c r="D51" s="411"/>
      <c r="E51" s="411">
        <v>4092.93</v>
      </c>
      <c r="F51" s="411">
        <v>-59169.21</v>
      </c>
      <c r="H51" s="444">
        <f>H13+H16+H19+H22+H27+H30+H33+H45+H47</f>
        <v>3419.4279119999956</v>
      </c>
    </row>
    <row r="52" spans="2:8" ht="13.5" thickBot="1">
      <c r="B52" s="412" t="s">
        <v>486</v>
      </c>
      <c r="C52" s="410" t="s">
        <v>486</v>
      </c>
      <c r="D52" s="411"/>
      <c r="E52" s="415"/>
      <c r="F52" s="415"/>
      <c r="H52" s="448"/>
    </row>
    <row r="53" spans="2:8" ht="13.5" thickTop="1"/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9778-8631-48A4-BC7E-C31D2C651118}">
  <sheetPr>
    <outlinePr summaryBelow="0"/>
  </sheetPr>
  <dimension ref="A1:L89"/>
  <sheetViews>
    <sheetView zoomScale="80" zoomScaleNormal="80" workbookViewId="0">
      <selection activeCell="L9" sqref="K9:L11"/>
    </sheetView>
  </sheetViews>
  <sheetFormatPr defaultColWidth="12.5703125" defaultRowHeight="15"/>
  <cols>
    <col min="1" max="1" width="12.5703125" style="319"/>
    <col min="2" max="2" width="20.42578125" style="319" customWidth="1"/>
    <col min="3" max="3" width="46" style="319" customWidth="1"/>
    <col min="4" max="4" width="13.5703125" style="319" customWidth="1"/>
    <col min="5" max="5" width="19.5703125" style="319" customWidth="1"/>
    <col min="6" max="6" width="19.42578125" style="319" hidden="1" customWidth="1"/>
    <col min="7" max="7" width="12.5703125" style="390"/>
    <col min="8" max="9" width="12.5703125" style="319"/>
    <col min="10" max="10" width="13" style="319" bestFit="1" customWidth="1"/>
    <col min="11" max="11" width="9.42578125" style="319" bestFit="1" customWidth="1"/>
    <col min="12" max="12" width="17.5703125" style="319" bestFit="1" customWidth="1"/>
    <col min="13" max="16384" width="12.5703125" style="319"/>
  </cols>
  <sheetData>
    <row r="1" spans="1:12">
      <c r="B1" s="320" t="s">
        <v>484</v>
      </c>
      <c r="C1" s="321" t="s">
        <v>484</v>
      </c>
      <c r="D1" s="322" t="s">
        <v>484</v>
      </c>
      <c r="E1" s="322" t="s">
        <v>484</v>
      </c>
      <c r="F1" s="322" t="s">
        <v>484</v>
      </c>
    </row>
    <row r="2" spans="1:12">
      <c r="B2" s="323" t="s">
        <v>485</v>
      </c>
      <c r="C2" s="321" t="s">
        <v>486</v>
      </c>
      <c r="D2" s="322"/>
      <c r="E2" s="322"/>
      <c r="F2" s="322"/>
    </row>
    <row r="3" spans="1:12">
      <c r="B3" s="321" t="s">
        <v>487</v>
      </c>
      <c r="C3" s="321" t="s">
        <v>486</v>
      </c>
      <c r="D3" s="322"/>
      <c r="E3" s="322"/>
      <c r="F3" s="322"/>
    </row>
    <row r="4" spans="1:12">
      <c r="B4" s="321" t="s">
        <v>684</v>
      </c>
      <c r="C4" s="321" t="s">
        <v>486</v>
      </c>
      <c r="D4" s="322"/>
      <c r="E4" s="322"/>
      <c r="F4" s="322"/>
    </row>
    <row r="5" spans="1:12">
      <c r="B5" s="320" t="s">
        <v>486</v>
      </c>
      <c r="C5" s="321" t="s">
        <v>486</v>
      </c>
      <c r="D5" s="322"/>
      <c r="E5" s="322"/>
      <c r="F5" s="322"/>
    </row>
    <row r="6" spans="1:12">
      <c r="B6" s="323" t="s">
        <v>488</v>
      </c>
      <c r="C6" s="321" t="s">
        <v>486</v>
      </c>
      <c r="D6" s="322"/>
      <c r="E6" s="322"/>
      <c r="F6" s="322"/>
    </row>
    <row r="7" spans="1:12">
      <c r="B7" s="320" t="s">
        <v>486</v>
      </c>
      <c r="C7" s="321" t="s">
        <v>486</v>
      </c>
      <c r="D7" s="322"/>
      <c r="E7" s="322"/>
      <c r="F7" s="322"/>
    </row>
    <row r="8" spans="1:12">
      <c r="B8" s="321" t="s">
        <v>489</v>
      </c>
      <c r="C8" s="321" t="s">
        <v>486</v>
      </c>
      <c r="D8" s="322"/>
      <c r="E8" s="322"/>
      <c r="F8" s="322"/>
    </row>
    <row r="9" spans="1:12">
      <c r="B9" s="320" t="s">
        <v>484</v>
      </c>
      <c r="C9" s="321" t="s">
        <v>484</v>
      </c>
      <c r="D9" s="322" t="s">
        <v>484</v>
      </c>
      <c r="E9" s="322" t="s">
        <v>484</v>
      </c>
      <c r="F9" s="322" t="s">
        <v>484</v>
      </c>
      <c r="K9" s="391">
        <v>3.4670000000000001</v>
      </c>
      <c r="L9" s="380" t="s">
        <v>685</v>
      </c>
    </row>
    <row r="10" spans="1:12">
      <c r="B10" s="320" t="s">
        <v>486</v>
      </c>
      <c r="C10" s="321" t="s">
        <v>486</v>
      </c>
      <c r="D10" s="322"/>
      <c r="E10" s="320" t="s">
        <v>490</v>
      </c>
      <c r="F10" s="320" t="s">
        <v>491</v>
      </c>
      <c r="K10" s="392">
        <v>3.8195999999999999</v>
      </c>
      <c r="L10" s="382" t="s">
        <v>686</v>
      </c>
    </row>
    <row r="11" spans="1:12">
      <c r="A11" s="319" t="s">
        <v>493</v>
      </c>
      <c r="B11" s="320" t="s">
        <v>494</v>
      </c>
      <c r="C11" s="321" t="s">
        <v>495</v>
      </c>
      <c r="D11" s="320" t="s">
        <v>496</v>
      </c>
      <c r="E11" s="320" t="s">
        <v>496</v>
      </c>
      <c r="F11" s="320" t="s">
        <v>496</v>
      </c>
      <c r="G11" s="393" t="s">
        <v>117</v>
      </c>
      <c r="K11" s="392">
        <f>K10/K9</f>
        <v>1.1017017594462071</v>
      </c>
      <c r="L11" s="382" t="s">
        <v>492</v>
      </c>
    </row>
    <row r="12" spans="1:12">
      <c r="B12" s="320" t="s">
        <v>486</v>
      </c>
      <c r="C12" s="321" t="s">
        <v>486</v>
      </c>
      <c r="D12" s="322"/>
      <c r="E12" s="322"/>
      <c r="F12" s="322"/>
    </row>
    <row r="13" spans="1:12" ht="45">
      <c r="B13" s="320" t="s">
        <v>486</v>
      </c>
      <c r="C13" s="324" t="s">
        <v>497</v>
      </c>
      <c r="D13" s="322"/>
      <c r="E13" s="322"/>
      <c r="F13" s="322"/>
    </row>
    <row r="14" spans="1:12">
      <c r="A14" s="383">
        <v>1904</v>
      </c>
      <c r="B14" s="320" t="s">
        <v>498</v>
      </c>
      <c r="C14" s="321" t="s">
        <v>499</v>
      </c>
      <c r="D14" s="322"/>
      <c r="E14" s="322">
        <v>633.66999999999996</v>
      </c>
      <c r="F14" s="322">
        <v>1126</v>
      </c>
      <c r="G14" s="394">
        <f>E14*$K$11</f>
        <v>698.11535390827794</v>
      </c>
    </row>
    <row r="15" spans="1:12">
      <c r="B15" s="320" t="s">
        <v>486</v>
      </c>
      <c r="C15" s="321" t="s">
        <v>486</v>
      </c>
      <c r="D15" s="322"/>
      <c r="E15" s="322"/>
      <c r="F15" s="322"/>
    </row>
    <row r="16" spans="1:12">
      <c r="B16" s="320" t="s">
        <v>486</v>
      </c>
      <c r="C16" s="323" t="s">
        <v>538</v>
      </c>
      <c r="D16" s="322"/>
      <c r="E16" s="322"/>
      <c r="F16" s="322"/>
    </row>
    <row r="17" spans="1:7">
      <c r="A17" s="343">
        <v>1351</v>
      </c>
      <c r="B17" s="320" t="s">
        <v>539</v>
      </c>
      <c r="C17" s="321" t="s">
        <v>538</v>
      </c>
      <c r="D17" s="322"/>
      <c r="E17" s="322">
        <v>48095.82</v>
      </c>
      <c r="F17" s="322">
        <v>67588.240000000005</v>
      </c>
      <c r="G17" s="394">
        <f>E17*$K$11</f>
        <v>52987.249516008073</v>
      </c>
    </row>
    <row r="18" spans="1:7">
      <c r="B18" s="320" t="s">
        <v>486</v>
      </c>
      <c r="C18" s="321" t="s">
        <v>486</v>
      </c>
      <c r="D18" s="322"/>
      <c r="E18" s="322"/>
      <c r="F18" s="322"/>
    </row>
    <row r="19" spans="1:7">
      <c r="B19" s="320" t="s">
        <v>486</v>
      </c>
      <c r="C19" s="323" t="s">
        <v>500</v>
      </c>
      <c r="D19" s="322"/>
      <c r="E19" s="322"/>
      <c r="F19" s="322"/>
    </row>
    <row r="20" spans="1:7">
      <c r="A20" s="343">
        <v>1307</v>
      </c>
      <c r="B20" s="320" t="s">
        <v>501</v>
      </c>
      <c r="C20" s="321" t="s">
        <v>502</v>
      </c>
      <c r="D20" s="322">
        <v>1119.6199999999999</v>
      </c>
      <c r="E20" s="322"/>
      <c r="F20" s="322">
        <v>1119.6199999999999</v>
      </c>
      <c r="G20" s="394">
        <f>D20*$K$11</f>
        <v>1233.4873239111623</v>
      </c>
    </row>
    <row r="21" spans="1:7">
      <c r="B21" s="320" t="s">
        <v>687</v>
      </c>
      <c r="C21" s="321" t="s">
        <v>688</v>
      </c>
      <c r="D21" s="322">
        <v>0</v>
      </c>
      <c r="E21" s="322"/>
      <c r="F21" s="322">
        <v>165.72</v>
      </c>
      <c r="G21" s="394">
        <f t="shared" ref="G21:G25" si="0">D21*$K$11</f>
        <v>0</v>
      </c>
    </row>
    <row r="22" spans="1:7">
      <c r="B22" s="320" t="s">
        <v>505</v>
      </c>
      <c r="C22" s="321" t="s">
        <v>506</v>
      </c>
      <c r="D22" s="322">
        <v>0</v>
      </c>
      <c r="E22" s="322"/>
      <c r="F22" s="322">
        <v>130.11000000000001</v>
      </c>
      <c r="G22" s="394">
        <f t="shared" si="0"/>
        <v>0</v>
      </c>
    </row>
    <row r="23" spans="1:7">
      <c r="A23" s="343">
        <v>1357</v>
      </c>
      <c r="B23" s="320" t="s">
        <v>507</v>
      </c>
      <c r="C23" s="321" t="s">
        <v>508</v>
      </c>
      <c r="D23" s="322">
        <v>1296.1500000000001</v>
      </c>
      <c r="E23" s="322"/>
      <c r="F23" s="322">
        <v>917.36</v>
      </c>
      <c r="G23" s="394">
        <f t="shared" si="0"/>
        <v>1427.9707355062014</v>
      </c>
    </row>
    <row r="24" spans="1:7">
      <c r="A24" s="343">
        <v>1357</v>
      </c>
      <c r="B24" s="320" t="s">
        <v>511</v>
      </c>
      <c r="C24" s="321" t="s">
        <v>512</v>
      </c>
      <c r="D24" s="322">
        <v>2270.9699999999998</v>
      </c>
      <c r="E24" s="322"/>
      <c r="F24" s="322">
        <v>3531.61</v>
      </c>
      <c r="G24" s="394">
        <f t="shared" si="0"/>
        <v>2501.9316446495527</v>
      </c>
    </row>
    <row r="25" spans="1:7">
      <c r="A25" s="343">
        <v>1357</v>
      </c>
      <c r="B25" s="320" t="s">
        <v>689</v>
      </c>
      <c r="C25" s="321" t="s">
        <v>690</v>
      </c>
      <c r="D25" s="373">
        <v>536.28</v>
      </c>
      <c r="E25" s="322">
        <v>5223.0200000000004</v>
      </c>
      <c r="F25" s="322">
        <v>0</v>
      </c>
      <c r="G25" s="395">
        <f t="shared" si="0"/>
        <v>590.82061955581185</v>
      </c>
    </row>
    <row r="26" spans="1:7">
      <c r="B26" s="320" t="s">
        <v>486</v>
      </c>
      <c r="C26" s="321" t="s">
        <v>486</v>
      </c>
      <c r="D26" s="322"/>
      <c r="E26" s="322"/>
      <c r="F26" s="322"/>
      <c r="G26" s="396">
        <f>SUM(G20:G25)</f>
        <v>5754.2103236227285</v>
      </c>
    </row>
    <row r="27" spans="1:7" ht="45">
      <c r="B27" s="320" t="s">
        <v>486</v>
      </c>
      <c r="C27" s="324" t="s">
        <v>513</v>
      </c>
      <c r="D27" s="322"/>
      <c r="E27" s="322"/>
      <c r="F27" s="322"/>
    </row>
    <row r="28" spans="1:7">
      <c r="A28" s="343">
        <v>1307</v>
      </c>
      <c r="B28" s="320" t="s">
        <v>514</v>
      </c>
      <c r="C28" s="321" t="s">
        <v>515</v>
      </c>
      <c r="D28" s="322"/>
      <c r="E28" s="322">
        <v>1421.06</v>
      </c>
      <c r="F28" s="322">
        <v>12780.59</v>
      </c>
      <c r="G28" s="394">
        <f>E28*$K$11</f>
        <v>1565.5843022786269</v>
      </c>
    </row>
    <row r="29" spans="1:7">
      <c r="B29" s="320" t="s">
        <v>486</v>
      </c>
      <c r="C29" s="321" t="s">
        <v>486</v>
      </c>
      <c r="D29" s="322"/>
      <c r="E29" s="373"/>
      <c r="F29" s="373"/>
      <c r="G29" s="397"/>
    </row>
    <row r="30" spans="1:7">
      <c r="B30" s="320" t="s">
        <v>486</v>
      </c>
      <c r="C30" s="321" t="s">
        <v>486</v>
      </c>
      <c r="D30" s="322"/>
      <c r="E30" s="322"/>
      <c r="F30" s="322"/>
      <c r="G30" s="398"/>
    </row>
    <row r="31" spans="1:7">
      <c r="B31" s="320" t="s">
        <v>486</v>
      </c>
      <c r="C31" s="321" t="s">
        <v>518</v>
      </c>
      <c r="D31" s="322"/>
      <c r="E31" s="322">
        <v>55373.57</v>
      </c>
      <c r="F31" s="322">
        <v>87359.25</v>
      </c>
      <c r="G31" s="399">
        <f>G28+G26+G17+G14</f>
        <v>61005.159495817708</v>
      </c>
    </row>
    <row r="32" spans="1:7" ht="15.75" thickBot="1">
      <c r="B32" s="320" t="s">
        <v>486</v>
      </c>
      <c r="C32" s="321" t="s">
        <v>486</v>
      </c>
      <c r="D32" s="322"/>
      <c r="E32" s="376"/>
      <c r="F32" s="376"/>
      <c r="G32" s="400"/>
    </row>
    <row r="33" spans="1:10" ht="15.75" thickTop="1">
      <c r="B33" s="321" t="s">
        <v>519</v>
      </c>
      <c r="C33" s="321" t="s">
        <v>486</v>
      </c>
      <c r="D33" s="322"/>
      <c r="E33" s="322"/>
      <c r="F33" s="322"/>
    </row>
    <row r="34" spans="1:10">
      <c r="B34" s="320" t="s">
        <v>484</v>
      </c>
      <c r="C34" s="321" t="s">
        <v>484</v>
      </c>
      <c r="D34" s="322" t="s">
        <v>484</v>
      </c>
      <c r="E34" s="322" t="s">
        <v>484</v>
      </c>
      <c r="F34" s="322" t="s">
        <v>484</v>
      </c>
    </row>
    <row r="35" spans="1:10">
      <c r="B35" s="320" t="s">
        <v>486</v>
      </c>
      <c r="C35" s="321" t="s">
        <v>486</v>
      </c>
      <c r="D35" s="322"/>
      <c r="E35" s="320" t="s">
        <v>490</v>
      </c>
      <c r="F35" s="320" t="s">
        <v>491</v>
      </c>
    </row>
    <row r="36" spans="1:10">
      <c r="B36" s="320" t="s">
        <v>494</v>
      </c>
      <c r="C36" s="321" t="s">
        <v>495</v>
      </c>
      <c r="D36" s="320" t="s">
        <v>496</v>
      </c>
      <c r="E36" s="320" t="s">
        <v>496</v>
      </c>
      <c r="F36" s="320" t="s">
        <v>496</v>
      </c>
    </row>
    <row r="37" spans="1:10">
      <c r="B37" s="320" t="s">
        <v>486</v>
      </c>
      <c r="C37" s="321" t="s">
        <v>486</v>
      </c>
      <c r="D37" s="322"/>
      <c r="E37" s="322"/>
      <c r="F37" s="322"/>
    </row>
    <row r="38" spans="1:10">
      <c r="B38" s="320" t="s">
        <v>486</v>
      </c>
      <c r="C38" s="323" t="s">
        <v>520</v>
      </c>
      <c r="D38" s="322"/>
      <c r="E38" s="322"/>
      <c r="F38" s="322"/>
      <c r="H38" s="319" t="s">
        <v>665</v>
      </c>
      <c r="I38" s="319" t="s">
        <v>407</v>
      </c>
    </row>
    <row r="39" spans="1:10">
      <c r="A39" s="343">
        <v>1842</v>
      </c>
      <c r="B39" s="320" t="s">
        <v>521</v>
      </c>
      <c r="C39" s="321" t="s">
        <v>520</v>
      </c>
      <c r="D39" s="322"/>
      <c r="E39" s="322">
        <v>25000</v>
      </c>
      <c r="F39" s="322">
        <v>25000</v>
      </c>
      <c r="G39" s="394">
        <f>E39*$K$11</f>
        <v>27542.543986155179</v>
      </c>
      <c r="H39" s="319">
        <v>28054</v>
      </c>
      <c r="I39" s="340">
        <f>H39-G39</f>
        <v>511.45601384482143</v>
      </c>
      <c r="J39" s="319" t="s">
        <v>666</v>
      </c>
    </row>
    <row r="40" spans="1:10">
      <c r="B40" s="320" t="s">
        <v>486</v>
      </c>
      <c r="C40" s="321" t="s">
        <v>486</v>
      </c>
      <c r="D40" s="322"/>
      <c r="E40" s="322"/>
      <c r="F40" s="322"/>
    </row>
    <row r="41" spans="1:10" ht="30">
      <c r="B41" s="320" t="s">
        <v>486</v>
      </c>
      <c r="C41" s="324" t="s">
        <v>656</v>
      </c>
      <c r="D41" s="322"/>
      <c r="E41" s="322"/>
      <c r="F41" s="322"/>
    </row>
    <row r="42" spans="1:10" s="401" customFormat="1">
      <c r="A42" s="401">
        <v>9410</v>
      </c>
      <c r="B42" s="402" t="s">
        <v>657</v>
      </c>
      <c r="C42" s="403" t="s">
        <v>658</v>
      </c>
      <c r="D42" s="404"/>
      <c r="E42" s="386">
        <v>11943.69</v>
      </c>
      <c r="F42" s="404">
        <v>6553.33</v>
      </c>
      <c r="G42" s="405">
        <f>E42*$K$11</f>
        <v>13158.384287280069</v>
      </c>
    </row>
    <row r="43" spans="1:10">
      <c r="B43" s="320" t="s">
        <v>486</v>
      </c>
      <c r="C43" s="321" t="s">
        <v>486</v>
      </c>
      <c r="D43" s="322"/>
      <c r="E43" s="322"/>
      <c r="F43" s="322"/>
    </row>
    <row r="44" spans="1:10" ht="30">
      <c r="B44" s="320" t="s">
        <v>486</v>
      </c>
      <c r="C44" s="324" t="s">
        <v>545</v>
      </c>
      <c r="D44" s="322"/>
      <c r="E44" s="322"/>
      <c r="F44" s="322"/>
    </row>
    <row r="45" spans="1:10" s="401" customFormat="1">
      <c r="B45" s="402" t="s">
        <v>486</v>
      </c>
      <c r="C45" s="403" t="s">
        <v>546</v>
      </c>
      <c r="D45" s="404"/>
      <c r="E45" s="404">
        <v>1405.87</v>
      </c>
      <c r="F45" s="404">
        <v>-29913.32</v>
      </c>
      <c r="G45" s="405">
        <f>E45*$K$11</f>
        <v>1548.8494525526389</v>
      </c>
    </row>
    <row r="46" spans="1:10">
      <c r="B46" s="320" t="s">
        <v>486</v>
      </c>
      <c r="C46" s="321" t="s">
        <v>486</v>
      </c>
      <c r="D46" s="322"/>
      <c r="E46" s="322"/>
      <c r="F46" s="322"/>
    </row>
    <row r="47" spans="1:10">
      <c r="B47" s="320" t="s">
        <v>486</v>
      </c>
      <c r="C47" s="323" t="s">
        <v>548</v>
      </c>
      <c r="D47" s="322"/>
      <c r="E47" s="322"/>
      <c r="F47" s="322"/>
    </row>
    <row r="48" spans="1:10">
      <c r="A48" s="343">
        <v>2688</v>
      </c>
      <c r="B48" s="320" t="s">
        <v>549</v>
      </c>
      <c r="C48" s="321" t="s">
        <v>550</v>
      </c>
      <c r="D48" s="322">
        <v>1905</v>
      </c>
      <c r="E48" s="322"/>
      <c r="F48" s="322">
        <v>1040</v>
      </c>
      <c r="G48" s="394">
        <f>D48*$K$11</f>
        <v>2098.7418517450246</v>
      </c>
    </row>
    <row r="49" spans="1:7">
      <c r="A49" s="343">
        <v>2688</v>
      </c>
      <c r="B49" s="320" t="s">
        <v>551</v>
      </c>
      <c r="C49" s="321" t="s">
        <v>552</v>
      </c>
      <c r="D49" s="373">
        <v>2624.84</v>
      </c>
      <c r="E49" s="322">
        <v>4529.84</v>
      </c>
      <c r="F49" s="322">
        <v>1436.91</v>
      </c>
      <c r="G49" s="395">
        <f>D49*$K$11</f>
        <v>2891.7908462647824</v>
      </c>
    </row>
    <row r="50" spans="1:7">
      <c r="B50" s="320" t="s">
        <v>486</v>
      </c>
      <c r="C50" s="321" t="s">
        <v>486</v>
      </c>
      <c r="D50" s="322"/>
      <c r="E50" s="322"/>
      <c r="F50" s="322"/>
      <c r="G50" s="396">
        <f>SUM(G48:G49)</f>
        <v>4990.5326980098071</v>
      </c>
    </row>
    <row r="51" spans="1:7">
      <c r="B51" s="320" t="s">
        <v>486</v>
      </c>
      <c r="C51" s="323" t="s">
        <v>523</v>
      </c>
      <c r="D51" s="322"/>
      <c r="E51" s="322"/>
      <c r="F51" s="322"/>
    </row>
    <row r="52" spans="1:7">
      <c r="A52" s="343">
        <v>2687</v>
      </c>
      <c r="B52" s="320" t="s">
        <v>660</v>
      </c>
      <c r="C52" s="321" t="s">
        <v>664</v>
      </c>
      <c r="D52" s="322">
        <v>650</v>
      </c>
      <c r="E52" s="322"/>
      <c r="F52" s="322">
        <v>0</v>
      </c>
      <c r="G52" s="394">
        <f t="shared" ref="G52:G53" si="1">D52*$K$11</f>
        <v>716.10614364003459</v>
      </c>
    </row>
    <row r="53" spans="1:7">
      <c r="A53" s="343">
        <v>2687</v>
      </c>
      <c r="B53" s="320" t="s">
        <v>524</v>
      </c>
      <c r="C53" s="321" t="s">
        <v>525</v>
      </c>
      <c r="D53" s="373">
        <v>2600</v>
      </c>
      <c r="E53" s="322">
        <v>3250</v>
      </c>
      <c r="F53" s="322">
        <v>2600</v>
      </c>
      <c r="G53" s="395">
        <f t="shared" si="1"/>
        <v>2864.4245745601384</v>
      </c>
    </row>
    <row r="54" spans="1:7">
      <c r="B54" s="320" t="s">
        <v>486</v>
      </c>
      <c r="C54" s="321" t="s">
        <v>486</v>
      </c>
      <c r="D54" s="322"/>
      <c r="E54" s="322"/>
      <c r="F54" s="322"/>
      <c r="G54" s="396">
        <f>SUM(G52:G53)</f>
        <v>3580.5307182001729</v>
      </c>
    </row>
    <row r="55" spans="1:7">
      <c r="B55" s="320" t="s">
        <v>486</v>
      </c>
      <c r="C55" s="323" t="s">
        <v>691</v>
      </c>
      <c r="D55" s="322"/>
      <c r="E55" s="322"/>
      <c r="F55" s="322"/>
    </row>
    <row r="56" spans="1:7">
      <c r="A56" s="343">
        <v>2652</v>
      </c>
      <c r="B56" s="320" t="s">
        <v>692</v>
      </c>
      <c r="C56" s="321" t="s">
        <v>693</v>
      </c>
      <c r="D56" s="322"/>
      <c r="E56" s="322">
        <v>3332</v>
      </c>
      <c r="F56" s="322">
        <v>10425.36</v>
      </c>
      <c r="G56" s="394">
        <f>E56*$K$11</f>
        <v>3670.8702624747621</v>
      </c>
    </row>
    <row r="57" spans="1:7">
      <c r="B57" s="320" t="s">
        <v>486</v>
      </c>
      <c r="C57" s="321" t="s">
        <v>486</v>
      </c>
      <c r="D57" s="322"/>
      <c r="E57" s="322"/>
      <c r="F57" s="322"/>
    </row>
    <row r="58" spans="1:7" ht="45">
      <c r="B58" s="320" t="s">
        <v>486</v>
      </c>
      <c r="C58" s="324" t="s">
        <v>694</v>
      </c>
      <c r="D58" s="322"/>
      <c r="E58" s="322"/>
      <c r="F58" s="322"/>
    </row>
    <row r="59" spans="1:7">
      <c r="B59" s="320" t="s">
        <v>692</v>
      </c>
      <c r="C59" s="321" t="s">
        <v>693</v>
      </c>
      <c r="D59" s="322"/>
      <c r="E59" s="322"/>
      <c r="F59" s="322"/>
    </row>
    <row r="60" spans="1:7">
      <c r="B60" s="320" t="s">
        <v>486</v>
      </c>
      <c r="C60" s="321" t="s">
        <v>486</v>
      </c>
      <c r="D60" s="322"/>
      <c r="E60" s="322"/>
      <c r="F60" s="322"/>
    </row>
    <row r="61" spans="1:7">
      <c r="B61" s="320" t="s">
        <v>486</v>
      </c>
      <c r="C61" s="323" t="s">
        <v>9</v>
      </c>
      <c r="D61" s="322"/>
      <c r="E61" s="322"/>
      <c r="F61" s="322"/>
    </row>
    <row r="62" spans="1:7">
      <c r="B62" s="320" t="s">
        <v>695</v>
      </c>
      <c r="C62" s="321" t="s">
        <v>696</v>
      </c>
      <c r="D62" s="322">
        <v>0</v>
      </c>
      <c r="E62" s="322"/>
      <c r="F62" s="322">
        <v>20000</v>
      </c>
      <c r="G62" s="394">
        <f t="shared" ref="G62:G67" si="2">D62*$K$11</f>
        <v>0</v>
      </c>
    </row>
    <row r="63" spans="1:7">
      <c r="A63" s="343">
        <v>2689</v>
      </c>
      <c r="B63" s="320" t="s">
        <v>526</v>
      </c>
      <c r="C63" s="321" t="s">
        <v>9</v>
      </c>
      <c r="D63" s="322">
        <v>5104.41</v>
      </c>
      <c r="E63" s="322"/>
      <c r="F63" s="322">
        <v>14006.16</v>
      </c>
      <c r="G63" s="394">
        <f t="shared" si="2"/>
        <v>5623.537477934814</v>
      </c>
    </row>
    <row r="64" spans="1:7">
      <c r="B64" s="320" t="s">
        <v>553</v>
      </c>
      <c r="C64" s="321" t="s">
        <v>554</v>
      </c>
      <c r="D64" s="322">
        <v>0</v>
      </c>
      <c r="E64" s="322"/>
      <c r="F64" s="322">
        <v>559.80999999999995</v>
      </c>
      <c r="G64" s="394">
        <f t="shared" si="2"/>
        <v>0</v>
      </c>
    </row>
    <row r="65" spans="1:7">
      <c r="B65" s="320" t="s">
        <v>555</v>
      </c>
      <c r="C65" s="321" t="s">
        <v>556</v>
      </c>
      <c r="D65" s="322">
        <v>0</v>
      </c>
      <c r="E65" s="322"/>
      <c r="F65" s="322">
        <v>7122.4</v>
      </c>
      <c r="G65" s="394">
        <f t="shared" si="2"/>
        <v>0</v>
      </c>
    </row>
    <row r="66" spans="1:7">
      <c r="A66" s="343">
        <v>2685</v>
      </c>
      <c r="B66" s="320" t="s">
        <v>661</v>
      </c>
      <c r="C66" s="321" t="s">
        <v>529</v>
      </c>
      <c r="D66" s="322">
        <v>807.76</v>
      </c>
      <c r="E66" s="322"/>
      <c r="F66" s="322">
        <v>25363.52</v>
      </c>
      <c r="G66" s="394">
        <f t="shared" si="2"/>
        <v>889.91061321026825</v>
      </c>
    </row>
    <row r="67" spans="1:7">
      <c r="B67" s="320" t="s">
        <v>557</v>
      </c>
      <c r="C67" s="321" t="s">
        <v>558</v>
      </c>
      <c r="D67" s="373">
        <v>0</v>
      </c>
      <c r="E67" s="322">
        <v>5912.17</v>
      </c>
      <c r="F67" s="322">
        <v>3165.08</v>
      </c>
      <c r="G67" s="395">
        <f t="shared" si="2"/>
        <v>0</v>
      </c>
    </row>
    <row r="68" spans="1:7">
      <c r="B68" s="320" t="s">
        <v>486</v>
      </c>
      <c r="C68" s="321" t="s">
        <v>486</v>
      </c>
      <c r="D68" s="322"/>
      <c r="E68" s="322"/>
      <c r="F68" s="322"/>
      <c r="G68" s="396">
        <f>SUM(G62:G67)</f>
        <v>6513.4480911450819</v>
      </c>
    </row>
    <row r="69" spans="1:7" ht="30">
      <c r="B69" s="320" t="s">
        <v>486</v>
      </c>
      <c r="C69" s="324" t="s">
        <v>697</v>
      </c>
      <c r="D69" s="322"/>
      <c r="E69" s="322"/>
      <c r="F69" s="322"/>
    </row>
    <row r="70" spans="1:7">
      <c r="B70" s="320" t="s">
        <v>695</v>
      </c>
      <c r="C70" s="321" t="s">
        <v>696</v>
      </c>
      <c r="D70" s="322"/>
      <c r="E70" s="322"/>
      <c r="F70" s="322"/>
    </row>
    <row r="71" spans="1:7">
      <c r="B71" s="320" t="s">
        <v>486</v>
      </c>
      <c r="C71" s="321" t="s">
        <v>486</v>
      </c>
      <c r="D71" s="322"/>
      <c r="E71" s="322"/>
      <c r="F71" s="322"/>
    </row>
    <row r="72" spans="1:7" ht="30">
      <c r="B72" s="320" t="s">
        <v>486</v>
      </c>
      <c r="C72" s="324" t="s">
        <v>698</v>
      </c>
      <c r="D72" s="322"/>
      <c r="E72" s="322"/>
      <c r="F72" s="322"/>
    </row>
    <row r="73" spans="1:7">
      <c r="B73" s="320" t="s">
        <v>661</v>
      </c>
      <c r="C73" s="321" t="s">
        <v>529</v>
      </c>
      <c r="D73" s="322"/>
      <c r="E73" s="322"/>
      <c r="F73" s="322"/>
    </row>
    <row r="74" spans="1:7">
      <c r="B74" s="320" t="s">
        <v>486</v>
      </c>
      <c r="C74" s="321" t="s">
        <v>486</v>
      </c>
      <c r="D74" s="322"/>
      <c r="E74" s="322"/>
      <c r="F74" s="322"/>
    </row>
    <row r="75" spans="1:7" ht="30">
      <c r="B75" s="320" t="s">
        <v>486</v>
      </c>
      <c r="C75" s="324" t="s">
        <v>699</v>
      </c>
      <c r="D75" s="322"/>
      <c r="E75" s="322"/>
      <c r="F75" s="322"/>
    </row>
    <row r="76" spans="1:7">
      <c r="B76" s="320" t="s">
        <v>557</v>
      </c>
      <c r="C76" s="321" t="s">
        <v>558</v>
      </c>
      <c r="D76" s="322"/>
      <c r="E76" s="322"/>
      <c r="F76" s="322"/>
    </row>
    <row r="77" spans="1:7">
      <c r="B77" s="320" t="s">
        <v>486</v>
      </c>
      <c r="C77" s="321" t="s">
        <v>486</v>
      </c>
      <c r="D77" s="322"/>
      <c r="E77" s="322"/>
      <c r="F77" s="322"/>
    </row>
    <row r="78" spans="1:7" ht="45">
      <c r="B78" s="320" t="s">
        <v>486</v>
      </c>
      <c r="C78" s="324" t="s">
        <v>700</v>
      </c>
      <c r="D78" s="322"/>
      <c r="E78" s="322"/>
      <c r="F78" s="322"/>
    </row>
    <row r="79" spans="1:7">
      <c r="B79" s="320" t="s">
        <v>695</v>
      </c>
      <c r="C79" s="321" t="s">
        <v>696</v>
      </c>
      <c r="D79" s="322"/>
      <c r="E79" s="322"/>
      <c r="F79" s="322"/>
    </row>
    <row r="80" spans="1:7">
      <c r="B80" s="320" t="s">
        <v>526</v>
      </c>
      <c r="C80" s="321" t="s">
        <v>9</v>
      </c>
      <c r="D80" s="322"/>
      <c r="E80" s="322"/>
      <c r="F80" s="322"/>
    </row>
    <row r="81" spans="2:8">
      <c r="B81" s="320" t="s">
        <v>553</v>
      </c>
      <c r="C81" s="321" t="s">
        <v>554</v>
      </c>
      <c r="D81" s="322"/>
      <c r="E81" s="322"/>
      <c r="F81" s="322"/>
    </row>
    <row r="82" spans="2:8">
      <c r="B82" s="320" t="s">
        <v>555</v>
      </c>
      <c r="C82" s="321" t="s">
        <v>556</v>
      </c>
      <c r="D82" s="322"/>
      <c r="E82" s="322"/>
      <c r="F82" s="322"/>
    </row>
    <row r="83" spans="2:8">
      <c r="B83" s="320" t="s">
        <v>661</v>
      </c>
      <c r="C83" s="321" t="s">
        <v>529</v>
      </c>
      <c r="D83" s="322"/>
      <c r="E83" s="322"/>
      <c r="F83" s="322"/>
    </row>
    <row r="84" spans="2:8">
      <c r="B84" s="320" t="s">
        <v>557</v>
      </c>
      <c r="C84" s="321" t="s">
        <v>558</v>
      </c>
      <c r="D84" s="322"/>
      <c r="E84" s="322"/>
      <c r="F84" s="322"/>
    </row>
    <row r="85" spans="2:8">
      <c r="B85" s="320" t="s">
        <v>486</v>
      </c>
      <c r="C85" s="321" t="s">
        <v>486</v>
      </c>
      <c r="D85" s="322"/>
      <c r="E85" s="373"/>
      <c r="F85" s="373"/>
      <c r="G85" s="397"/>
    </row>
    <row r="86" spans="2:8">
      <c r="B86" s="320" t="s">
        <v>486</v>
      </c>
      <c r="C86" s="321" t="s">
        <v>486</v>
      </c>
      <c r="D86" s="322"/>
      <c r="E86" s="322"/>
      <c r="F86" s="322"/>
      <c r="G86" s="398"/>
    </row>
    <row r="87" spans="2:8">
      <c r="B87" s="320" t="s">
        <v>486</v>
      </c>
      <c r="C87" s="321" t="s">
        <v>530</v>
      </c>
      <c r="D87" s="322"/>
      <c r="E87" s="322">
        <v>55373.57</v>
      </c>
      <c r="F87" s="322">
        <v>87359.25</v>
      </c>
      <c r="G87" s="399">
        <f>G68+G56+G54+G50+G45+G42+G39</f>
        <v>61005.159495817708</v>
      </c>
      <c r="H87" s="340"/>
    </row>
    <row r="88" spans="2:8" ht="15.75" thickBot="1">
      <c r="B88" s="320" t="s">
        <v>486</v>
      </c>
      <c r="C88" s="321" t="s">
        <v>486</v>
      </c>
      <c r="D88" s="322"/>
      <c r="E88" s="376"/>
      <c r="F88" s="376"/>
      <c r="G88" s="400"/>
    </row>
    <row r="89" spans="2:8" ht="15.75" thickTop="1"/>
  </sheetData>
  <pageMargins left="0.7" right="0.7" top="0.78740157499999996" bottom="0.78740157499999996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CA047-BB6C-4267-BB26-D4D4670D42EC}">
  <sheetPr>
    <outlinePr summaryBelow="0"/>
  </sheetPr>
  <dimension ref="A1:K47"/>
  <sheetViews>
    <sheetView topLeftCell="A37" zoomScale="90" zoomScaleNormal="90" workbookViewId="0">
      <selection activeCell="L9" sqref="K9:L11"/>
    </sheetView>
  </sheetViews>
  <sheetFormatPr defaultColWidth="12.5703125" defaultRowHeight="15"/>
  <cols>
    <col min="1" max="1" width="12.5703125" style="319"/>
    <col min="2" max="2" width="12" style="319" customWidth="1"/>
    <col min="3" max="3" width="50.42578125" style="319" customWidth="1"/>
    <col min="4" max="4" width="14.5703125" style="319" customWidth="1"/>
    <col min="5" max="5" width="19.5703125" style="319" customWidth="1"/>
    <col min="6" max="6" width="19.42578125" style="319" hidden="1" customWidth="1"/>
    <col min="7" max="9" width="12.5703125" style="319"/>
    <col min="10" max="10" width="8.5703125" style="319" bestFit="1" customWidth="1"/>
    <col min="11" max="11" width="17.5703125" style="319" bestFit="1" customWidth="1"/>
    <col min="12" max="16384" width="12.5703125" style="319"/>
  </cols>
  <sheetData>
    <row r="1" spans="1:11">
      <c r="B1" s="320" t="s">
        <v>484</v>
      </c>
      <c r="C1" s="321" t="s">
        <v>484</v>
      </c>
      <c r="D1" s="322" t="s">
        <v>484</v>
      </c>
      <c r="E1" s="322" t="s">
        <v>484</v>
      </c>
      <c r="F1" s="322" t="s">
        <v>484</v>
      </c>
    </row>
    <row r="2" spans="1:11">
      <c r="B2" s="323" t="s">
        <v>667</v>
      </c>
      <c r="C2" s="321" t="s">
        <v>486</v>
      </c>
      <c r="D2" s="322"/>
      <c r="E2" s="322"/>
      <c r="F2" s="322"/>
    </row>
    <row r="3" spans="1:11">
      <c r="B3" s="321" t="s">
        <v>668</v>
      </c>
      <c r="C3" s="321" t="s">
        <v>486</v>
      </c>
      <c r="D3" s="322"/>
      <c r="E3" s="322"/>
      <c r="F3" s="322"/>
    </row>
    <row r="4" spans="1:11">
      <c r="B4" s="321" t="s">
        <v>701</v>
      </c>
      <c r="C4" s="321" t="s">
        <v>486</v>
      </c>
      <c r="D4" s="322"/>
      <c r="E4" s="322"/>
      <c r="F4" s="322"/>
    </row>
    <row r="5" spans="1:11">
      <c r="B5" s="320" t="s">
        <v>486</v>
      </c>
      <c r="C5" s="321" t="s">
        <v>486</v>
      </c>
      <c r="D5" s="322"/>
      <c r="E5" s="322"/>
      <c r="F5" s="322"/>
      <c r="J5" s="391">
        <v>3.4670000000000001</v>
      </c>
      <c r="K5" s="380" t="s">
        <v>685</v>
      </c>
    </row>
    <row r="6" spans="1:11">
      <c r="B6" s="323" t="s">
        <v>488</v>
      </c>
      <c r="C6" s="321" t="s">
        <v>486</v>
      </c>
      <c r="D6" s="322"/>
      <c r="E6" s="322"/>
      <c r="F6" s="322"/>
      <c r="J6" s="392">
        <v>3.8195999999999999</v>
      </c>
      <c r="K6" s="382" t="s">
        <v>686</v>
      </c>
    </row>
    <row r="7" spans="1:11">
      <c r="B7" s="320" t="s">
        <v>486</v>
      </c>
      <c r="C7" s="321" t="s">
        <v>486</v>
      </c>
      <c r="D7" s="322"/>
      <c r="E7" s="322"/>
      <c r="F7" s="322"/>
      <c r="J7" s="392">
        <f>J6/J5</f>
        <v>1.1017017594462071</v>
      </c>
      <c r="K7" s="382" t="s">
        <v>492</v>
      </c>
    </row>
    <row r="8" spans="1:11">
      <c r="B8" s="320" t="s">
        <v>484</v>
      </c>
      <c r="C8" s="321" t="s">
        <v>484</v>
      </c>
      <c r="D8" s="322" t="s">
        <v>484</v>
      </c>
      <c r="E8" s="322" t="s">
        <v>484</v>
      </c>
      <c r="F8" s="322" t="s">
        <v>484</v>
      </c>
    </row>
    <row r="9" spans="1:11">
      <c r="B9" s="320" t="s">
        <v>486</v>
      </c>
      <c r="C9" s="321" t="s">
        <v>486</v>
      </c>
      <c r="D9" s="322"/>
      <c r="E9" s="320" t="s">
        <v>490</v>
      </c>
      <c r="F9" s="320" t="s">
        <v>491</v>
      </c>
    </row>
    <row r="10" spans="1:11">
      <c r="B10" s="320" t="s">
        <v>494</v>
      </c>
      <c r="C10" s="321" t="s">
        <v>495</v>
      </c>
      <c r="D10" s="320" t="s">
        <v>496</v>
      </c>
      <c r="E10" s="320" t="s">
        <v>496</v>
      </c>
      <c r="F10" s="320" t="s">
        <v>496</v>
      </c>
      <c r="G10" s="320" t="s">
        <v>117</v>
      </c>
    </row>
    <row r="11" spans="1:11">
      <c r="B11" s="320" t="s">
        <v>486</v>
      </c>
      <c r="C11" s="321" t="s">
        <v>486</v>
      </c>
      <c r="D11" s="322"/>
      <c r="E11" s="322"/>
      <c r="F11" s="322"/>
    </row>
    <row r="12" spans="1:11">
      <c r="B12" s="320" t="s">
        <v>486</v>
      </c>
      <c r="C12" s="323" t="s">
        <v>573</v>
      </c>
      <c r="D12" s="322"/>
      <c r="E12" s="322"/>
      <c r="F12" s="322"/>
    </row>
    <row r="13" spans="1:11">
      <c r="A13" s="383">
        <v>7023</v>
      </c>
      <c r="B13" s="408" t="s">
        <v>572</v>
      </c>
      <c r="C13" s="321" t="s">
        <v>670</v>
      </c>
      <c r="D13" s="322"/>
      <c r="E13" s="322">
        <v>18979.14</v>
      </c>
      <c r="F13" s="322">
        <v>0</v>
      </c>
      <c r="G13" s="340">
        <f>E13*$J$7</f>
        <v>20909.351930775887</v>
      </c>
    </row>
    <row r="14" spans="1:11">
      <c r="B14" s="320" t="s">
        <v>486</v>
      </c>
      <c r="C14" s="321" t="s">
        <v>486</v>
      </c>
      <c r="D14" s="322"/>
      <c r="E14" s="322"/>
      <c r="F14" s="322"/>
    </row>
    <row r="15" spans="1:11">
      <c r="B15" s="320" t="s">
        <v>486</v>
      </c>
      <c r="C15" s="323" t="s">
        <v>577</v>
      </c>
      <c r="D15" s="322"/>
      <c r="E15" s="322"/>
      <c r="F15" s="322"/>
    </row>
    <row r="16" spans="1:11">
      <c r="A16" s="383">
        <v>7020</v>
      </c>
      <c r="B16" s="408" t="s">
        <v>576</v>
      </c>
      <c r="C16" s="321" t="s">
        <v>577</v>
      </c>
      <c r="D16" s="322"/>
      <c r="E16" s="322">
        <v>-8666.66</v>
      </c>
      <c r="F16" s="322">
        <v>-20000</v>
      </c>
      <c r="G16" s="340">
        <f>E16*$J$7</f>
        <v>-9548.0745705220652</v>
      </c>
    </row>
    <row r="17" spans="1:7">
      <c r="B17" s="320" t="s">
        <v>486</v>
      </c>
      <c r="C17" s="321" t="s">
        <v>486</v>
      </c>
      <c r="D17" s="322"/>
      <c r="E17" s="322"/>
      <c r="F17" s="322"/>
    </row>
    <row r="18" spans="1:7" ht="45">
      <c r="B18" s="320" t="s">
        <v>486</v>
      </c>
      <c r="C18" s="324" t="s">
        <v>671</v>
      </c>
      <c r="D18" s="322"/>
      <c r="E18" s="322"/>
      <c r="F18" s="322"/>
    </row>
    <row r="19" spans="1:7">
      <c r="A19" s="383">
        <v>7020</v>
      </c>
      <c r="B19" s="408" t="s">
        <v>579</v>
      </c>
      <c r="C19" s="321" t="s">
        <v>580</v>
      </c>
      <c r="D19" s="322"/>
      <c r="E19" s="322">
        <v>-1924.44</v>
      </c>
      <c r="F19" s="322">
        <v>-2410.6</v>
      </c>
      <c r="G19" s="340">
        <f>E19*$J$7</f>
        <v>-2120.1589339486586</v>
      </c>
    </row>
    <row r="20" spans="1:7">
      <c r="B20" s="320" t="s">
        <v>486</v>
      </c>
      <c r="C20" s="321" t="s">
        <v>486</v>
      </c>
      <c r="D20" s="322"/>
      <c r="E20" s="322"/>
      <c r="F20" s="322"/>
    </row>
    <row r="21" spans="1:7" ht="30">
      <c r="B21" s="320" t="s">
        <v>486</v>
      </c>
      <c r="C21" s="324" t="s">
        <v>673</v>
      </c>
      <c r="D21" s="322"/>
      <c r="E21" s="322"/>
      <c r="F21" s="322"/>
    </row>
    <row r="22" spans="1:7">
      <c r="B22" s="320" t="s">
        <v>486</v>
      </c>
      <c r="C22" s="321" t="s">
        <v>486</v>
      </c>
      <c r="D22" s="322"/>
      <c r="E22" s="322"/>
      <c r="F22" s="322"/>
    </row>
    <row r="23" spans="1:7" ht="75">
      <c r="B23" s="320" t="s">
        <v>486</v>
      </c>
      <c r="C23" s="324" t="s">
        <v>674</v>
      </c>
      <c r="D23" s="322"/>
      <c r="E23" s="322"/>
      <c r="F23" s="322"/>
    </row>
    <row r="24" spans="1:7">
      <c r="A24" s="383">
        <v>7021</v>
      </c>
      <c r="B24" s="408" t="s">
        <v>586</v>
      </c>
      <c r="C24" s="321" t="s">
        <v>675</v>
      </c>
      <c r="D24" s="322"/>
      <c r="E24" s="322">
        <v>-70.33</v>
      </c>
      <c r="F24" s="322">
        <v>0</v>
      </c>
      <c r="G24" s="340">
        <f>E24*$J$7</f>
        <v>-77.482684741851742</v>
      </c>
    </row>
    <row r="25" spans="1:7">
      <c r="B25" s="320" t="s">
        <v>486</v>
      </c>
      <c r="C25" s="321" t="s">
        <v>486</v>
      </c>
      <c r="D25" s="322"/>
      <c r="E25" s="322"/>
      <c r="F25" s="322"/>
    </row>
    <row r="26" spans="1:7">
      <c r="B26" s="320" t="s">
        <v>486</v>
      </c>
      <c r="C26" s="323" t="s">
        <v>676</v>
      </c>
      <c r="D26" s="322"/>
      <c r="E26" s="322"/>
      <c r="F26" s="322"/>
    </row>
    <row r="27" spans="1:7">
      <c r="A27" s="383">
        <v>7021</v>
      </c>
      <c r="B27" s="408" t="s">
        <v>589</v>
      </c>
      <c r="C27" s="321" t="s">
        <v>590</v>
      </c>
      <c r="D27" s="322"/>
      <c r="E27" s="322">
        <v>-940.86</v>
      </c>
      <c r="F27" s="322">
        <v>-940.86</v>
      </c>
      <c r="G27" s="340">
        <f>E27*$J$7</f>
        <v>-1036.5471173925584</v>
      </c>
    </row>
    <row r="28" spans="1:7">
      <c r="B28" s="320" t="s">
        <v>486</v>
      </c>
      <c r="C28" s="321" t="s">
        <v>486</v>
      </c>
      <c r="D28" s="322"/>
      <c r="E28" s="322"/>
      <c r="F28" s="322"/>
    </row>
    <row r="29" spans="1:7" ht="30">
      <c r="B29" s="320" t="s">
        <v>486</v>
      </c>
      <c r="C29" s="324" t="s">
        <v>677</v>
      </c>
      <c r="D29" s="322"/>
      <c r="E29" s="322"/>
      <c r="F29" s="322"/>
    </row>
    <row r="30" spans="1:7">
      <c r="A30" s="383">
        <v>7026</v>
      </c>
      <c r="B30" s="408" t="s">
        <v>595</v>
      </c>
      <c r="C30" s="321" t="s">
        <v>702</v>
      </c>
      <c r="D30" s="322">
        <v>-5600</v>
      </c>
      <c r="E30" s="322"/>
      <c r="F30" s="322">
        <v>-3778.92</v>
      </c>
      <c r="G30" s="340">
        <f>D30*$J$7</f>
        <v>-6169.5298528987596</v>
      </c>
    </row>
    <row r="31" spans="1:7">
      <c r="A31" s="319">
        <v>7021</v>
      </c>
      <c r="B31" s="320" t="s">
        <v>598</v>
      </c>
      <c r="C31" s="321" t="s">
        <v>599</v>
      </c>
      <c r="D31" s="322">
        <v>0</v>
      </c>
      <c r="E31" s="322"/>
      <c r="F31" s="322">
        <v>-234.96</v>
      </c>
    </row>
    <row r="32" spans="1:7">
      <c r="A32" s="319">
        <v>7021</v>
      </c>
      <c r="B32" s="320" t="s">
        <v>603</v>
      </c>
      <c r="C32" s="321" t="s">
        <v>604</v>
      </c>
      <c r="D32" s="322">
        <v>0</v>
      </c>
      <c r="E32" s="322"/>
      <c r="F32" s="322">
        <v>-139.06</v>
      </c>
    </row>
    <row r="33" spans="1:8">
      <c r="A33" s="319">
        <v>7021</v>
      </c>
      <c r="B33" s="320" t="s">
        <v>606</v>
      </c>
      <c r="C33" s="321" t="s">
        <v>607</v>
      </c>
      <c r="D33" s="322">
        <v>0</v>
      </c>
      <c r="E33" s="322"/>
      <c r="F33" s="322">
        <v>-330.29</v>
      </c>
    </row>
    <row r="34" spans="1:8">
      <c r="A34" s="319">
        <v>7025</v>
      </c>
      <c r="B34" s="320" t="s">
        <v>609</v>
      </c>
      <c r="C34" s="321" t="s">
        <v>610</v>
      </c>
      <c r="D34" s="322">
        <v>0</v>
      </c>
      <c r="E34" s="322"/>
      <c r="F34" s="322">
        <v>-77</v>
      </c>
    </row>
    <row r="35" spans="1:8">
      <c r="A35" s="319">
        <v>7025</v>
      </c>
      <c r="B35" s="320" t="s">
        <v>612</v>
      </c>
      <c r="C35" s="321" t="s">
        <v>613</v>
      </c>
      <c r="D35" s="373">
        <v>0</v>
      </c>
      <c r="E35" s="322">
        <v>-5600</v>
      </c>
      <c r="F35" s="322">
        <v>-1871.98</v>
      </c>
    </row>
    <row r="36" spans="1:8">
      <c r="B36" s="320" t="s">
        <v>486</v>
      </c>
      <c r="C36" s="321" t="s">
        <v>486</v>
      </c>
      <c r="D36" s="322"/>
      <c r="E36" s="322"/>
      <c r="F36" s="322"/>
    </row>
    <row r="37" spans="1:8" ht="30">
      <c r="B37" s="320" t="s">
        <v>486</v>
      </c>
      <c r="C37" s="324" t="s">
        <v>680</v>
      </c>
      <c r="D37" s="322"/>
      <c r="E37" s="322"/>
      <c r="F37" s="322"/>
    </row>
    <row r="38" spans="1:8">
      <c r="A38" s="319">
        <v>7021</v>
      </c>
      <c r="B38" s="320" t="s">
        <v>622</v>
      </c>
      <c r="C38" s="321" t="s">
        <v>623</v>
      </c>
      <c r="D38" s="322">
        <v>0</v>
      </c>
      <c r="E38" s="322"/>
      <c r="F38" s="322">
        <v>-76.95</v>
      </c>
      <c r="G38" s="340">
        <f t="shared" ref="G38:G41" si="0">D38*$J$7</f>
        <v>0</v>
      </c>
    </row>
    <row r="39" spans="1:8">
      <c r="A39" s="383">
        <v>7021</v>
      </c>
      <c r="B39" s="408" t="s">
        <v>625</v>
      </c>
      <c r="C39" s="321" t="s">
        <v>626</v>
      </c>
      <c r="D39" s="322">
        <v>-154.68</v>
      </c>
      <c r="E39" s="322"/>
      <c r="F39" s="322">
        <v>-93.8</v>
      </c>
      <c r="G39" s="340">
        <f t="shared" si="0"/>
        <v>-170.41122815113931</v>
      </c>
    </row>
    <row r="40" spans="1:8">
      <c r="A40" s="383">
        <v>7051</v>
      </c>
      <c r="B40" s="408" t="s">
        <v>630</v>
      </c>
      <c r="C40" s="321" t="s">
        <v>703</v>
      </c>
      <c r="D40" s="322">
        <v>-196.3</v>
      </c>
      <c r="E40" s="322"/>
      <c r="F40" s="322">
        <v>0</v>
      </c>
      <c r="G40" s="340">
        <f t="shared" si="0"/>
        <v>-216.26405537929045</v>
      </c>
    </row>
    <row r="41" spans="1:8">
      <c r="A41" s="383">
        <v>7021</v>
      </c>
      <c r="B41" s="408" t="s">
        <v>638</v>
      </c>
      <c r="C41" s="321" t="s">
        <v>639</v>
      </c>
      <c r="D41" s="373">
        <v>-20</v>
      </c>
      <c r="E41" s="322">
        <v>-370.98</v>
      </c>
      <c r="F41" s="322">
        <v>41.1</v>
      </c>
      <c r="G41" s="406">
        <f t="shared" si="0"/>
        <v>-22.034035188924143</v>
      </c>
    </row>
    <row r="42" spans="1:8">
      <c r="B42" s="320" t="s">
        <v>486</v>
      </c>
      <c r="C42" s="321" t="s">
        <v>486</v>
      </c>
      <c r="D42" s="322"/>
      <c r="E42" s="322"/>
      <c r="F42" s="373"/>
      <c r="G42" s="340">
        <f>SUM(G38:G41)</f>
        <v>-408.70931871935386</v>
      </c>
    </row>
    <row r="43" spans="1:8">
      <c r="B43" s="320" t="s">
        <v>486</v>
      </c>
      <c r="C43" s="321" t="s">
        <v>486</v>
      </c>
      <c r="D43" s="322"/>
      <c r="E43" s="322"/>
      <c r="F43" s="322"/>
    </row>
    <row r="44" spans="1:8" ht="30">
      <c r="B44" s="320" t="s">
        <v>486</v>
      </c>
      <c r="C44" s="324" t="s">
        <v>545</v>
      </c>
      <c r="D44" s="322"/>
      <c r="E44" s="322"/>
      <c r="F44" s="322"/>
    </row>
    <row r="45" spans="1:8">
      <c r="B45" s="320" t="s">
        <v>486</v>
      </c>
      <c r="C45" s="321" t="s">
        <v>546</v>
      </c>
      <c r="D45" s="322"/>
      <c r="E45" s="322">
        <v>1405.87</v>
      </c>
      <c r="F45" s="322">
        <v>-29913.32</v>
      </c>
      <c r="G45" s="407">
        <f>G42+G30+G27+G24+G19+G16+G13</f>
        <v>1548.8494525526403</v>
      </c>
      <c r="H45" s="340"/>
    </row>
    <row r="46" spans="1:8" ht="15.75" thickBot="1">
      <c r="B46" s="320" t="s">
        <v>486</v>
      </c>
      <c r="C46" s="321" t="s">
        <v>486</v>
      </c>
      <c r="D46" s="322"/>
      <c r="E46" s="376"/>
      <c r="F46" s="376"/>
      <c r="G46" s="376"/>
    </row>
    <row r="47" spans="1:8" ht="15.75" thickTop="1"/>
  </sheetData>
  <pageMargins left="0.7" right="0.7" top="0.78740157499999996" bottom="0.78740157499999996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J68"/>
  <sheetViews>
    <sheetView topLeftCell="A28" zoomScale="90" zoomScaleNormal="90" workbookViewId="0">
      <selection activeCell="C44" sqref="C44"/>
    </sheetView>
  </sheetViews>
  <sheetFormatPr defaultColWidth="12.5703125" defaultRowHeight="15"/>
  <cols>
    <col min="1" max="1" width="12.5703125" style="319"/>
    <col min="2" max="2" width="12.42578125" style="319" customWidth="1"/>
    <col min="3" max="3" width="46" style="319" customWidth="1"/>
    <col min="4" max="5" width="15" style="319" customWidth="1"/>
    <col min="6" max="6" width="12.5703125" style="319"/>
    <col min="7" max="7" width="12.5703125" style="371"/>
    <col min="8" max="8" width="12.5703125" style="319"/>
    <col min="9" max="9" width="13.5703125" style="378" bestFit="1" customWidth="1"/>
    <col min="10" max="10" width="18" style="319" customWidth="1"/>
    <col min="11" max="16384" width="12.5703125" style="319"/>
  </cols>
  <sheetData>
    <row r="1" spans="1:10">
      <c r="B1" s="320" t="s">
        <v>484</v>
      </c>
      <c r="C1" s="321" t="s">
        <v>484</v>
      </c>
      <c r="D1" s="322" t="s">
        <v>484</v>
      </c>
      <c r="E1" s="322" t="s">
        <v>484</v>
      </c>
    </row>
    <row r="2" spans="1:10">
      <c r="B2" s="323" t="s">
        <v>485</v>
      </c>
      <c r="C2" s="321" t="s">
        <v>486</v>
      </c>
      <c r="D2" s="322"/>
      <c r="E2" s="322"/>
    </row>
    <row r="3" spans="1:10">
      <c r="B3" s="321" t="s">
        <v>487</v>
      </c>
      <c r="C3" s="321" t="s">
        <v>486</v>
      </c>
      <c r="D3" s="322"/>
      <c r="E3" s="322"/>
    </row>
    <row r="4" spans="1:10">
      <c r="B4" s="321" t="s">
        <v>655</v>
      </c>
      <c r="C4" s="321" t="s">
        <v>486</v>
      </c>
      <c r="D4" s="322"/>
      <c r="E4" s="322"/>
    </row>
    <row r="5" spans="1:10">
      <c r="B5" s="320" t="s">
        <v>486</v>
      </c>
      <c r="C5" s="321" t="s">
        <v>486</v>
      </c>
      <c r="D5" s="322"/>
      <c r="E5" s="322"/>
    </row>
    <row r="6" spans="1:10">
      <c r="B6" s="323" t="s">
        <v>488</v>
      </c>
      <c r="C6" s="321" t="s">
        <v>486</v>
      </c>
      <c r="D6" s="322"/>
      <c r="E6" s="322"/>
    </row>
    <row r="7" spans="1:10">
      <c r="B7" s="320" t="s">
        <v>486</v>
      </c>
      <c r="C7" s="321" t="s">
        <v>486</v>
      </c>
      <c r="D7" s="322"/>
      <c r="E7" s="322"/>
    </row>
    <row r="8" spans="1:10">
      <c r="B8" s="321" t="s">
        <v>489</v>
      </c>
      <c r="C8" s="321" t="s">
        <v>486</v>
      </c>
      <c r="D8" s="322"/>
      <c r="E8" s="322"/>
    </row>
    <row r="9" spans="1:10">
      <c r="B9" s="320" t="s">
        <v>484</v>
      </c>
      <c r="C9" s="321" t="s">
        <v>484</v>
      </c>
      <c r="D9" s="322" t="s">
        <v>484</v>
      </c>
      <c r="E9" s="322" t="s">
        <v>484</v>
      </c>
      <c r="I9" s="379">
        <v>3.8782000000000001</v>
      </c>
      <c r="J9" s="380" t="s">
        <v>682</v>
      </c>
    </row>
    <row r="10" spans="1:10">
      <c r="A10" s="319" t="s">
        <v>493</v>
      </c>
      <c r="B10" s="320" t="s">
        <v>494</v>
      </c>
      <c r="C10" s="321" t="s">
        <v>495</v>
      </c>
      <c r="D10" s="320" t="s">
        <v>496</v>
      </c>
      <c r="E10" s="320" t="s">
        <v>496</v>
      </c>
      <c r="G10" s="372" t="s">
        <v>117</v>
      </c>
      <c r="I10" s="381">
        <v>3.456</v>
      </c>
      <c r="J10" s="382" t="s">
        <v>683</v>
      </c>
    </row>
    <row r="11" spans="1:10">
      <c r="B11" s="320" t="s">
        <v>486</v>
      </c>
      <c r="C11" s="321" t="s">
        <v>486</v>
      </c>
      <c r="D11" s="322"/>
      <c r="E11" s="322"/>
      <c r="I11" s="381">
        <f>I9/I10</f>
        <v>1.1221643518518518</v>
      </c>
      <c r="J11" s="382" t="s">
        <v>492</v>
      </c>
    </row>
    <row r="12" spans="1:10" ht="45">
      <c r="B12" s="320" t="s">
        <v>486</v>
      </c>
      <c r="C12" s="324" t="s">
        <v>497</v>
      </c>
      <c r="D12" s="322"/>
      <c r="E12" s="322"/>
    </row>
    <row r="13" spans="1:10">
      <c r="A13" s="383">
        <v>1904</v>
      </c>
      <c r="B13" s="320" t="s">
        <v>498</v>
      </c>
      <c r="C13" s="321" t="s">
        <v>499</v>
      </c>
      <c r="D13" s="322"/>
      <c r="E13" s="322">
        <v>704</v>
      </c>
      <c r="G13" s="371">
        <f>E13*$I$11</f>
        <v>790.00370370370365</v>
      </c>
    </row>
    <row r="14" spans="1:10">
      <c r="B14" s="320" t="s">
        <v>486</v>
      </c>
      <c r="C14" s="321" t="s">
        <v>486</v>
      </c>
      <c r="D14" s="322"/>
      <c r="E14" s="322"/>
    </row>
    <row r="15" spans="1:10">
      <c r="B15" s="320" t="s">
        <v>486</v>
      </c>
      <c r="C15" s="323" t="s">
        <v>538</v>
      </c>
      <c r="D15" s="322"/>
      <c r="E15" s="322"/>
    </row>
    <row r="16" spans="1:10">
      <c r="A16" s="343">
        <v>1351</v>
      </c>
      <c r="B16" s="320" t="s">
        <v>539</v>
      </c>
      <c r="C16" s="321" t="s">
        <v>538</v>
      </c>
      <c r="D16" s="322"/>
      <c r="E16" s="322">
        <v>49116.68</v>
      </c>
      <c r="G16" s="371">
        <f>E16*$I$11</f>
        <v>55116.987377314814</v>
      </c>
    </row>
    <row r="17" spans="1:7">
      <c r="B17" s="320" t="s">
        <v>486</v>
      </c>
      <c r="C17" s="321" t="s">
        <v>486</v>
      </c>
      <c r="D17" s="322"/>
      <c r="E17" s="322"/>
    </row>
    <row r="18" spans="1:7">
      <c r="B18" s="320" t="s">
        <v>486</v>
      </c>
      <c r="C18" s="323" t="s">
        <v>500</v>
      </c>
      <c r="D18" s="322"/>
      <c r="E18" s="322"/>
    </row>
    <row r="19" spans="1:7">
      <c r="A19" s="343">
        <v>1307</v>
      </c>
      <c r="B19" s="320" t="s">
        <v>501</v>
      </c>
      <c r="C19" s="321" t="s">
        <v>502</v>
      </c>
      <c r="D19" s="322">
        <v>1119.6199999999999</v>
      </c>
      <c r="E19" s="322"/>
      <c r="G19" s="371">
        <f t="shared" ref="G19:G24" si="0">D19*$I$11</f>
        <v>1256.3976516203702</v>
      </c>
    </row>
    <row r="20" spans="1:7">
      <c r="A20" s="343">
        <v>1357</v>
      </c>
      <c r="B20" s="320" t="s">
        <v>503</v>
      </c>
      <c r="C20" s="321" t="s">
        <v>504</v>
      </c>
      <c r="D20" s="322">
        <v>165.72</v>
      </c>
      <c r="E20" s="322"/>
      <c r="G20" s="371">
        <f t="shared" si="0"/>
        <v>185.96507638888889</v>
      </c>
    </row>
    <row r="21" spans="1:7">
      <c r="A21" s="343">
        <v>1357</v>
      </c>
      <c r="B21" s="320" t="s">
        <v>505</v>
      </c>
      <c r="C21" s="321" t="s">
        <v>506</v>
      </c>
      <c r="D21" s="322">
        <v>209.4</v>
      </c>
      <c r="E21" s="322"/>
      <c r="G21" s="371">
        <f t="shared" si="0"/>
        <v>234.98121527777778</v>
      </c>
    </row>
    <row r="22" spans="1:7">
      <c r="A22" s="343">
        <v>1357</v>
      </c>
      <c r="B22" s="320" t="s">
        <v>507</v>
      </c>
      <c r="C22" s="321" t="s">
        <v>508</v>
      </c>
      <c r="D22" s="322">
        <v>10927.85</v>
      </c>
      <c r="E22" s="322"/>
      <c r="G22" s="371">
        <f t="shared" si="0"/>
        <v>12262.84371238426</v>
      </c>
    </row>
    <row r="23" spans="1:7">
      <c r="A23" s="343">
        <v>1357</v>
      </c>
      <c r="B23" s="320" t="s">
        <v>509</v>
      </c>
      <c r="C23" s="321" t="s">
        <v>510</v>
      </c>
      <c r="D23" s="322">
        <v>-8552.91</v>
      </c>
      <c r="E23" s="322"/>
      <c r="G23" s="371">
        <f t="shared" si="0"/>
        <v>-9597.7707065972209</v>
      </c>
    </row>
    <row r="24" spans="1:7">
      <c r="A24" s="343">
        <v>1357</v>
      </c>
      <c r="B24" s="320" t="s">
        <v>511</v>
      </c>
      <c r="C24" s="321" t="s">
        <v>512</v>
      </c>
      <c r="D24" s="373">
        <v>536.28</v>
      </c>
      <c r="E24" s="322">
        <v>4405.96</v>
      </c>
      <c r="G24" s="374">
        <f t="shared" si="0"/>
        <v>601.79429861111112</v>
      </c>
    </row>
    <row r="25" spans="1:7">
      <c r="B25" s="320" t="s">
        <v>486</v>
      </c>
      <c r="C25" s="321" t="s">
        <v>486</v>
      </c>
      <c r="D25" s="322"/>
      <c r="E25" s="322"/>
      <c r="G25" s="375">
        <f>SUM(G19:G24)</f>
        <v>4944.2112476851862</v>
      </c>
    </row>
    <row r="26" spans="1:7" ht="45">
      <c r="B26" s="320" t="s">
        <v>486</v>
      </c>
      <c r="C26" s="324" t="s">
        <v>513</v>
      </c>
      <c r="D26" s="322"/>
      <c r="E26" s="322"/>
    </row>
    <row r="27" spans="1:7">
      <c r="A27" s="343">
        <v>1307</v>
      </c>
      <c r="B27" s="320" t="s">
        <v>514</v>
      </c>
      <c r="C27" s="321" t="s">
        <v>515</v>
      </c>
      <c r="D27" s="322"/>
      <c r="E27" s="322">
        <v>16663.740000000002</v>
      </c>
      <c r="G27" s="371">
        <f>E27*$I$11</f>
        <v>18699.45499652778</v>
      </c>
    </row>
    <row r="28" spans="1:7">
      <c r="B28" s="320" t="s">
        <v>486</v>
      </c>
      <c r="C28" s="321" t="s">
        <v>486</v>
      </c>
      <c r="D28" s="322"/>
      <c r="E28" s="373"/>
      <c r="G28" s="374"/>
    </row>
    <row r="29" spans="1:7">
      <c r="B29" s="320" t="s">
        <v>486</v>
      </c>
      <c r="C29" s="321" t="s">
        <v>486</v>
      </c>
      <c r="D29" s="322"/>
      <c r="E29" s="322"/>
    </row>
    <row r="30" spans="1:7">
      <c r="B30" s="320" t="s">
        <v>486</v>
      </c>
      <c r="C30" s="321" t="s">
        <v>518</v>
      </c>
      <c r="D30" s="322"/>
      <c r="E30" s="322">
        <v>70890.38</v>
      </c>
      <c r="G30" s="375">
        <f>G25+G27+G16+G13</f>
        <v>79550.65732523147</v>
      </c>
    </row>
    <row r="31" spans="1:7" ht="15.75" thickBot="1">
      <c r="B31" s="320" t="s">
        <v>486</v>
      </c>
      <c r="C31" s="321" t="s">
        <v>486</v>
      </c>
      <c r="D31" s="322"/>
      <c r="E31" s="376"/>
      <c r="G31" s="377"/>
    </row>
    <row r="32" spans="1:7" ht="15.75" thickTop="1">
      <c r="B32" s="321" t="s">
        <v>519</v>
      </c>
      <c r="C32" s="321" t="s">
        <v>486</v>
      </c>
      <c r="D32" s="322"/>
      <c r="E32" s="322"/>
    </row>
    <row r="33" spans="1:10">
      <c r="B33" s="320" t="s">
        <v>484</v>
      </c>
      <c r="C33" s="321" t="s">
        <v>484</v>
      </c>
      <c r="D33" s="322" t="s">
        <v>484</v>
      </c>
      <c r="E33" s="322" t="s">
        <v>484</v>
      </c>
    </row>
    <row r="34" spans="1:10">
      <c r="B34" s="320" t="s">
        <v>494</v>
      </c>
      <c r="C34" s="321" t="s">
        <v>495</v>
      </c>
      <c r="D34" s="320" t="s">
        <v>496</v>
      </c>
      <c r="E34" s="320" t="s">
        <v>496</v>
      </c>
    </row>
    <row r="35" spans="1:10">
      <c r="B35" s="320" t="s">
        <v>486</v>
      </c>
      <c r="C35" s="321" t="s">
        <v>486</v>
      </c>
      <c r="D35" s="322"/>
      <c r="E35" s="322"/>
    </row>
    <row r="36" spans="1:10">
      <c r="B36" s="320" t="s">
        <v>486</v>
      </c>
      <c r="C36" s="323" t="s">
        <v>520</v>
      </c>
      <c r="D36" s="322"/>
      <c r="E36" s="322"/>
      <c r="H36" s="319" t="s">
        <v>665</v>
      </c>
      <c r="I36" s="378" t="s">
        <v>407</v>
      </c>
    </row>
    <row r="37" spans="1:10">
      <c r="A37" s="343">
        <v>1842</v>
      </c>
      <c r="B37" s="320" t="s">
        <v>521</v>
      </c>
      <c r="C37" s="321" t="s">
        <v>520</v>
      </c>
      <c r="D37" s="322"/>
      <c r="E37" s="322">
        <v>25000</v>
      </c>
      <c r="G37" s="371">
        <f>E37*$I$11</f>
        <v>28054.108796296296</v>
      </c>
      <c r="H37" s="358">
        <v>28625</v>
      </c>
      <c r="I37" s="358">
        <f>H37-G37</f>
        <v>570.89120370370438</v>
      </c>
      <c r="J37" s="319" t="s">
        <v>666</v>
      </c>
    </row>
    <row r="38" spans="1:10">
      <c r="B38" s="320" t="s">
        <v>486</v>
      </c>
      <c r="C38" s="321" t="s">
        <v>486</v>
      </c>
      <c r="D38" s="322"/>
      <c r="E38" s="322"/>
    </row>
    <row r="39" spans="1:10" ht="30">
      <c r="B39" s="320" t="s">
        <v>486</v>
      </c>
      <c r="C39" s="324" t="s">
        <v>656</v>
      </c>
      <c r="D39" s="322"/>
      <c r="E39" s="322"/>
    </row>
    <row r="40" spans="1:10">
      <c r="A40" s="383">
        <v>9410</v>
      </c>
      <c r="B40" s="384" t="s">
        <v>657</v>
      </c>
      <c r="C40" s="385" t="s">
        <v>658</v>
      </c>
      <c r="D40" s="386"/>
      <c r="E40" s="386">
        <v>6553.33</v>
      </c>
      <c r="F40" s="387"/>
      <c r="G40" s="388">
        <f>E40*$I$11</f>
        <v>7353.9133119212956</v>
      </c>
    </row>
    <row r="41" spans="1:10">
      <c r="B41" s="320" t="s">
        <v>486</v>
      </c>
      <c r="C41" s="321" t="s">
        <v>486</v>
      </c>
      <c r="D41" s="322"/>
      <c r="E41" s="322"/>
    </row>
    <row r="42" spans="1:10" ht="30">
      <c r="B42" s="320" t="s">
        <v>486</v>
      </c>
      <c r="C42" s="324" t="s">
        <v>545</v>
      </c>
      <c r="D42" s="322"/>
      <c r="E42" s="322"/>
    </row>
    <row r="43" spans="1:10">
      <c r="B43" s="320" t="s">
        <v>486</v>
      </c>
      <c r="C43" s="321" t="s">
        <v>546</v>
      </c>
      <c r="D43" s="322"/>
      <c r="E43" s="322">
        <v>12815.08</v>
      </c>
      <c r="G43" s="371">
        <f>E43*$I$11</f>
        <v>14380.625942129629</v>
      </c>
    </row>
    <row r="44" spans="1:10">
      <c r="B44" s="320" t="s">
        <v>486</v>
      </c>
      <c r="C44" s="321" t="s">
        <v>486</v>
      </c>
      <c r="D44" s="322"/>
      <c r="E44" s="322"/>
    </row>
    <row r="45" spans="1:10">
      <c r="B45" s="320" t="s">
        <v>486</v>
      </c>
      <c r="C45" s="323" t="s">
        <v>548</v>
      </c>
      <c r="D45" s="322"/>
      <c r="E45" s="322"/>
    </row>
    <row r="46" spans="1:10">
      <c r="A46" s="343">
        <v>2688</v>
      </c>
      <c r="B46" s="320" t="s">
        <v>549</v>
      </c>
      <c r="C46" s="321" t="s">
        <v>550</v>
      </c>
      <c r="D46" s="322">
        <v>1040</v>
      </c>
      <c r="E46" s="322"/>
      <c r="G46" s="371">
        <f>D46*$I$11</f>
        <v>1167.0509259259259</v>
      </c>
    </row>
    <row r="47" spans="1:10">
      <c r="A47" s="343">
        <v>2688</v>
      </c>
      <c r="B47" s="320" t="s">
        <v>551</v>
      </c>
      <c r="C47" s="321" t="s">
        <v>552</v>
      </c>
      <c r="D47" s="373">
        <v>1436.91</v>
      </c>
      <c r="E47" s="322">
        <v>2476.91</v>
      </c>
      <c r="G47" s="374">
        <f>D47*$I$11</f>
        <v>1612.4491788194446</v>
      </c>
    </row>
    <row r="48" spans="1:10">
      <c r="B48" s="320" t="s">
        <v>486</v>
      </c>
      <c r="C48" s="321" t="s">
        <v>486</v>
      </c>
      <c r="D48" s="322"/>
      <c r="E48" s="322"/>
      <c r="G48" s="371">
        <f>SUM(G46:G47)</f>
        <v>2779.5001047453707</v>
      </c>
    </row>
    <row r="49" spans="1:7">
      <c r="B49" s="320" t="s">
        <v>486</v>
      </c>
      <c r="C49" s="323" t="s">
        <v>523</v>
      </c>
      <c r="D49" s="322"/>
      <c r="E49" s="322"/>
    </row>
    <row r="50" spans="1:7">
      <c r="A50" s="343">
        <v>2687</v>
      </c>
      <c r="B50" s="320" t="s">
        <v>659</v>
      </c>
      <c r="C50" s="321" t="s">
        <v>523</v>
      </c>
      <c r="D50" s="322">
        <v>7980</v>
      </c>
      <c r="E50" s="322"/>
      <c r="G50" s="371">
        <f>D50*$I$11</f>
        <v>8954.8715277777774</v>
      </c>
    </row>
    <row r="51" spans="1:7">
      <c r="A51" s="343">
        <v>2687</v>
      </c>
      <c r="B51" s="320" t="s">
        <v>660</v>
      </c>
      <c r="C51" s="321" t="s">
        <v>664</v>
      </c>
      <c r="D51" s="322">
        <v>650</v>
      </c>
      <c r="E51" s="322"/>
      <c r="G51" s="371">
        <f>D51*$I$11</f>
        <v>729.4068287037037</v>
      </c>
    </row>
    <row r="52" spans="1:7">
      <c r="A52" s="343">
        <v>2687</v>
      </c>
      <c r="B52" s="320" t="s">
        <v>524</v>
      </c>
      <c r="C52" s="321" t="s">
        <v>525</v>
      </c>
      <c r="D52" s="373">
        <v>2600</v>
      </c>
      <c r="E52" s="322">
        <v>11230</v>
      </c>
      <c r="G52" s="374">
        <f>D52*$I$11</f>
        <v>2917.6273148148148</v>
      </c>
    </row>
    <row r="53" spans="1:7">
      <c r="B53" s="320" t="s">
        <v>486</v>
      </c>
      <c r="C53" s="321" t="s">
        <v>486</v>
      </c>
      <c r="D53" s="322"/>
      <c r="E53" s="322"/>
      <c r="G53" s="371">
        <f>SUM(G50:G52)</f>
        <v>12601.905671296296</v>
      </c>
    </row>
    <row r="54" spans="1:7">
      <c r="B54" s="320" t="s">
        <v>486</v>
      </c>
      <c r="C54" s="323" t="s">
        <v>9</v>
      </c>
      <c r="D54" s="322"/>
      <c r="E54" s="322"/>
    </row>
    <row r="55" spans="1:7">
      <c r="A55" s="343">
        <v>2689</v>
      </c>
      <c r="B55" s="320" t="s">
        <v>526</v>
      </c>
      <c r="C55" s="321" t="s">
        <v>9</v>
      </c>
      <c r="D55" s="322">
        <v>11989.93</v>
      </c>
      <c r="E55" s="322"/>
      <c r="G55" s="371">
        <f>D55*$I$11</f>
        <v>13454.672027199074</v>
      </c>
    </row>
    <row r="56" spans="1:7">
      <c r="A56" s="343">
        <v>2689</v>
      </c>
      <c r="B56" s="320" t="s">
        <v>661</v>
      </c>
      <c r="C56" s="321" t="s">
        <v>529</v>
      </c>
      <c r="D56" s="373">
        <v>825.13</v>
      </c>
      <c r="E56" s="322">
        <v>12815.06</v>
      </c>
      <c r="G56" s="374">
        <f>D56*$I$11</f>
        <v>925.93147164351853</v>
      </c>
    </row>
    <row r="57" spans="1:7">
      <c r="B57" s="320" t="s">
        <v>486</v>
      </c>
      <c r="C57" s="321" t="s">
        <v>486</v>
      </c>
      <c r="D57" s="322"/>
      <c r="E57" s="322"/>
      <c r="G57" s="371">
        <f>SUM(G55:G56)</f>
        <v>14380.603498842593</v>
      </c>
    </row>
    <row r="58" spans="1:7">
      <c r="B58" s="320" t="s">
        <v>486</v>
      </c>
      <c r="C58" s="323" t="s">
        <v>662</v>
      </c>
      <c r="D58" s="322"/>
      <c r="E58" s="322"/>
    </row>
    <row r="59" spans="1:7">
      <c r="B59" s="320" t="s">
        <v>661</v>
      </c>
      <c r="C59" s="321" t="s">
        <v>529</v>
      </c>
      <c r="D59" s="322"/>
      <c r="E59" s="322"/>
    </row>
    <row r="60" spans="1:7">
      <c r="B60" s="320" t="s">
        <v>486</v>
      </c>
      <c r="C60" s="321" t="s">
        <v>486</v>
      </c>
      <c r="D60" s="322"/>
      <c r="E60" s="322"/>
    </row>
    <row r="61" spans="1:7" ht="30">
      <c r="B61" s="320" t="s">
        <v>486</v>
      </c>
      <c r="C61" s="324" t="s">
        <v>663</v>
      </c>
      <c r="D61" s="322"/>
      <c r="E61" s="322"/>
    </row>
    <row r="62" spans="1:7">
      <c r="B62" s="320" t="s">
        <v>526</v>
      </c>
      <c r="C62" s="321" t="s">
        <v>9</v>
      </c>
      <c r="D62" s="322"/>
      <c r="E62" s="322"/>
    </row>
    <row r="63" spans="1:7">
      <c r="B63" s="320" t="s">
        <v>661</v>
      </c>
      <c r="C63" s="321" t="s">
        <v>529</v>
      </c>
      <c r="D63" s="322"/>
      <c r="E63" s="322"/>
    </row>
    <row r="64" spans="1:7">
      <c r="B64" s="320" t="s">
        <v>486</v>
      </c>
      <c r="C64" s="321" t="s">
        <v>486</v>
      </c>
      <c r="D64" s="322"/>
      <c r="E64" s="373"/>
      <c r="G64" s="374"/>
    </row>
    <row r="65" spans="2:7">
      <c r="B65" s="320" t="s">
        <v>486</v>
      </c>
      <c r="C65" s="321" t="s">
        <v>486</v>
      </c>
      <c r="D65" s="322"/>
      <c r="E65" s="322"/>
    </row>
    <row r="66" spans="2:7">
      <c r="B66" s="320" t="s">
        <v>486</v>
      </c>
      <c r="C66" s="321" t="s">
        <v>530</v>
      </c>
      <c r="D66" s="322"/>
      <c r="E66" s="322">
        <v>70890.38</v>
      </c>
      <c r="G66" s="375">
        <f>G57+G53+G48+G43+G40+G37</f>
        <v>79550.65732523147</v>
      </c>
    </row>
    <row r="67" spans="2:7" ht="15.75" thickBot="1">
      <c r="B67" s="320" t="s">
        <v>486</v>
      </c>
      <c r="C67" s="321" t="s">
        <v>486</v>
      </c>
      <c r="D67" s="322"/>
      <c r="E67" s="376"/>
      <c r="G67" s="377"/>
    </row>
    <row r="68" spans="2:7" ht="15.75" thickTop="1"/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G53"/>
  <sheetViews>
    <sheetView topLeftCell="A40" zoomScale="90" zoomScaleNormal="90" workbookViewId="0">
      <selection activeCell="E18" sqref="E18"/>
    </sheetView>
  </sheetViews>
  <sheetFormatPr defaultColWidth="12.5703125" defaultRowHeight="15"/>
  <cols>
    <col min="1" max="1" width="12.5703125" style="319"/>
    <col min="2" max="2" width="13.5703125" style="319" customWidth="1"/>
    <col min="3" max="3" width="50.42578125" style="319" customWidth="1"/>
    <col min="4" max="4" width="15.5703125" style="319" customWidth="1"/>
    <col min="5" max="5" width="16.42578125" style="319" customWidth="1"/>
    <col min="6" max="6" width="12.5703125" style="319"/>
    <col min="7" max="7" width="15.42578125" style="327" bestFit="1" customWidth="1"/>
    <col min="8" max="16384" width="12.5703125" style="319"/>
  </cols>
  <sheetData>
    <row r="1" spans="1:7">
      <c r="B1" s="320" t="s">
        <v>484</v>
      </c>
      <c r="C1" s="321" t="s">
        <v>484</v>
      </c>
      <c r="D1" s="322" t="s">
        <v>484</v>
      </c>
      <c r="E1" s="322" t="s">
        <v>484</v>
      </c>
    </row>
    <row r="2" spans="1:7">
      <c r="B2" s="323" t="s">
        <v>667</v>
      </c>
      <c r="C2" s="321" t="s">
        <v>486</v>
      </c>
      <c r="D2" s="322"/>
      <c r="E2" s="322"/>
    </row>
    <row r="3" spans="1:7">
      <c r="B3" s="321" t="s">
        <v>668</v>
      </c>
      <c r="C3" s="321" t="s">
        <v>486</v>
      </c>
      <c r="D3" s="322"/>
      <c r="E3" s="322"/>
    </row>
    <row r="4" spans="1:7">
      <c r="B4" s="321" t="s">
        <v>669</v>
      </c>
      <c r="C4" s="321" t="s">
        <v>486</v>
      </c>
      <c r="D4" s="322"/>
      <c r="E4" s="322"/>
    </row>
    <row r="5" spans="1:7">
      <c r="B5" s="320" t="s">
        <v>486</v>
      </c>
      <c r="C5" s="321" t="s">
        <v>486</v>
      </c>
      <c r="D5" s="322"/>
      <c r="E5" s="322"/>
    </row>
    <row r="6" spans="1:7">
      <c r="B6" s="323" t="s">
        <v>488</v>
      </c>
      <c r="C6" s="321" t="s">
        <v>486</v>
      </c>
      <c r="D6" s="322"/>
      <c r="E6" s="322"/>
    </row>
    <row r="7" spans="1:7">
      <c r="B7" s="320" t="s">
        <v>486</v>
      </c>
      <c r="C7" s="321" t="s">
        <v>486</v>
      </c>
      <c r="D7" s="322"/>
      <c r="E7" s="322"/>
    </row>
    <row r="8" spans="1:7">
      <c r="B8" s="320" t="s">
        <v>484</v>
      </c>
      <c r="C8" s="321" t="s">
        <v>484</v>
      </c>
      <c r="D8" s="322" t="s">
        <v>484</v>
      </c>
      <c r="E8" s="322" t="s">
        <v>484</v>
      </c>
    </row>
    <row r="9" spans="1:7">
      <c r="B9" s="320" t="s">
        <v>494</v>
      </c>
      <c r="C9" s="321" t="s">
        <v>495</v>
      </c>
      <c r="D9" s="320" t="s">
        <v>496</v>
      </c>
      <c r="E9" s="320" t="s">
        <v>496</v>
      </c>
    </row>
    <row r="10" spans="1:7">
      <c r="B10" s="320" t="s">
        <v>486</v>
      </c>
      <c r="C10" s="321" t="s">
        <v>486</v>
      </c>
      <c r="D10" s="322"/>
      <c r="E10" s="322"/>
    </row>
    <row r="11" spans="1:7">
      <c r="B11" s="320" t="s">
        <v>486</v>
      </c>
      <c r="C11" s="323" t="s">
        <v>573</v>
      </c>
      <c r="D11" s="322"/>
      <c r="E11" s="322"/>
    </row>
    <row r="12" spans="1:7">
      <c r="A12" s="319">
        <v>7023</v>
      </c>
      <c r="B12" s="320" t="s">
        <v>572</v>
      </c>
      <c r="C12" s="321" t="s">
        <v>670</v>
      </c>
      <c r="D12" s="322"/>
      <c r="E12" s="322">
        <v>173003.3</v>
      </c>
      <c r="G12" s="327">
        <f>E12*'GMBH BS 31.12.19'!$I$11</f>
        <v>194138.13601273147</v>
      </c>
    </row>
    <row r="13" spans="1:7">
      <c r="B13" s="320" t="s">
        <v>486</v>
      </c>
      <c r="C13" s="321" t="s">
        <v>486</v>
      </c>
      <c r="D13" s="322"/>
      <c r="E13" s="322"/>
    </row>
    <row r="14" spans="1:7">
      <c r="B14" s="320" t="s">
        <v>486</v>
      </c>
      <c r="C14" s="323" t="s">
        <v>577</v>
      </c>
      <c r="D14" s="322"/>
      <c r="E14" s="322"/>
    </row>
    <row r="15" spans="1:7">
      <c r="A15" s="319">
        <v>7020</v>
      </c>
      <c r="B15" s="320" t="s">
        <v>576</v>
      </c>
      <c r="C15" s="321" t="s">
        <v>577</v>
      </c>
      <c r="D15" s="322"/>
      <c r="E15" s="322">
        <v>-74666.64</v>
      </c>
      <c r="G15" s="327">
        <f>E15*'GMBH BS 31.12.19'!$I$11</f>
        <v>-83788.241680555555</v>
      </c>
    </row>
    <row r="16" spans="1:7">
      <c r="B16" s="320" t="s">
        <v>486</v>
      </c>
      <c r="C16" s="321" t="s">
        <v>486</v>
      </c>
      <c r="D16" s="322"/>
      <c r="E16" s="322"/>
    </row>
    <row r="17" spans="1:7" ht="45">
      <c r="B17" s="320" t="s">
        <v>486</v>
      </c>
      <c r="C17" s="324" t="s">
        <v>671</v>
      </c>
      <c r="D17" s="322"/>
      <c r="E17" s="322"/>
    </row>
    <row r="18" spans="1:7">
      <c r="A18" s="319">
        <v>7020</v>
      </c>
      <c r="B18" s="320" t="s">
        <v>579</v>
      </c>
      <c r="C18" s="321" t="s">
        <v>580</v>
      </c>
      <c r="D18" s="322">
        <v>-12501.6</v>
      </c>
      <c r="E18" s="322"/>
      <c r="G18" s="327">
        <f>D18*'GMBH BS 31.12.19'!$I$11</f>
        <v>-14028.849861111112</v>
      </c>
    </row>
    <row r="19" spans="1:7">
      <c r="A19" s="319">
        <v>7020</v>
      </c>
      <c r="B19" s="320" t="s">
        <v>582</v>
      </c>
      <c r="C19" s="321" t="s">
        <v>672</v>
      </c>
      <c r="D19" s="373">
        <v>-156.19999999999999</v>
      </c>
      <c r="E19" s="322">
        <v>-12657.8</v>
      </c>
      <c r="G19" s="329">
        <f>D19*'GMBH BS 31.12.19'!$I$11</f>
        <v>-175.28207175925925</v>
      </c>
    </row>
    <row r="20" spans="1:7">
      <c r="B20" s="320" t="s">
        <v>486</v>
      </c>
      <c r="C20" s="321" t="s">
        <v>486</v>
      </c>
      <c r="D20" s="322"/>
      <c r="E20" s="322"/>
      <c r="G20" s="327">
        <f>SUM(G18:G19)</f>
        <v>-14204.13193287037</v>
      </c>
    </row>
    <row r="21" spans="1:7" ht="30">
      <c r="B21" s="320" t="s">
        <v>486</v>
      </c>
      <c r="C21" s="324" t="s">
        <v>673</v>
      </c>
      <c r="D21" s="322"/>
      <c r="E21" s="322"/>
    </row>
    <row r="22" spans="1:7">
      <c r="B22" s="320" t="s">
        <v>486</v>
      </c>
      <c r="C22" s="321" t="s">
        <v>486</v>
      </c>
      <c r="D22" s="322"/>
      <c r="E22" s="322"/>
    </row>
    <row r="23" spans="1:7" ht="75">
      <c r="B23" s="320" t="s">
        <v>486</v>
      </c>
      <c r="C23" s="324" t="s">
        <v>674</v>
      </c>
      <c r="D23" s="322"/>
      <c r="E23" s="322"/>
    </row>
    <row r="24" spans="1:7">
      <c r="A24" s="319">
        <v>7021</v>
      </c>
      <c r="B24" s="320" t="s">
        <v>586</v>
      </c>
      <c r="C24" s="321" t="s">
        <v>675</v>
      </c>
      <c r="D24" s="322"/>
      <c r="E24" s="322">
        <v>-422</v>
      </c>
      <c r="G24" s="327">
        <f>E24*'GMBH BS 31.12.19'!$I$11</f>
        <v>-473.55335648148144</v>
      </c>
    </row>
    <row r="25" spans="1:7">
      <c r="B25" s="320" t="s">
        <v>486</v>
      </c>
      <c r="C25" s="321" t="s">
        <v>486</v>
      </c>
      <c r="D25" s="322"/>
      <c r="E25" s="322"/>
    </row>
    <row r="26" spans="1:7">
      <c r="B26" s="320" t="s">
        <v>486</v>
      </c>
      <c r="C26" s="323" t="s">
        <v>676</v>
      </c>
      <c r="D26" s="322"/>
      <c r="E26" s="322"/>
    </row>
    <row r="27" spans="1:7">
      <c r="A27" s="319">
        <v>7021</v>
      </c>
      <c r="B27" s="320" t="s">
        <v>589</v>
      </c>
      <c r="C27" s="321" t="s">
        <v>590</v>
      </c>
      <c r="D27" s="322"/>
      <c r="E27" s="322">
        <v>-5645.16</v>
      </c>
      <c r="G27" s="327">
        <f>E27*'GMBH BS 31.12.19'!$I$11</f>
        <v>-6334.7973124999999</v>
      </c>
    </row>
    <row r="28" spans="1:7">
      <c r="B28" s="320" t="s">
        <v>486</v>
      </c>
      <c r="C28" s="321" t="s">
        <v>486</v>
      </c>
      <c r="D28" s="322"/>
      <c r="E28" s="322"/>
    </row>
    <row r="29" spans="1:7" ht="30">
      <c r="B29" s="320" t="s">
        <v>486</v>
      </c>
      <c r="C29" s="324" t="s">
        <v>677</v>
      </c>
      <c r="D29" s="322"/>
      <c r="E29" s="322"/>
    </row>
    <row r="30" spans="1:7">
      <c r="A30" s="319">
        <v>7026</v>
      </c>
      <c r="B30" s="320" t="s">
        <v>595</v>
      </c>
      <c r="C30" s="321" t="s">
        <v>596</v>
      </c>
      <c r="D30" s="322">
        <v>-30049.72</v>
      </c>
      <c r="E30" s="322"/>
      <c r="G30" s="327">
        <f>D30*'GMBH BS 31.12.19'!$I$11</f>
        <v>-33720.724567129633</v>
      </c>
    </row>
    <row r="31" spans="1:7">
      <c r="A31" s="319">
        <v>7021</v>
      </c>
      <c r="B31" s="320" t="s">
        <v>598</v>
      </c>
      <c r="C31" s="321" t="s">
        <v>599</v>
      </c>
      <c r="D31" s="322">
        <v>-234.96</v>
      </c>
      <c r="E31" s="322"/>
      <c r="G31" s="327">
        <f>D31*'GMBH BS 31.12.19'!$I$11</f>
        <v>-263.66373611111112</v>
      </c>
    </row>
    <row r="32" spans="1:7">
      <c r="A32" s="319">
        <v>7021</v>
      </c>
      <c r="B32" s="320" t="s">
        <v>603</v>
      </c>
      <c r="C32" s="321" t="s">
        <v>604</v>
      </c>
      <c r="D32" s="322">
        <v>-2437.19</v>
      </c>
      <c r="E32" s="322"/>
      <c r="G32" s="327">
        <f>D32*'GMBH BS 31.12.19'!$I$11</f>
        <v>-2734.927736689815</v>
      </c>
    </row>
    <row r="33" spans="1:7">
      <c r="A33" s="319">
        <v>7021</v>
      </c>
      <c r="B33" s="320" t="s">
        <v>606</v>
      </c>
      <c r="C33" s="321" t="s">
        <v>607</v>
      </c>
      <c r="D33" s="322">
        <v>-1700.42</v>
      </c>
      <c r="E33" s="322"/>
      <c r="G33" s="327">
        <f>D33*'GMBH BS 31.12.19'!$I$11</f>
        <v>-1908.1507071759258</v>
      </c>
    </row>
    <row r="34" spans="1:7">
      <c r="A34" s="319">
        <v>7025</v>
      </c>
      <c r="B34" s="320" t="s">
        <v>609</v>
      </c>
      <c r="C34" s="321" t="s">
        <v>610</v>
      </c>
      <c r="D34" s="322">
        <v>-305</v>
      </c>
      <c r="E34" s="322"/>
      <c r="G34" s="327">
        <f>D34*'GMBH BS 31.12.19'!$I$11</f>
        <v>-342.26012731481478</v>
      </c>
    </row>
    <row r="35" spans="1:7">
      <c r="A35" s="319">
        <v>7025</v>
      </c>
      <c r="B35" s="320" t="s">
        <v>612</v>
      </c>
      <c r="C35" s="321" t="s">
        <v>613</v>
      </c>
      <c r="D35" s="322">
        <v>-2245.81</v>
      </c>
      <c r="E35" s="322"/>
      <c r="G35" s="327">
        <f>D35*'GMBH BS 31.12.19'!$I$11</f>
        <v>-2520.1679230324071</v>
      </c>
    </row>
    <row r="36" spans="1:7">
      <c r="A36" s="319">
        <v>7025</v>
      </c>
      <c r="B36" s="320" t="s">
        <v>615</v>
      </c>
      <c r="C36" s="321" t="s">
        <v>616</v>
      </c>
      <c r="D36" s="373">
        <v>-612.6</v>
      </c>
      <c r="E36" s="322">
        <v>-37585.699999999997</v>
      </c>
      <c r="G36" s="329">
        <f>D36*'GMBH BS 31.12.19'!$I$11</f>
        <v>-687.43788194444448</v>
      </c>
    </row>
    <row r="37" spans="1:7">
      <c r="B37" s="320" t="s">
        <v>486</v>
      </c>
      <c r="C37" s="321" t="s">
        <v>486</v>
      </c>
      <c r="D37" s="322"/>
      <c r="E37" s="322"/>
      <c r="G37" s="327">
        <f>SUM(G30:G36)</f>
        <v>-42177.332679398161</v>
      </c>
    </row>
    <row r="38" spans="1:7" ht="30">
      <c r="B38" s="320" t="s">
        <v>486</v>
      </c>
      <c r="C38" s="324" t="s">
        <v>678</v>
      </c>
      <c r="D38" s="322"/>
      <c r="E38" s="322"/>
    </row>
    <row r="39" spans="1:7">
      <c r="A39" s="319">
        <v>7021</v>
      </c>
      <c r="B39" s="320" t="s">
        <v>619</v>
      </c>
      <c r="C39" s="321" t="s">
        <v>679</v>
      </c>
      <c r="D39" s="322"/>
      <c r="E39" s="322">
        <v>-23760</v>
      </c>
      <c r="G39" s="327">
        <f>E39*'GMBH BS 31.12.19'!$I$11</f>
        <v>-26662.625</v>
      </c>
    </row>
    <row r="40" spans="1:7">
      <c r="B40" s="320" t="s">
        <v>486</v>
      </c>
      <c r="C40" s="321" t="s">
        <v>486</v>
      </c>
      <c r="D40" s="322"/>
      <c r="E40" s="322"/>
    </row>
    <row r="41" spans="1:7" ht="30">
      <c r="B41" s="320" t="s">
        <v>486</v>
      </c>
      <c r="C41" s="324" t="s">
        <v>680</v>
      </c>
      <c r="D41" s="322"/>
      <c r="E41" s="322"/>
    </row>
    <row r="42" spans="1:7">
      <c r="A42" s="319">
        <v>7021</v>
      </c>
      <c r="B42" s="320" t="s">
        <v>622</v>
      </c>
      <c r="C42" s="321" t="s">
        <v>623</v>
      </c>
      <c r="D42" s="322">
        <v>-239.5</v>
      </c>
      <c r="E42" s="322"/>
      <c r="G42" s="327">
        <f>D42*'GMBH BS 31.12.19'!$I$11</f>
        <v>-268.75836226851851</v>
      </c>
    </row>
    <row r="43" spans="1:7">
      <c r="A43" s="319">
        <v>7021</v>
      </c>
      <c r="B43" s="320" t="s">
        <v>625</v>
      </c>
      <c r="C43" s="321" t="s">
        <v>626</v>
      </c>
      <c r="D43" s="322">
        <v>-882.58</v>
      </c>
      <c r="E43" s="322"/>
      <c r="G43" s="327">
        <f>D43*'GMBH BS 31.12.19'!$I$11</f>
        <v>-990.39981365740744</v>
      </c>
    </row>
    <row r="44" spans="1:7">
      <c r="A44" s="319">
        <v>7021</v>
      </c>
      <c r="B44" s="320" t="s">
        <v>628</v>
      </c>
      <c r="C44" s="321" t="s">
        <v>681</v>
      </c>
      <c r="D44" s="322">
        <v>-131.9</v>
      </c>
      <c r="E44" s="322"/>
      <c r="G44" s="327">
        <f>D44*'GMBH BS 31.12.19'!$I$11</f>
        <v>-148.01347800925927</v>
      </c>
    </row>
    <row r="45" spans="1:7">
      <c r="A45" s="319">
        <v>7051</v>
      </c>
      <c r="B45" s="320" t="s">
        <v>630</v>
      </c>
      <c r="C45" s="321" t="s">
        <v>631</v>
      </c>
      <c r="D45" s="322">
        <v>-820</v>
      </c>
      <c r="E45" s="322"/>
      <c r="G45" s="327">
        <f>D45*'GMBH BS 31.12.19'!$I$11</f>
        <v>-920.17476851851848</v>
      </c>
    </row>
    <row r="46" spans="1:7">
      <c r="A46" s="319">
        <v>7051</v>
      </c>
      <c r="B46" s="320" t="s">
        <v>633</v>
      </c>
      <c r="C46" s="321" t="s">
        <v>634</v>
      </c>
      <c r="D46" s="322">
        <v>-3005.3</v>
      </c>
      <c r="E46" s="322"/>
      <c r="G46" s="327">
        <f>D46*'GMBH BS 31.12.19'!$I$11</f>
        <v>-3372.4405266203703</v>
      </c>
    </row>
    <row r="47" spans="1:7">
      <c r="A47" s="319">
        <v>7021</v>
      </c>
      <c r="B47" s="320" t="s">
        <v>638</v>
      </c>
      <c r="C47" s="321" t="s">
        <v>639</v>
      </c>
      <c r="D47" s="373">
        <v>-371.64</v>
      </c>
      <c r="E47" s="322">
        <v>-5450.92</v>
      </c>
      <c r="G47" s="329">
        <f>D47*'GMBH BS 31.12.19'!$I$11</f>
        <v>-417.04115972222218</v>
      </c>
    </row>
    <row r="48" spans="1:7">
      <c r="B48" s="320" t="s">
        <v>486</v>
      </c>
      <c r="C48" s="321" t="s">
        <v>486</v>
      </c>
      <c r="D48" s="322"/>
      <c r="E48" s="373"/>
      <c r="G48" s="327">
        <f>SUM(G42:G47)</f>
        <v>-6116.828108796296</v>
      </c>
    </row>
    <row r="49" spans="2:7">
      <c r="B49" s="320" t="s">
        <v>486</v>
      </c>
      <c r="C49" s="321" t="s">
        <v>486</v>
      </c>
      <c r="D49" s="322"/>
      <c r="E49" s="322"/>
    </row>
    <row r="50" spans="2:7" ht="30">
      <c r="B50" s="320" t="s">
        <v>486</v>
      </c>
      <c r="C50" s="324" t="s">
        <v>545</v>
      </c>
      <c r="D50" s="322"/>
      <c r="E50" s="322"/>
    </row>
    <row r="51" spans="2:7">
      <c r="B51" s="320" t="s">
        <v>486</v>
      </c>
      <c r="C51" s="321" t="s">
        <v>546</v>
      </c>
      <c r="D51" s="322"/>
      <c r="E51" s="322">
        <v>12815.08</v>
      </c>
      <c r="G51" s="327">
        <f>G12+G15+G20+G24+G27+G37+G39+G48</f>
        <v>14380.625942129605</v>
      </c>
    </row>
    <row r="52" spans="2:7" ht="15.75" thickBot="1">
      <c r="B52" s="320" t="s">
        <v>486</v>
      </c>
      <c r="C52" s="321" t="s">
        <v>486</v>
      </c>
      <c r="D52" s="322"/>
      <c r="E52" s="376"/>
      <c r="G52" s="389"/>
    </row>
    <row r="53" spans="2:7" ht="15.75" thickTop="1"/>
  </sheetData>
  <pageMargins left="0.7" right="0.7" top="0.78740157499999996" bottom="0.78740157499999996" header="0.3" footer="0.3"/>
  <pageSetup paperSize="9" orientation="portrait" r:id="rId1"/>
  <ignoredErrors>
    <ignoredError sqref="B12:B51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I78"/>
  <sheetViews>
    <sheetView zoomScale="90" zoomScaleNormal="90" workbookViewId="0">
      <selection activeCell="H10" sqref="H10"/>
    </sheetView>
  </sheetViews>
  <sheetFormatPr defaultColWidth="12.5703125" defaultRowHeight="15"/>
  <cols>
    <col min="1" max="1" width="12.5703125" style="319"/>
    <col min="2" max="2" width="14.5703125" style="319" customWidth="1"/>
    <col min="3" max="3" width="45.5703125" style="319" customWidth="1"/>
    <col min="4" max="4" width="16.42578125" style="319" customWidth="1"/>
    <col min="5" max="5" width="19.5703125" style="319" customWidth="1"/>
    <col min="6" max="6" width="19.42578125" style="319" hidden="1" customWidth="1"/>
    <col min="7" max="7" width="4.5703125" style="319" customWidth="1"/>
    <col min="8" max="8" width="13.5703125" style="327" bestFit="1" customWidth="1"/>
    <col min="9" max="9" width="17.42578125" style="319" bestFit="1" customWidth="1"/>
    <col min="10" max="16384" width="12.5703125" style="319"/>
  </cols>
  <sheetData>
    <row r="1" spans="1:9">
      <c r="B1" s="320" t="s">
        <v>484</v>
      </c>
      <c r="C1" s="321" t="s">
        <v>484</v>
      </c>
      <c r="D1" s="322" t="s">
        <v>484</v>
      </c>
      <c r="E1" s="322" t="s">
        <v>484</v>
      </c>
      <c r="F1" s="322" t="s">
        <v>484</v>
      </c>
    </row>
    <row r="2" spans="1:9">
      <c r="B2" s="323" t="s">
        <v>485</v>
      </c>
      <c r="C2" s="321" t="s">
        <v>486</v>
      </c>
      <c r="D2" s="322"/>
      <c r="E2" s="322"/>
      <c r="F2" s="322"/>
    </row>
    <row r="3" spans="1:9">
      <c r="B3" s="321" t="s">
        <v>487</v>
      </c>
      <c r="C3" s="321" t="s">
        <v>486</v>
      </c>
      <c r="D3" s="322"/>
      <c r="E3" s="322"/>
      <c r="F3" s="322"/>
    </row>
    <row r="4" spans="1:9">
      <c r="B4" s="321" t="s">
        <v>537</v>
      </c>
      <c r="C4" s="321" t="s">
        <v>486</v>
      </c>
      <c r="D4" s="322"/>
      <c r="E4" s="322"/>
      <c r="F4" s="322"/>
    </row>
    <row r="5" spans="1:9">
      <c r="B5" s="320" t="s">
        <v>486</v>
      </c>
      <c r="C5" s="321" t="s">
        <v>486</v>
      </c>
      <c r="D5" s="322"/>
      <c r="E5" s="322"/>
      <c r="F5" s="322"/>
    </row>
    <row r="6" spans="1:9">
      <c r="B6" s="319" t="s">
        <v>488</v>
      </c>
      <c r="C6" s="323" t="s">
        <v>486</v>
      </c>
      <c r="D6" s="322"/>
      <c r="E6" s="322"/>
      <c r="F6" s="322"/>
    </row>
    <row r="7" spans="1:9">
      <c r="B7" s="320" t="s">
        <v>486</v>
      </c>
      <c r="C7" s="321" t="s">
        <v>486</v>
      </c>
      <c r="D7" s="322"/>
      <c r="E7" s="322"/>
      <c r="F7" s="322"/>
    </row>
    <row r="8" spans="1:9">
      <c r="B8" s="321" t="s">
        <v>489</v>
      </c>
      <c r="C8" s="321" t="s">
        <v>486</v>
      </c>
      <c r="D8" s="322"/>
      <c r="E8" s="322"/>
      <c r="F8" s="322"/>
      <c r="H8" s="331">
        <v>3.4820000000000002</v>
      </c>
      <c r="I8" s="319" t="s">
        <v>535</v>
      </c>
    </row>
    <row r="9" spans="1:9">
      <c r="B9" s="320" t="s">
        <v>484</v>
      </c>
      <c r="C9" s="321" t="s">
        <v>484</v>
      </c>
      <c r="D9" s="322" t="s">
        <v>484</v>
      </c>
      <c r="E9" s="322" t="s">
        <v>484</v>
      </c>
      <c r="F9" s="322" t="s">
        <v>484</v>
      </c>
      <c r="H9" s="331">
        <v>3.8050000000000002</v>
      </c>
      <c r="I9" s="319" t="s">
        <v>536</v>
      </c>
    </row>
    <row r="10" spans="1:9">
      <c r="B10" s="320" t="s">
        <v>486</v>
      </c>
      <c r="C10" s="321" t="s">
        <v>486</v>
      </c>
      <c r="D10" s="322"/>
      <c r="E10" s="320" t="s">
        <v>490</v>
      </c>
      <c r="F10" s="320" t="s">
        <v>491</v>
      </c>
      <c r="H10" s="327">
        <f>H9/H8</f>
        <v>1.0927627800114876</v>
      </c>
      <c r="I10" s="319" t="s">
        <v>492</v>
      </c>
    </row>
    <row r="11" spans="1:9">
      <c r="A11" s="319" t="s">
        <v>493</v>
      </c>
      <c r="B11" s="320" t="s">
        <v>494</v>
      </c>
      <c r="C11" s="321" t="s">
        <v>495</v>
      </c>
      <c r="D11" s="320" t="s">
        <v>496</v>
      </c>
      <c r="E11" s="320" t="s">
        <v>496</v>
      </c>
      <c r="F11" s="320" t="s">
        <v>496</v>
      </c>
      <c r="G11" s="369"/>
      <c r="H11" s="370" t="s">
        <v>117</v>
      </c>
    </row>
    <row r="12" spans="1:9">
      <c r="B12" s="320" t="s">
        <v>486</v>
      </c>
      <c r="C12" s="321" t="s">
        <v>486</v>
      </c>
      <c r="D12" s="322"/>
      <c r="E12" s="322"/>
      <c r="F12" s="322"/>
    </row>
    <row r="13" spans="1:9" ht="45">
      <c r="B13" s="320" t="s">
        <v>486</v>
      </c>
      <c r="C13" s="324" t="s">
        <v>497</v>
      </c>
      <c r="D13" s="322"/>
      <c r="E13" s="322"/>
      <c r="F13" s="322"/>
    </row>
    <row r="14" spans="1:9">
      <c r="A14" s="343">
        <v>1904</v>
      </c>
      <c r="B14" s="344" t="s">
        <v>498</v>
      </c>
      <c r="C14" s="321" t="s">
        <v>499</v>
      </c>
      <c r="D14" s="322"/>
      <c r="E14" s="322">
        <v>809.51</v>
      </c>
      <c r="F14" s="322">
        <v>1267.57</v>
      </c>
      <c r="H14" s="327">
        <f>E14*$H$10</f>
        <v>884.60239804709931</v>
      </c>
    </row>
    <row r="15" spans="1:9">
      <c r="B15" s="320" t="s">
        <v>486</v>
      </c>
      <c r="C15" s="321" t="s">
        <v>486</v>
      </c>
      <c r="D15" s="322"/>
      <c r="E15" s="322"/>
      <c r="F15" s="322"/>
    </row>
    <row r="16" spans="1:9">
      <c r="B16" s="320" t="s">
        <v>486</v>
      </c>
      <c r="C16" s="323" t="s">
        <v>538</v>
      </c>
      <c r="D16" s="322"/>
      <c r="E16" s="322"/>
      <c r="F16" s="322"/>
    </row>
    <row r="17" spans="1:8">
      <c r="A17" s="343">
        <v>1351</v>
      </c>
      <c r="B17" s="344" t="s">
        <v>539</v>
      </c>
      <c r="C17" s="321" t="s">
        <v>538</v>
      </c>
      <c r="D17" s="322"/>
      <c r="E17" s="322">
        <v>43465.24</v>
      </c>
      <c r="F17" s="322">
        <v>0</v>
      </c>
      <c r="H17" s="327">
        <f>E17*$H$10</f>
        <v>47497.196496266508</v>
      </c>
    </row>
    <row r="18" spans="1:8">
      <c r="B18" s="320" t="s">
        <v>486</v>
      </c>
      <c r="C18" s="321" t="s">
        <v>486</v>
      </c>
      <c r="D18" s="322"/>
      <c r="E18" s="322"/>
      <c r="F18" s="322"/>
    </row>
    <row r="19" spans="1:8">
      <c r="B19" s="320" t="s">
        <v>486</v>
      </c>
      <c r="C19" s="321" t="s">
        <v>540</v>
      </c>
      <c r="D19" s="322"/>
      <c r="E19" s="322"/>
      <c r="F19" s="322"/>
    </row>
    <row r="20" spans="1:8">
      <c r="B20" s="320" t="s">
        <v>541</v>
      </c>
      <c r="C20" s="321" t="s">
        <v>542</v>
      </c>
      <c r="D20" s="322"/>
      <c r="E20" s="322">
        <v>0</v>
      </c>
      <c r="F20" s="322">
        <v>25000</v>
      </c>
      <c r="H20" s="327">
        <f t="shared" ref="H20" si="0">E20*$H$10</f>
        <v>0</v>
      </c>
    </row>
    <row r="21" spans="1:8">
      <c r="B21" s="320" t="s">
        <v>486</v>
      </c>
      <c r="C21" s="321" t="s">
        <v>486</v>
      </c>
      <c r="D21" s="322"/>
      <c r="E21" s="322"/>
      <c r="F21" s="322"/>
    </row>
    <row r="22" spans="1:8">
      <c r="B22" s="320" t="s">
        <v>486</v>
      </c>
      <c r="C22" s="321" t="s">
        <v>500</v>
      </c>
      <c r="D22" s="322"/>
      <c r="E22" s="322"/>
      <c r="F22" s="322"/>
      <c r="H22" s="328"/>
    </row>
    <row r="23" spans="1:8">
      <c r="A23" s="343">
        <v>1307</v>
      </c>
      <c r="B23" s="344" t="s">
        <v>501</v>
      </c>
      <c r="C23" s="321" t="s">
        <v>502</v>
      </c>
      <c r="D23" s="322">
        <v>1119.6199999999999</v>
      </c>
      <c r="E23" s="322"/>
      <c r="F23" s="322">
        <v>1119.6199999999999</v>
      </c>
      <c r="H23" s="332">
        <f>D23*$H$10</f>
        <v>1223.4790637564618</v>
      </c>
    </row>
    <row r="24" spans="1:8">
      <c r="A24" s="343">
        <v>1357</v>
      </c>
      <c r="B24" s="344" t="s">
        <v>503</v>
      </c>
      <c r="C24" s="321" t="s">
        <v>504</v>
      </c>
      <c r="D24" s="322">
        <v>165.72</v>
      </c>
      <c r="E24" s="322"/>
      <c r="F24" s="322">
        <v>0</v>
      </c>
      <c r="H24" s="332">
        <f t="shared" ref="H24:H29" si="1">D24*$H$10</f>
        <v>181.09264790350372</v>
      </c>
    </row>
    <row r="25" spans="1:8">
      <c r="A25" s="343">
        <v>1357</v>
      </c>
      <c r="B25" s="344" t="s">
        <v>505</v>
      </c>
      <c r="C25" s="324" t="s">
        <v>506</v>
      </c>
      <c r="D25" s="322">
        <v>182.44</v>
      </c>
      <c r="E25" s="322"/>
      <c r="F25" s="322">
        <v>11.37</v>
      </c>
      <c r="H25" s="332">
        <f t="shared" si="1"/>
        <v>199.3636415852958</v>
      </c>
    </row>
    <row r="26" spans="1:8">
      <c r="A26" s="343">
        <v>1357</v>
      </c>
      <c r="B26" s="344" t="s">
        <v>507</v>
      </c>
      <c r="C26" s="321" t="s">
        <v>508</v>
      </c>
      <c r="D26" s="322">
        <v>8204.75</v>
      </c>
      <c r="E26" s="322"/>
      <c r="F26" s="322">
        <v>1978.67</v>
      </c>
      <c r="H26" s="332">
        <f t="shared" si="1"/>
        <v>8965.845419299254</v>
      </c>
    </row>
    <row r="27" spans="1:8">
      <c r="B27" s="320" t="s">
        <v>543</v>
      </c>
      <c r="C27" s="321" t="s">
        <v>544</v>
      </c>
      <c r="D27" s="322">
        <v>0</v>
      </c>
      <c r="E27" s="322"/>
      <c r="F27" s="322">
        <v>0.4</v>
      </c>
      <c r="H27" s="332">
        <f t="shared" si="1"/>
        <v>0</v>
      </c>
    </row>
    <row r="28" spans="1:8">
      <c r="A28" s="343">
        <v>1357</v>
      </c>
      <c r="B28" s="344" t="s">
        <v>509</v>
      </c>
      <c r="C28" s="323" t="s">
        <v>510</v>
      </c>
      <c r="D28" s="322">
        <v>-4852.93</v>
      </c>
      <c r="E28" s="322"/>
      <c r="F28" s="322">
        <v>0</v>
      </c>
      <c r="H28" s="367">
        <f t="shared" si="1"/>
        <v>-5303.1012780011488</v>
      </c>
    </row>
    <row r="29" spans="1:8">
      <c r="A29" s="343">
        <v>1357</v>
      </c>
      <c r="B29" s="344" t="s">
        <v>511</v>
      </c>
      <c r="C29" s="321" t="s">
        <v>512</v>
      </c>
      <c r="D29" s="322">
        <v>536.28</v>
      </c>
      <c r="E29" s="368">
        <v>5355.88</v>
      </c>
      <c r="F29" s="322">
        <v>0</v>
      </c>
      <c r="H29" s="329">
        <f t="shared" si="1"/>
        <v>586.02682366456054</v>
      </c>
    </row>
    <row r="30" spans="1:8">
      <c r="B30" s="320" t="s">
        <v>486</v>
      </c>
      <c r="C30" s="321" t="s">
        <v>486</v>
      </c>
      <c r="D30" s="322"/>
      <c r="E30" s="322"/>
      <c r="F30" s="322"/>
      <c r="H30" s="332">
        <f>SUM(H23:H29)</f>
        <v>5852.7063182079282</v>
      </c>
    </row>
    <row r="31" spans="1:8">
      <c r="B31" s="320" t="s">
        <v>486</v>
      </c>
      <c r="C31" s="321" t="s">
        <v>513</v>
      </c>
      <c r="D31" s="322"/>
      <c r="E31" s="322"/>
      <c r="F31" s="322"/>
    </row>
    <row r="32" spans="1:8">
      <c r="A32" s="343">
        <v>1307</v>
      </c>
      <c r="B32" s="344" t="s">
        <v>514</v>
      </c>
      <c r="C32" s="321" t="s">
        <v>515</v>
      </c>
      <c r="D32" s="322"/>
      <c r="E32" s="322">
        <v>16863.73</v>
      </c>
      <c r="F32" s="322">
        <v>0</v>
      </c>
      <c r="H32" s="327">
        <f>E32*H10</f>
        <v>18428.056476163125</v>
      </c>
    </row>
    <row r="33" spans="1:8">
      <c r="B33" s="320" t="s">
        <v>486</v>
      </c>
      <c r="C33" s="321" t="s">
        <v>486</v>
      </c>
      <c r="D33" s="322"/>
      <c r="E33" s="322"/>
      <c r="F33" s="322"/>
      <c r="H33" s="332"/>
    </row>
    <row r="34" spans="1:8">
      <c r="B34" s="321" t="s">
        <v>486</v>
      </c>
      <c r="C34" s="321" t="s">
        <v>516</v>
      </c>
      <c r="D34" s="322"/>
      <c r="E34" s="322"/>
      <c r="F34" s="322"/>
    </row>
    <row r="35" spans="1:8">
      <c r="B35" s="320" t="s">
        <v>486</v>
      </c>
      <c r="C35" s="321" t="s">
        <v>517</v>
      </c>
      <c r="D35" s="322"/>
      <c r="E35" s="322">
        <v>0</v>
      </c>
      <c r="F35" s="322">
        <v>42646.400000000001</v>
      </c>
    </row>
    <row r="36" spans="1:8">
      <c r="B36" s="320" t="s">
        <v>486</v>
      </c>
      <c r="C36" s="321" t="s">
        <v>486</v>
      </c>
      <c r="D36" s="322"/>
      <c r="E36" s="320"/>
      <c r="F36" s="320"/>
    </row>
    <row r="37" spans="1:8">
      <c r="B37" s="320" t="s">
        <v>486</v>
      </c>
      <c r="C37" s="321" t="s">
        <v>486</v>
      </c>
      <c r="D37" s="320"/>
      <c r="E37" s="320"/>
      <c r="F37" s="320"/>
    </row>
    <row r="38" spans="1:8" ht="15.75" thickBot="1">
      <c r="B38" s="320" t="s">
        <v>486</v>
      </c>
      <c r="C38" s="323" t="s">
        <v>518</v>
      </c>
      <c r="D38" s="322"/>
      <c r="E38" s="333">
        <v>66494.36</v>
      </c>
      <c r="F38" s="333">
        <v>72024.03</v>
      </c>
      <c r="G38" s="334"/>
      <c r="H38" s="335">
        <f>H32+H30+H17+H14</f>
        <v>72662.561688684655</v>
      </c>
    </row>
    <row r="39" spans="1:8" ht="15.75" thickTop="1">
      <c r="B39" s="320" t="s">
        <v>486</v>
      </c>
      <c r="C39" s="323" t="s">
        <v>486</v>
      </c>
      <c r="D39" s="322"/>
      <c r="E39" s="322"/>
      <c r="F39" s="322"/>
    </row>
    <row r="40" spans="1:8">
      <c r="A40" s="319">
        <v>1322</v>
      </c>
      <c r="B40" s="320" t="s">
        <v>519</v>
      </c>
      <c r="C40" s="321" t="s">
        <v>486</v>
      </c>
      <c r="D40" s="322"/>
      <c r="E40" s="322"/>
      <c r="F40" s="322"/>
    </row>
    <row r="41" spans="1:8">
      <c r="B41" s="320" t="s">
        <v>484</v>
      </c>
      <c r="C41" s="321" t="s">
        <v>484</v>
      </c>
      <c r="D41" s="322" t="s">
        <v>484</v>
      </c>
      <c r="E41" s="322" t="s">
        <v>484</v>
      </c>
      <c r="F41" s="322" t="s">
        <v>484</v>
      </c>
    </row>
    <row r="42" spans="1:8">
      <c r="B42" s="320" t="s">
        <v>486</v>
      </c>
      <c r="C42" s="323" t="s">
        <v>486</v>
      </c>
      <c r="D42" s="322"/>
      <c r="E42" s="322" t="s">
        <v>490</v>
      </c>
      <c r="F42" s="322" t="s">
        <v>491</v>
      </c>
    </row>
    <row r="43" spans="1:8">
      <c r="B43" s="320" t="s">
        <v>494</v>
      </c>
      <c r="C43" s="321" t="s">
        <v>495</v>
      </c>
      <c r="D43" s="322" t="s">
        <v>496</v>
      </c>
      <c r="E43" s="322" t="s">
        <v>496</v>
      </c>
      <c r="F43" s="322" t="s">
        <v>496</v>
      </c>
      <c r="H43" s="330"/>
    </row>
    <row r="44" spans="1:8">
      <c r="B44" s="320" t="s">
        <v>486</v>
      </c>
      <c r="C44" s="321" t="s">
        <v>486</v>
      </c>
      <c r="D44" s="322"/>
      <c r="E44" s="322"/>
      <c r="F44" s="322"/>
    </row>
    <row r="45" spans="1:8">
      <c r="B45" s="320" t="s">
        <v>486</v>
      </c>
      <c r="C45" s="323" t="s">
        <v>520</v>
      </c>
      <c r="D45" s="322"/>
      <c r="E45" s="322"/>
      <c r="F45" s="322"/>
    </row>
    <row r="46" spans="1:8">
      <c r="A46" s="343">
        <v>1842</v>
      </c>
      <c r="B46" s="344" t="s">
        <v>521</v>
      </c>
      <c r="C46" s="321" t="s">
        <v>520</v>
      </c>
      <c r="D46" s="336"/>
      <c r="E46" s="337">
        <v>25000</v>
      </c>
      <c r="F46" s="336">
        <v>25000</v>
      </c>
      <c r="H46" s="332">
        <f>E46*$H$10</f>
        <v>27319.069500287191</v>
      </c>
    </row>
    <row r="47" spans="1:8">
      <c r="B47" s="320" t="s">
        <v>486</v>
      </c>
      <c r="C47" s="321" t="s">
        <v>486</v>
      </c>
      <c r="D47" s="336"/>
      <c r="E47" s="336"/>
      <c r="F47" s="336"/>
    </row>
    <row r="48" spans="1:8">
      <c r="B48" s="320" t="s">
        <v>486</v>
      </c>
      <c r="C48" s="323" t="s">
        <v>545</v>
      </c>
      <c r="D48" s="336"/>
      <c r="E48" s="336"/>
      <c r="F48" s="336"/>
    </row>
    <row r="49" spans="1:8">
      <c r="B49" s="320" t="s">
        <v>486</v>
      </c>
      <c r="C49" s="321" t="s">
        <v>546</v>
      </c>
      <c r="D49" s="336"/>
      <c r="E49" s="336">
        <v>0</v>
      </c>
      <c r="F49" s="336">
        <v>-67646.399999999994</v>
      </c>
      <c r="H49" s="327">
        <f>E49*$H$10</f>
        <v>0</v>
      </c>
    </row>
    <row r="50" spans="1:8">
      <c r="B50" s="320" t="s">
        <v>486</v>
      </c>
      <c r="C50" s="321" t="s">
        <v>486</v>
      </c>
      <c r="D50" s="336"/>
      <c r="E50" s="336"/>
      <c r="F50" s="336"/>
    </row>
    <row r="51" spans="1:8">
      <c r="B51" s="320" t="s">
        <v>486</v>
      </c>
      <c r="C51" s="323" t="s">
        <v>547</v>
      </c>
      <c r="D51" s="336"/>
      <c r="E51" s="336"/>
      <c r="F51" s="336"/>
    </row>
    <row r="52" spans="1:8">
      <c r="B52" s="320" t="s">
        <v>486</v>
      </c>
      <c r="C52" s="364" t="s">
        <v>547</v>
      </c>
      <c r="D52" s="365"/>
      <c r="E52" s="337">
        <v>16137.66</v>
      </c>
      <c r="F52" s="337">
        <v>0</v>
      </c>
      <c r="G52" s="366"/>
      <c r="H52" s="367">
        <f>E52*$H$10</f>
        <v>17634.634204480182</v>
      </c>
    </row>
    <row r="53" spans="1:8">
      <c r="B53" s="320" t="s">
        <v>486</v>
      </c>
      <c r="C53" s="321" t="s">
        <v>486</v>
      </c>
      <c r="D53" s="336"/>
      <c r="E53" s="336"/>
      <c r="F53" s="336"/>
    </row>
    <row r="54" spans="1:8">
      <c r="B54" s="320" t="s">
        <v>486</v>
      </c>
      <c r="C54" s="321" t="s">
        <v>522</v>
      </c>
      <c r="D54" s="336"/>
      <c r="E54" s="336"/>
      <c r="F54" s="336"/>
    </row>
    <row r="55" spans="1:8">
      <c r="B55" s="320" t="s">
        <v>486</v>
      </c>
      <c r="C55" s="321" t="s">
        <v>517</v>
      </c>
      <c r="D55" s="338"/>
      <c r="E55" s="338">
        <v>0</v>
      </c>
      <c r="F55" s="338">
        <v>42646.400000000001</v>
      </c>
      <c r="H55" s="332">
        <f t="shared" ref="H55" si="2">D55*$H$10</f>
        <v>0</v>
      </c>
    </row>
    <row r="56" spans="1:8">
      <c r="B56" s="320" t="s">
        <v>486</v>
      </c>
      <c r="C56" s="321" t="s">
        <v>486</v>
      </c>
      <c r="D56" s="338"/>
      <c r="E56" s="338"/>
      <c r="F56" s="338"/>
      <c r="H56" s="332"/>
    </row>
    <row r="57" spans="1:8">
      <c r="B57" s="320" t="s">
        <v>486</v>
      </c>
      <c r="C57" s="321" t="s">
        <v>548</v>
      </c>
      <c r="D57" s="338"/>
      <c r="E57" s="338"/>
      <c r="F57" s="338"/>
      <c r="H57" s="332"/>
    </row>
    <row r="58" spans="1:8">
      <c r="A58" s="343">
        <v>2688</v>
      </c>
      <c r="B58" s="344" t="s">
        <v>549</v>
      </c>
      <c r="C58" s="321" t="s">
        <v>550</v>
      </c>
      <c r="D58" s="338">
        <v>1040</v>
      </c>
      <c r="E58" s="338"/>
      <c r="F58" s="338">
        <v>0</v>
      </c>
      <c r="H58" s="332">
        <f>D58*$H$10</f>
        <v>1136.4732912119471</v>
      </c>
    </row>
    <row r="59" spans="1:8">
      <c r="A59" s="343">
        <v>2688</v>
      </c>
      <c r="B59" s="344" t="s">
        <v>551</v>
      </c>
      <c r="C59" s="321" t="s">
        <v>552</v>
      </c>
      <c r="D59" s="338">
        <v>1436.91</v>
      </c>
      <c r="E59" s="338">
        <v>2476.91</v>
      </c>
      <c r="F59" s="338">
        <v>0</v>
      </c>
      <c r="H59" s="329">
        <f>D59*$H$10</f>
        <v>1570.2017662263067</v>
      </c>
    </row>
    <row r="60" spans="1:8">
      <c r="B60" s="319" t="s">
        <v>486</v>
      </c>
      <c r="C60" s="319" t="s">
        <v>486</v>
      </c>
      <c r="D60" s="338"/>
      <c r="E60" s="338"/>
      <c r="F60" s="338"/>
      <c r="H60" s="332">
        <f>SUM(H58:H59)</f>
        <v>2706.675057438254</v>
      </c>
    </row>
    <row r="61" spans="1:8">
      <c r="B61" s="319" t="s">
        <v>486</v>
      </c>
      <c r="C61" s="319" t="s">
        <v>523</v>
      </c>
      <c r="D61" s="338"/>
      <c r="E61" s="338"/>
      <c r="F61" s="338"/>
      <c r="H61" s="332"/>
    </row>
    <row r="62" spans="1:8">
      <c r="A62" s="343">
        <v>2687</v>
      </c>
      <c r="B62" s="343" t="s">
        <v>524</v>
      </c>
      <c r="C62" s="319" t="s">
        <v>525</v>
      </c>
      <c r="D62" s="338"/>
      <c r="E62" s="338">
        <v>2600</v>
      </c>
      <c r="F62" s="338">
        <v>0</v>
      </c>
      <c r="H62" s="332">
        <f>E62*$H$10</f>
        <v>2841.1832280298677</v>
      </c>
    </row>
    <row r="63" spans="1:8">
      <c r="B63" s="319" t="s">
        <v>486</v>
      </c>
      <c r="C63" s="319" t="s">
        <v>486</v>
      </c>
      <c r="D63" s="338"/>
      <c r="E63" s="338"/>
      <c r="F63" s="338"/>
      <c r="H63" s="332"/>
    </row>
    <row r="64" spans="1:8">
      <c r="B64" s="319" t="s">
        <v>486</v>
      </c>
      <c r="C64" s="319" t="s">
        <v>9</v>
      </c>
      <c r="D64" s="338"/>
      <c r="E64" s="338"/>
      <c r="F64" s="338"/>
      <c r="H64" s="332"/>
    </row>
    <row r="65" spans="1:9">
      <c r="A65" s="343">
        <v>2689</v>
      </c>
      <c r="B65" s="343" t="s">
        <v>526</v>
      </c>
      <c r="C65" s="319" t="s">
        <v>9</v>
      </c>
      <c r="D65" s="338">
        <v>12600.26</v>
      </c>
      <c r="E65" s="338"/>
      <c r="F65" s="338">
        <v>6770.92</v>
      </c>
      <c r="H65" s="332">
        <f t="shared" ref="H65:H69" si="3">D65*$H$10</f>
        <v>13769.095146467547</v>
      </c>
    </row>
    <row r="66" spans="1:9">
      <c r="A66" s="343">
        <v>2689</v>
      </c>
      <c r="B66" s="343" t="s">
        <v>527</v>
      </c>
      <c r="C66" s="319" t="s">
        <v>528</v>
      </c>
      <c r="D66" s="338">
        <v>6854.4</v>
      </c>
      <c r="E66" s="338"/>
      <c r="F66" s="338">
        <v>0</v>
      </c>
      <c r="H66" s="332">
        <f t="shared" si="3"/>
        <v>7490.23319931074</v>
      </c>
    </row>
    <row r="67" spans="1:9">
      <c r="B67" s="319" t="s">
        <v>553</v>
      </c>
      <c r="C67" s="319" t="s">
        <v>554</v>
      </c>
      <c r="D67" s="338">
        <v>0</v>
      </c>
      <c r="E67" s="338"/>
      <c r="F67" s="338">
        <v>9276.06</v>
      </c>
      <c r="H67" s="332">
        <f t="shared" si="3"/>
        <v>0</v>
      </c>
    </row>
    <row r="68" spans="1:9">
      <c r="B68" s="319" t="s">
        <v>555</v>
      </c>
      <c r="C68" s="319" t="s">
        <v>556</v>
      </c>
      <c r="D68" s="338">
        <v>0</v>
      </c>
      <c r="E68" s="338"/>
      <c r="F68" s="338">
        <v>35411.300000000003</v>
      </c>
      <c r="H68" s="332">
        <f t="shared" si="3"/>
        <v>0</v>
      </c>
    </row>
    <row r="69" spans="1:9">
      <c r="A69" s="343">
        <v>2685</v>
      </c>
      <c r="B69" s="345">
        <v>1741</v>
      </c>
      <c r="C69" s="319" t="s">
        <v>529</v>
      </c>
      <c r="D69" s="338">
        <v>825.13</v>
      </c>
      <c r="E69" s="338"/>
      <c r="F69" s="338">
        <v>12726.75</v>
      </c>
      <c r="H69" s="329">
        <f t="shared" si="3"/>
        <v>901.67135267087883</v>
      </c>
    </row>
    <row r="70" spans="1:9">
      <c r="B70" s="319" t="s">
        <v>557</v>
      </c>
      <c r="C70" s="319" t="s">
        <v>558</v>
      </c>
      <c r="D70" s="338">
        <v>0</v>
      </c>
      <c r="E70" s="339">
        <v>20279.79</v>
      </c>
      <c r="F70" s="338">
        <v>7839</v>
      </c>
      <c r="H70" s="332">
        <f>SUM(H65:H69)</f>
        <v>22160.999698449166</v>
      </c>
    </row>
    <row r="71" spans="1:9">
      <c r="B71" s="319" t="s">
        <v>486</v>
      </c>
      <c r="C71" s="319" t="s">
        <v>486</v>
      </c>
      <c r="D71" s="338"/>
      <c r="E71" s="338"/>
      <c r="F71" s="338"/>
      <c r="H71" s="332"/>
    </row>
    <row r="72" spans="1:9">
      <c r="B72" s="319" t="s">
        <v>486</v>
      </c>
      <c r="C72" s="319" t="s">
        <v>486</v>
      </c>
      <c r="D72" s="338"/>
      <c r="E72" s="338"/>
      <c r="F72" s="338"/>
      <c r="H72" s="332"/>
    </row>
    <row r="73" spans="1:9" ht="15.75" thickBot="1">
      <c r="B73" s="319" t="s">
        <v>486</v>
      </c>
      <c r="C73" s="319" t="s">
        <v>530</v>
      </c>
      <c r="D73" s="338"/>
      <c r="E73" s="341">
        <v>66494.36</v>
      </c>
      <c r="F73" s="341">
        <v>72024.03</v>
      </c>
      <c r="G73" s="334"/>
      <c r="H73" s="335">
        <f>H70+H62+H60+H46+H52</f>
        <v>72662.561688684669</v>
      </c>
      <c r="I73" s="340"/>
    </row>
    <row r="74" spans="1:9" ht="15.75" thickTop="1">
      <c r="B74" s="319" t="s">
        <v>486</v>
      </c>
      <c r="C74" s="319" t="s">
        <v>486</v>
      </c>
      <c r="D74" s="338"/>
      <c r="E74" s="338"/>
      <c r="F74" s="338"/>
      <c r="H74" s="332"/>
      <c r="I74" s="340">
        <f>H73-H38</f>
        <v>0</v>
      </c>
    </row>
    <row r="75" spans="1:9">
      <c r="D75" s="338"/>
      <c r="E75" s="338"/>
      <c r="F75" s="338"/>
      <c r="H75" s="332"/>
    </row>
    <row r="76" spans="1:9">
      <c r="D76" s="338"/>
      <c r="E76" s="338"/>
      <c r="F76" s="338"/>
      <c r="H76" s="332"/>
    </row>
    <row r="77" spans="1:9">
      <c r="H77" s="332"/>
    </row>
    <row r="78" spans="1:9">
      <c r="H78" s="332"/>
    </row>
  </sheetData>
  <pageMargins left="0.7" right="0.7" top="0.78740157499999996" bottom="0.78740157499999996" header="0.3" footer="0.3"/>
  <pageSetup paperSize="9" orientation="portrait" r:id="rId1"/>
  <ignoredErrors>
    <ignoredError sqref="B14:B33 B46:B71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I61"/>
  <sheetViews>
    <sheetView topLeftCell="A22" zoomScale="90" zoomScaleNormal="90" workbookViewId="0">
      <selection activeCell="A50" sqref="A50"/>
    </sheetView>
  </sheetViews>
  <sheetFormatPr defaultColWidth="12.5703125" defaultRowHeight="15"/>
  <cols>
    <col min="1" max="2" width="12.5703125" style="319"/>
    <col min="3" max="3" width="48.42578125" style="319" customWidth="1"/>
    <col min="4" max="4" width="80.5703125" style="319" hidden="1" customWidth="1"/>
    <col min="5" max="5" width="20.42578125" style="358" customWidth="1"/>
    <col min="6" max="6" width="15.5703125" style="358" hidden="1" customWidth="1"/>
    <col min="7" max="7" width="19.5703125" style="358" hidden="1" customWidth="1"/>
    <col min="8" max="8" width="20.42578125" style="358" customWidth="1"/>
    <col min="9" max="9" width="14.5703125" style="326" bestFit="1" customWidth="1"/>
    <col min="10" max="16384" width="12.5703125" style="319"/>
  </cols>
  <sheetData>
    <row r="1" spans="1:8">
      <c r="B1" s="319" t="s">
        <v>564</v>
      </c>
      <c r="D1" s="319" t="s">
        <v>486</v>
      </c>
    </row>
    <row r="2" spans="1:8">
      <c r="B2" s="319" t="s">
        <v>565</v>
      </c>
      <c r="D2" s="319" t="s">
        <v>486</v>
      </c>
    </row>
    <row r="3" spans="1:8">
      <c r="B3" s="319" t="s">
        <v>566</v>
      </c>
      <c r="D3" s="319" t="s">
        <v>486</v>
      </c>
    </row>
    <row r="4" spans="1:8">
      <c r="B4" s="319" t="s">
        <v>486</v>
      </c>
      <c r="D4" s="319" t="s">
        <v>486</v>
      </c>
    </row>
    <row r="5" spans="1:8">
      <c r="B5" s="319" t="s">
        <v>488</v>
      </c>
      <c r="D5" s="319" t="s">
        <v>486</v>
      </c>
    </row>
    <row r="6" spans="1:8">
      <c r="B6" s="319" t="s">
        <v>486</v>
      </c>
      <c r="D6" s="319" t="s">
        <v>486</v>
      </c>
    </row>
    <row r="7" spans="1:8">
      <c r="B7" s="319" t="s">
        <v>484</v>
      </c>
      <c r="D7" s="319" t="s">
        <v>484</v>
      </c>
      <c r="E7" s="358" t="s">
        <v>484</v>
      </c>
      <c r="F7" s="358" t="s">
        <v>484</v>
      </c>
      <c r="G7" s="358" t="s">
        <v>484</v>
      </c>
    </row>
    <row r="8" spans="1:8">
      <c r="B8" s="319" t="s">
        <v>486</v>
      </c>
      <c r="D8" s="319" t="s">
        <v>486</v>
      </c>
      <c r="F8" s="358" t="s">
        <v>567</v>
      </c>
      <c r="G8" s="358" t="s">
        <v>568</v>
      </c>
    </row>
    <row r="9" spans="1:8">
      <c r="B9" s="319" t="s">
        <v>569</v>
      </c>
      <c r="D9" s="319" t="s">
        <v>570</v>
      </c>
      <c r="E9" s="358" t="s">
        <v>496</v>
      </c>
      <c r="F9" s="358" t="s">
        <v>496</v>
      </c>
      <c r="G9" s="358" t="s">
        <v>496</v>
      </c>
      <c r="H9" s="358" t="s">
        <v>117</v>
      </c>
    </row>
    <row r="10" spans="1:8">
      <c r="A10" s="319" t="s">
        <v>650</v>
      </c>
      <c r="B10" s="319" t="s">
        <v>486</v>
      </c>
      <c r="D10" s="319" t="s">
        <v>486</v>
      </c>
    </row>
    <row r="11" spans="1:8">
      <c r="B11" s="319" t="s">
        <v>486</v>
      </c>
      <c r="D11" s="319" t="s">
        <v>571</v>
      </c>
    </row>
    <row r="12" spans="1:8">
      <c r="A12" s="319">
        <v>4200</v>
      </c>
      <c r="B12" s="319" t="s">
        <v>572</v>
      </c>
      <c r="C12" s="319" t="s">
        <v>573</v>
      </c>
      <c r="D12" s="319" t="s">
        <v>574</v>
      </c>
      <c r="E12" s="358">
        <v>129388</v>
      </c>
      <c r="F12" s="358">
        <v>129388.19</v>
      </c>
      <c r="G12" s="358">
        <v>0</v>
      </c>
      <c r="H12" s="358">
        <f>E12*'GMBH BS'!$H$10</f>
        <v>141390.39058012638</v>
      </c>
    </row>
    <row r="13" spans="1:8">
      <c r="B13" s="319" t="s">
        <v>486</v>
      </c>
      <c r="D13" s="319" t="s">
        <v>486</v>
      </c>
    </row>
    <row r="14" spans="1:8">
      <c r="B14" s="319" t="s">
        <v>486</v>
      </c>
      <c r="D14" s="319" t="s">
        <v>575</v>
      </c>
    </row>
    <row r="15" spans="1:8">
      <c r="A15" s="319">
        <v>7020</v>
      </c>
      <c r="B15" s="319" t="s">
        <v>576</v>
      </c>
      <c r="C15" s="319" t="s">
        <v>577</v>
      </c>
      <c r="D15" s="319" t="s">
        <v>575</v>
      </c>
      <c r="E15" s="358">
        <v>-61666.65</v>
      </c>
      <c r="F15" s="358">
        <v>-61666.65</v>
      </c>
      <c r="G15" s="358">
        <v>-50000</v>
      </c>
      <c r="H15" s="358">
        <f>E15*'GMBH BS'!$H$10</f>
        <v>-67387.019887995411</v>
      </c>
    </row>
    <row r="16" spans="1:8">
      <c r="B16" s="319" t="s">
        <v>486</v>
      </c>
      <c r="D16" s="319" t="s">
        <v>486</v>
      </c>
    </row>
    <row r="17" spans="1:8">
      <c r="B17" s="319" t="s">
        <v>486</v>
      </c>
      <c r="D17" s="319" t="s">
        <v>578</v>
      </c>
    </row>
    <row r="18" spans="1:8">
      <c r="A18" s="319">
        <v>7020</v>
      </c>
      <c r="B18" s="319" t="s">
        <v>579</v>
      </c>
      <c r="C18" s="319" t="s">
        <v>580</v>
      </c>
      <c r="D18" s="319" t="s">
        <v>581</v>
      </c>
      <c r="E18" s="358">
        <v>-9621.4500000000007</v>
      </c>
      <c r="G18" s="358">
        <v>-5976.65</v>
      </c>
      <c r="H18" s="358">
        <f>E18*'GMBH BS'!$H$10</f>
        <v>-10513.962449741528</v>
      </c>
    </row>
    <row r="19" spans="1:8">
      <c r="A19" s="319">
        <v>7020</v>
      </c>
      <c r="B19" s="319" t="s">
        <v>582</v>
      </c>
      <c r="C19" s="319" t="s">
        <v>648</v>
      </c>
      <c r="D19" s="319" t="s">
        <v>583</v>
      </c>
      <c r="E19" s="360">
        <v>-156.19999999999999</v>
      </c>
      <c r="G19" s="358">
        <v>0</v>
      </c>
      <c r="H19" s="360">
        <f>E19*'GMBH BS'!$H$10</f>
        <v>-170.68954623779436</v>
      </c>
    </row>
    <row r="20" spans="1:8">
      <c r="B20" s="319" t="s">
        <v>486</v>
      </c>
      <c r="D20" s="319" t="s">
        <v>486</v>
      </c>
      <c r="E20" s="358">
        <f>SUM(E18:E19)</f>
        <v>-9777.6500000000015</v>
      </c>
      <c r="H20" s="358">
        <f>SUM(H15:H19)</f>
        <v>-78071.671883974734</v>
      </c>
    </row>
    <row r="21" spans="1:8">
      <c r="B21" s="319" t="s">
        <v>486</v>
      </c>
      <c r="D21" s="319" t="s">
        <v>584</v>
      </c>
    </row>
    <row r="22" spans="1:8">
      <c r="B22" s="319" t="s">
        <v>486</v>
      </c>
      <c r="D22" s="319" t="s">
        <v>486</v>
      </c>
    </row>
    <row r="23" spans="1:8">
      <c r="B23" s="319" t="s">
        <v>486</v>
      </c>
      <c r="D23" s="319" t="s">
        <v>585</v>
      </c>
    </row>
    <row r="24" spans="1:8">
      <c r="A24" s="319">
        <v>7021</v>
      </c>
      <c r="B24" s="319" t="s">
        <v>586</v>
      </c>
      <c r="C24" s="319" t="s">
        <v>649</v>
      </c>
      <c r="D24" s="319" t="s">
        <v>587</v>
      </c>
      <c r="E24" s="358">
        <v>-316.49</v>
      </c>
      <c r="F24" s="358">
        <v>-316.49</v>
      </c>
      <c r="G24" s="358">
        <v>0</v>
      </c>
      <c r="H24" s="358">
        <f>E24*'GMBH BS'!$H$10</f>
        <v>-345.84849224583576</v>
      </c>
    </row>
    <row r="25" spans="1:8">
      <c r="B25" s="319" t="s">
        <v>486</v>
      </c>
      <c r="D25" s="319" t="s">
        <v>486</v>
      </c>
    </row>
    <row r="26" spans="1:8">
      <c r="B26" s="319" t="s">
        <v>486</v>
      </c>
      <c r="D26" s="319" t="s">
        <v>588</v>
      </c>
    </row>
    <row r="27" spans="1:8">
      <c r="A27" s="319">
        <v>7021</v>
      </c>
      <c r="B27" s="319" t="s">
        <v>589</v>
      </c>
      <c r="C27" s="319" t="s">
        <v>590</v>
      </c>
      <c r="D27" s="319" t="s">
        <v>591</v>
      </c>
      <c r="E27" s="358">
        <v>-4233.87</v>
      </c>
      <c r="G27" s="358">
        <v>-940.86</v>
      </c>
      <c r="H27" s="358">
        <f>E27*'GMBH BS'!$H$10</f>
        <v>-4626.615551407237</v>
      </c>
    </row>
    <row r="28" spans="1:8">
      <c r="B28" s="319" t="s">
        <v>592</v>
      </c>
      <c r="D28" s="319" t="s">
        <v>593</v>
      </c>
      <c r="E28" s="358">
        <v>0</v>
      </c>
      <c r="F28" s="358">
        <v>-4233.87</v>
      </c>
      <c r="G28" s="358">
        <v>-7648.01</v>
      </c>
    </row>
    <row r="29" spans="1:8">
      <c r="B29" s="319" t="s">
        <v>486</v>
      </c>
      <c r="D29" s="319" t="s">
        <v>486</v>
      </c>
    </row>
    <row r="30" spans="1:8">
      <c r="B30" s="319" t="s">
        <v>486</v>
      </c>
      <c r="D30" s="319" t="s">
        <v>594</v>
      </c>
    </row>
    <row r="31" spans="1:8">
      <c r="A31" s="319">
        <v>7026</v>
      </c>
      <c r="B31" s="319" t="s">
        <v>595</v>
      </c>
      <c r="C31" s="319" t="s">
        <v>596</v>
      </c>
      <c r="D31" s="319" t="s">
        <v>597</v>
      </c>
      <c r="E31" s="359">
        <v>-21279.72</v>
      </c>
      <c r="F31" s="359"/>
      <c r="G31" s="358">
        <v>-89.87</v>
      </c>
      <c r="H31" s="359">
        <f>E31*'GMBH BS'!$H$10</f>
        <v>-23253.685985066055</v>
      </c>
    </row>
    <row r="32" spans="1:8">
      <c r="A32" s="319">
        <v>7021</v>
      </c>
      <c r="B32" s="319" t="s">
        <v>598</v>
      </c>
      <c r="C32" s="319" t="s">
        <v>599</v>
      </c>
      <c r="D32" s="319" t="s">
        <v>600</v>
      </c>
      <c r="E32" s="358">
        <v>-234.96</v>
      </c>
      <c r="G32" s="358">
        <v>-33.450000000000003</v>
      </c>
      <c r="H32" s="358">
        <f>E32*'GMBH BS'!$H$10</f>
        <v>-256.75554279149912</v>
      </c>
    </row>
    <row r="33" spans="1:8">
      <c r="B33" s="319" t="s">
        <v>601</v>
      </c>
      <c r="D33" s="319" t="s">
        <v>602</v>
      </c>
      <c r="E33" s="358">
        <v>0</v>
      </c>
      <c r="G33" s="358">
        <v>-68.97</v>
      </c>
      <c r="H33" s="358">
        <f>E33*'GMBH BS'!$H$10</f>
        <v>0</v>
      </c>
    </row>
    <row r="34" spans="1:8">
      <c r="A34" s="319">
        <v>7021</v>
      </c>
      <c r="B34" s="319" t="s">
        <v>603</v>
      </c>
      <c r="C34" s="319" t="s">
        <v>604</v>
      </c>
      <c r="D34" s="319" t="s">
        <v>605</v>
      </c>
      <c r="E34" s="358">
        <v>-529.70000000000005</v>
      </c>
      <c r="G34" s="358">
        <v>-8.4</v>
      </c>
      <c r="H34" s="358">
        <f>E34*'GMBH BS'!$H$10</f>
        <v>-578.83644457208504</v>
      </c>
    </row>
    <row r="35" spans="1:8">
      <c r="A35" s="319">
        <v>7021</v>
      </c>
      <c r="B35" s="319" t="s">
        <v>606</v>
      </c>
      <c r="C35" s="319" t="s">
        <v>607</v>
      </c>
      <c r="D35" s="319" t="s">
        <v>608</v>
      </c>
      <c r="E35" s="358">
        <v>-1120.51</v>
      </c>
      <c r="G35" s="358">
        <v>-1801.24</v>
      </c>
      <c r="H35" s="358">
        <f>E35*'GMBH BS'!$H$10</f>
        <v>-1224.4516226306721</v>
      </c>
    </row>
    <row r="36" spans="1:8">
      <c r="A36" s="319">
        <v>7025</v>
      </c>
      <c r="B36" s="319" t="s">
        <v>609</v>
      </c>
      <c r="C36" s="319" t="s">
        <v>610</v>
      </c>
      <c r="D36" s="319" t="s">
        <v>611</v>
      </c>
      <c r="E36" s="358">
        <v>-209</v>
      </c>
      <c r="G36" s="358">
        <v>-130</v>
      </c>
      <c r="H36" s="358">
        <f>E36*'GMBH BS'!$H$10</f>
        <v>-228.38742102240093</v>
      </c>
    </row>
    <row r="37" spans="1:8">
      <c r="A37" s="319">
        <v>7025</v>
      </c>
      <c r="B37" s="319" t="s">
        <v>612</v>
      </c>
      <c r="C37" s="319" t="s">
        <v>613</v>
      </c>
      <c r="D37" s="319" t="s">
        <v>614</v>
      </c>
      <c r="E37" s="358">
        <v>-2245.81</v>
      </c>
      <c r="G37" s="358">
        <v>-510.25</v>
      </c>
      <c r="H37" s="358">
        <f>E37*'GMBH BS'!$H$10</f>
        <v>-2454.1375789775989</v>
      </c>
    </row>
    <row r="38" spans="1:8">
      <c r="A38" s="319">
        <v>7025</v>
      </c>
      <c r="B38" s="319" t="s">
        <v>615</v>
      </c>
      <c r="C38" s="319" t="s">
        <v>616</v>
      </c>
      <c r="D38" s="319" t="s">
        <v>617</v>
      </c>
      <c r="E38" s="360">
        <v>-288</v>
      </c>
      <c r="F38" s="358">
        <v>-25907.7</v>
      </c>
      <c r="G38" s="358">
        <v>-121.5</v>
      </c>
      <c r="H38" s="360">
        <f>E38*'GMBH BS'!$H$10</f>
        <v>-314.71568064330842</v>
      </c>
    </row>
    <row r="39" spans="1:8">
      <c r="B39" s="319" t="s">
        <v>486</v>
      </c>
      <c r="D39" s="319" t="s">
        <v>486</v>
      </c>
      <c r="E39" s="358">
        <f>SUM(E31:E38)</f>
        <v>-25907.7</v>
      </c>
      <c r="F39" s="358">
        <f t="shared" ref="F39:H39" si="0">SUM(F31:F38)</f>
        <v>-25907.7</v>
      </c>
      <c r="G39" s="358">
        <f t="shared" si="0"/>
        <v>-2763.6800000000003</v>
      </c>
      <c r="H39" s="358">
        <f t="shared" si="0"/>
        <v>-28310.970275703621</v>
      </c>
    </row>
    <row r="40" spans="1:8">
      <c r="B40" s="319" t="s">
        <v>486</v>
      </c>
      <c r="D40" s="319" t="s">
        <v>618</v>
      </c>
    </row>
    <row r="41" spans="1:8">
      <c r="A41" s="319">
        <v>7021</v>
      </c>
      <c r="B41" s="319" t="s">
        <v>619</v>
      </c>
      <c r="C41" s="319" t="s">
        <v>653</v>
      </c>
      <c r="D41" s="319" t="s">
        <v>620</v>
      </c>
      <c r="E41" s="358">
        <v>-14400</v>
      </c>
      <c r="F41" s="358">
        <v>-14400</v>
      </c>
      <c r="G41" s="358">
        <v>0</v>
      </c>
      <c r="H41" s="358">
        <f>E41*'GMBH BS'!$H$10</f>
        <v>-15735.784032165422</v>
      </c>
    </row>
    <row r="42" spans="1:8">
      <c r="B42" s="319" t="s">
        <v>486</v>
      </c>
      <c r="D42" s="319" t="s">
        <v>486</v>
      </c>
    </row>
    <row r="43" spans="1:8">
      <c r="B43" s="319" t="s">
        <v>486</v>
      </c>
      <c r="D43" s="319" t="s">
        <v>621</v>
      </c>
    </row>
    <row r="44" spans="1:8">
      <c r="A44" s="319">
        <v>7021</v>
      </c>
      <c r="B44" s="319" t="s">
        <v>622</v>
      </c>
      <c r="C44" s="319" t="s">
        <v>623</v>
      </c>
      <c r="D44" s="319" t="s">
        <v>624</v>
      </c>
      <c r="E44" s="358">
        <v>-239.5</v>
      </c>
      <c r="G44" s="358">
        <v>-170.2</v>
      </c>
      <c r="H44" s="358">
        <f>E44*'GMBH BS'!$H$10</f>
        <v>-261.71668581275128</v>
      </c>
    </row>
    <row r="45" spans="1:8">
      <c r="A45" s="319">
        <v>7021</v>
      </c>
      <c r="B45" s="319" t="s">
        <v>625</v>
      </c>
      <c r="C45" s="319" t="s">
        <v>626</v>
      </c>
      <c r="D45" s="319" t="s">
        <v>627</v>
      </c>
      <c r="E45" s="358">
        <v>-537.77</v>
      </c>
      <c r="G45" s="358">
        <v>0</v>
      </c>
      <c r="H45" s="358">
        <f>E45*'GMBH BS'!$H$10</f>
        <v>-587.6550402067777</v>
      </c>
    </row>
    <row r="46" spans="1:8">
      <c r="A46" s="319">
        <v>7021</v>
      </c>
      <c r="B46" s="319" t="s">
        <v>628</v>
      </c>
      <c r="C46" s="319" t="s">
        <v>651</v>
      </c>
      <c r="D46" s="319" t="s">
        <v>629</v>
      </c>
      <c r="E46" s="358">
        <v>-131.9</v>
      </c>
      <c r="G46" s="358">
        <v>0</v>
      </c>
      <c r="H46" s="358">
        <f>E46*'GMBH BS'!$H$10</f>
        <v>-144.13541068351523</v>
      </c>
    </row>
    <row r="47" spans="1:8">
      <c r="A47" s="319">
        <v>7051</v>
      </c>
      <c r="B47" s="319" t="s">
        <v>630</v>
      </c>
      <c r="C47" s="319" t="s">
        <v>631</v>
      </c>
      <c r="D47" s="319" t="s">
        <v>632</v>
      </c>
      <c r="E47" s="358">
        <v>-820</v>
      </c>
      <c r="G47" s="358">
        <v>0</v>
      </c>
      <c r="H47" s="358">
        <f>E47*'GMBH BS'!$H$10</f>
        <v>-896.06547960941987</v>
      </c>
    </row>
    <row r="48" spans="1:8">
      <c r="A48" s="319">
        <v>7051</v>
      </c>
      <c r="B48" s="319" t="s">
        <v>633</v>
      </c>
      <c r="C48" s="319" t="s">
        <v>634</v>
      </c>
      <c r="D48" s="319" t="s">
        <v>635</v>
      </c>
      <c r="E48" s="358">
        <v>-1552.4</v>
      </c>
      <c r="G48" s="358">
        <v>0</v>
      </c>
      <c r="H48" s="358">
        <f>E48*'GMBH BS'!$H$10</f>
        <v>-1696.4049396898336</v>
      </c>
    </row>
    <row r="49" spans="1:8">
      <c r="B49" s="319" t="s">
        <v>636</v>
      </c>
      <c r="D49" s="319" t="s">
        <v>637</v>
      </c>
      <c r="E49" s="358">
        <v>0</v>
      </c>
      <c r="G49" s="358">
        <v>-147</v>
      </c>
      <c r="H49" s="358">
        <f>E49*'GMBH BS'!$H$10</f>
        <v>0</v>
      </c>
    </row>
    <row r="50" spans="1:8">
      <c r="A50" s="319">
        <v>7021</v>
      </c>
      <c r="B50" s="319" t="s">
        <v>638</v>
      </c>
      <c r="C50" s="319" t="s">
        <v>639</v>
      </c>
      <c r="D50" s="319" t="s">
        <v>640</v>
      </c>
      <c r="E50" s="360">
        <v>-219.93</v>
      </c>
      <c r="F50" s="358">
        <v>-3501.5</v>
      </c>
      <c r="G50" s="358">
        <v>0</v>
      </c>
      <c r="H50" s="360">
        <f>E50*'GMBH BS'!$H$10</f>
        <v>-240.33131820792647</v>
      </c>
    </row>
    <row r="51" spans="1:8">
      <c r="B51" s="319" t="s">
        <v>486</v>
      </c>
      <c r="D51" s="319" t="s">
        <v>486</v>
      </c>
      <c r="E51" s="358">
        <f>SUM(E44:E50)</f>
        <v>-3501.5</v>
      </c>
      <c r="F51" s="358">
        <f t="shared" ref="F51:H51" si="1">SUM(F44:F50)</f>
        <v>-3501.5</v>
      </c>
      <c r="G51" s="358">
        <f t="shared" si="1"/>
        <v>-317.2</v>
      </c>
      <c r="H51" s="358">
        <f t="shared" si="1"/>
        <v>-3826.3088742102241</v>
      </c>
    </row>
    <row r="52" spans="1:8">
      <c r="B52" s="319" t="s">
        <v>486</v>
      </c>
      <c r="D52" s="319" t="s">
        <v>641</v>
      </c>
    </row>
    <row r="53" spans="1:8">
      <c r="B53" s="319" t="s">
        <v>486</v>
      </c>
      <c r="C53" s="319" t="s">
        <v>652</v>
      </c>
      <c r="D53" s="319" t="s">
        <v>641</v>
      </c>
      <c r="E53" s="358">
        <f>E12+E15+E20+E24+E27+E39+E41+E51</f>
        <v>9584.1400000000031</v>
      </c>
      <c r="F53" s="358">
        <v>9584.33</v>
      </c>
      <c r="G53" s="358">
        <v>-67646.399999999994</v>
      </c>
      <c r="H53" s="358">
        <f>E53*'GMBH BS'!$H$10</f>
        <v>10473.191470419302</v>
      </c>
    </row>
    <row r="54" spans="1:8">
      <c r="B54" s="319" t="s">
        <v>486</v>
      </c>
      <c r="D54" s="319" t="s">
        <v>486</v>
      </c>
    </row>
    <row r="55" spans="1:8">
      <c r="B55" s="319" t="s">
        <v>486</v>
      </c>
      <c r="D55" s="319" t="s">
        <v>642</v>
      </c>
    </row>
    <row r="56" spans="1:8">
      <c r="A56" s="319">
        <v>9410</v>
      </c>
      <c r="B56" s="319" t="s">
        <v>643</v>
      </c>
      <c r="C56" s="319" t="s">
        <v>644</v>
      </c>
      <c r="D56" s="319" t="s">
        <v>645</v>
      </c>
      <c r="E56" s="358">
        <v>6553.33</v>
      </c>
      <c r="G56" s="358">
        <v>0</v>
      </c>
      <c r="H56" s="358">
        <f>E56*'GMBH BS'!$H$10</f>
        <v>7161.2351091326818</v>
      </c>
    </row>
    <row r="57" spans="1:8">
      <c r="B57" s="319" t="s">
        <v>486</v>
      </c>
      <c r="D57" s="319" t="s">
        <v>486</v>
      </c>
    </row>
    <row r="58" spans="1:8">
      <c r="B58" s="319" t="s">
        <v>486</v>
      </c>
      <c r="D58" s="319" t="s">
        <v>486</v>
      </c>
    </row>
    <row r="59" spans="1:8">
      <c r="B59" s="319" t="s">
        <v>486</v>
      </c>
      <c r="D59" s="319" t="s">
        <v>646</v>
      </c>
    </row>
    <row r="60" spans="1:8">
      <c r="B60" s="319" t="s">
        <v>486</v>
      </c>
      <c r="C60" s="319" t="s">
        <v>647</v>
      </c>
      <c r="D60" s="319" t="s">
        <v>647</v>
      </c>
      <c r="E60" s="358">
        <v>16137.66</v>
      </c>
      <c r="G60" s="358">
        <v>0</v>
      </c>
      <c r="H60" s="358">
        <f>E60*'GMBH BS'!$H$10</f>
        <v>17634.634204480182</v>
      </c>
    </row>
    <row r="61" spans="1:8">
      <c r="B61" s="319" t="s">
        <v>486</v>
      </c>
      <c r="D61" s="319" t="s">
        <v>486</v>
      </c>
    </row>
  </sheetData>
  <pageMargins left="0.7" right="0.7" top="0.78740157499999996" bottom="0.78740157499999996" header="0.3" footer="0.3"/>
  <pageSetup paperSize="9" orientation="portrait" r:id="rId1"/>
  <ignoredErrors>
    <ignoredError sqref="B12:B62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0">
    <pageSetUpPr fitToPage="1"/>
  </sheetPr>
  <dimension ref="A1:I211"/>
  <sheetViews>
    <sheetView topLeftCell="A39" zoomScale="80" zoomScaleNormal="80" workbookViewId="0">
      <selection activeCell="B73" sqref="B73"/>
    </sheetView>
  </sheetViews>
  <sheetFormatPr defaultColWidth="9.42578125" defaultRowHeight="15"/>
  <cols>
    <col min="1" max="1" width="7.5703125" style="23" bestFit="1" customWidth="1"/>
    <col min="2" max="2" width="54.5703125" style="23" bestFit="1" customWidth="1"/>
    <col min="3" max="6" width="9.42578125" style="24"/>
    <col min="7" max="16384" width="9.42578125" style="6"/>
  </cols>
  <sheetData>
    <row r="1" spans="1:2" ht="15.75">
      <c r="A1" s="23">
        <v>13</v>
      </c>
      <c r="B1" s="52" t="s">
        <v>0</v>
      </c>
    </row>
    <row r="2" spans="1:2">
      <c r="A2" s="23">
        <v>130</v>
      </c>
      <c r="B2" s="23" t="s">
        <v>1</v>
      </c>
    </row>
    <row r="3" spans="1:2">
      <c r="A3" s="23">
        <v>1302</v>
      </c>
      <c r="B3" s="23" t="s">
        <v>49</v>
      </c>
    </row>
    <row r="4" spans="1:2">
      <c r="A4" s="23">
        <v>1304</v>
      </c>
      <c r="B4" s="23" t="s">
        <v>563</v>
      </c>
    </row>
    <row r="5" spans="1:2">
      <c r="A5" s="23">
        <v>1305</v>
      </c>
      <c r="B5" s="23" t="s">
        <v>50</v>
      </c>
    </row>
    <row r="6" spans="1:2">
      <c r="A6" s="23">
        <v>1306</v>
      </c>
      <c r="B6" s="23" t="s">
        <v>2</v>
      </c>
    </row>
    <row r="7" spans="1:2">
      <c r="A7" s="23">
        <v>1307</v>
      </c>
      <c r="B7" s="23" t="s">
        <v>562</v>
      </c>
    </row>
    <row r="8" spans="1:2">
      <c r="A8" s="5">
        <v>131</v>
      </c>
      <c r="B8" s="5" t="s">
        <v>216</v>
      </c>
    </row>
    <row r="9" spans="1:2">
      <c r="A9" s="5">
        <v>1312</v>
      </c>
      <c r="B9" s="5" t="s">
        <v>216</v>
      </c>
    </row>
    <row r="10" spans="1:2">
      <c r="A10" s="23">
        <v>132</v>
      </c>
      <c r="B10" s="23" t="s">
        <v>483</v>
      </c>
    </row>
    <row r="11" spans="1:2">
      <c r="A11" s="23">
        <v>1322</v>
      </c>
      <c r="B11" s="23" t="s">
        <v>483</v>
      </c>
    </row>
    <row r="12" spans="1:2">
      <c r="A12" s="23">
        <v>133</v>
      </c>
      <c r="B12" s="23" t="s">
        <v>2</v>
      </c>
    </row>
    <row r="13" spans="1:2">
      <c r="A13" s="23">
        <v>1330</v>
      </c>
      <c r="B13" s="23" t="s">
        <v>2</v>
      </c>
    </row>
    <row r="14" spans="1:2">
      <c r="A14" s="23">
        <v>134</v>
      </c>
      <c r="B14" s="23" t="s">
        <v>52</v>
      </c>
    </row>
    <row r="15" spans="1:2">
      <c r="A15" s="23">
        <v>1342</v>
      </c>
      <c r="B15" s="23" t="s">
        <v>52</v>
      </c>
    </row>
    <row r="16" spans="1:2">
      <c r="A16" s="23">
        <v>1345</v>
      </c>
    </row>
    <row r="17" spans="1:6">
      <c r="A17" s="23">
        <v>1346</v>
      </c>
      <c r="B17" s="23" t="s">
        <v>53</v>
      </c>
    </row>
    <row r="18" spans="1:6">
      <c r="A18" s="23">
        <v>1347</v>
      </c>
      <c r="B18" s="23" t="s">
        <v>54</v>
      </c>
    </row>
    <row r="19" spans="1:6">
      <c r="A19" s="23">
        <v>1348</v>
      </c>
      <c r="B19" s="23" t="s">
        <v>55</v>
      </c>
    </row>
    <row r="20" spans="1:6">
      <c r="A20" s="23">
        <v>1349</v>
      </c>
      <c r="B20" s="23" t="s">
        <v>26</v>
      </c>
    </row>
    <row r="21" spans="1:6">
      <c r="A21" s="23">
        <v>135</v>
      </c>
      <c r="B21" s="23" t="s">
        <v>3</v>
      </c>
    </row>
    <row r="22" spans="1:6">
      <c r="A22" s="23">
        <v>1351</v>
      </c>
      <c r="B22" s="23" t="s">
        <v>26</v>
      </c>
    </row>
    <row r="23" spans="1:6">
      <c r="A23" s="23">
        <v>1352</v>
      </c>
      <c r="B23" s="23" t="s">
        <v>399</v>
      </c>
    </row>
    <row r="24" spans="1:6">
      <c r="A24" s="23">
        <v>1353</v>
      </c>
      <c r="B24" s="23" t="s">
        <v>144</v>
      </c>
    </row>
    <row r="25" spans="1:6">
      <c r="A25" s="23">
        <v>1354</v>
      </c>
      <c r="B25" s="23" t="s">
        <v>40</v>
      </c>
    </row>
    <row r="26" spans="1:6">
      <c r="A26" s="23">
        <v>1355</v>
      </c>
      <c r="B26" s="23" t="s">
        <v>51</v>
      </c>
    </row>
    <row r="27" spans="1:6">
      <c r="A27" s="23">
        <v>1356</v>
      </c>
      <c r="B27" s="23" t="s">
        <v>534</v>
      </c>
    </row>
    <row r="28" spans="1:6">
      <c r="A28" s="23">
        <v>1357</v>
      </c>
      <c r="B28" s="23" t="s">
        <v>118</v>
      </c>
    </row>
    <row r="29" spans="1:6">
      <c r="A29" s="23">
        <v>1358</v>
      </c>
      <c r="B29" s="23" t="s">
        <v>132</v>
      </c>
    </row>
    <row r="30" spans="1:6">
      <c r="A30" s="5">
        <v>1359</v>
      </c>
      <c r="B30" s="5" t="s">
        <v>96</v>
      </c>
      <c r="C30" s="6"/>
      <c r="D30" s="6"/>
      <c r="E30" s="6"/>
      <c r="F30" s="6"/>
    </row>
    <row r="31" spans="1:6">
      <c r="A31" s="5">
        <v>136</v>
      </c>
      <c r="B31" s="23" t="s">
        <v>26</v>
      </c>
      <c r="C31" s="6"/>
      <c r="D31" s="6"/>
      <c r="E31" s="6"/>
      <c r="F31" s="6"/>
    </row>
    <row r="32" spans="1:6">
      <c r="A32" s="5">
        <v>1360</v>
      </c>
      <c r="B32" s="23" t="s">
        <v>26</v>
      </c>
      <c r="C32" s="6"/>
      <c r="D32" s="6"/>
      <c r="E32" s="6"/>
      <c r="F32" s="6"/>
    </row>
    <row r="33" spans="1:6">
      <c r="A33" s="5">
        <v>14</v>
      </c>
      <c r="B33" s="5" t="s">
        <v>393</v>
      </c>
      <c r="C33" s="6"/>
      <c r="D33" s="6"/>
      <c r="E33" s="6"/>
      <c r="F33" s="6"/>
    </row>
    <row r="34" spans="1:6">
      <c r="A34" s="5">
        <v>140</v>
      </c>
      <c r="B34" s="5" t="s">
        <v>216</v>
      </c>
      <c r="C34" s="6"/>
      <c r="D34" s="6"/>
      <c r="E34" s="6"/>
      <c r="F34" s="6"/>
    </row>
    <row r="35" spans="1:6">
      <c r="A35" s="5">
        <v>1401</v>
      </c>
      <c r="B35" s="5" t="s">
        <v>216</v>
      </c>
      <c r="C35" s="6"/>
      <c r="D35" s="6"/>
      <c r="E35" s="6"/>
      <c r="F35" s="6"/>
    </row>
    <row r="36" spans="1:6">
      <c r="A36" s="5">
        <v>141</v>
      </c>
      <c r="B36" s="5" t="s">
        <v>1416</v>
      </c>
      <c r="C36" s="6"/>
      <c r="D36" s="6"/>
      <c r="E36" s="6"/>
      <c r="F36" s="6"/>
    </row>
    <row r="37" spans="1:6">
      <c r="A37" s="5">
        <v>1410</v>
      </c>
      <c r="B37" s="5" t="s">
        <v>395</v>
      </c>
      <c r="C37" s="6"/>
      <c r="D37" s="6"/>
      <c r="E37" s="6"/>
      <c r="F37" s="6"/>
    </row>
    <row r="38" spans="1:6">
      <c r="A38" s="23">
        <v>18</v>
      </c>
      <c r="B38" s="23" t="s">
        <v>56</v>
      </c>
    </row>
    <row r="39" spans="1:6">
      <c r="A39" s="23">
        <v>184</v>
      </c>
      <c r="B39" s="23" t="s">
        <v>57</v>
      </c>
    </row>
    <row r="40" spans="1:6">
      <c r="A40" s="23">
        <v>1842</v>
      </c>
      <c r="B40" s="23" t="s">
        <v>57</v>
      </c>
    </row>
    <row r="41" spans="1:6">
      <c r="A41" s="5">
        <v>185</v>
      </c>
      <c r="B41" s="5" t="s">
        <v>96</v>
      </c>
      <c r="C41" s="6"/>
      <c r="D41" s="6"/>
      <c r="E41" s="6"/>
      <c r="F41" s="6"/>
    </row>
    <row r="42" spans="1:6">
      <c r="A42" s="5">
        <v>1850</v>
      </c>
      <c r="B42" s="5" t="s">
        <v>96</v>
      </c>
      <c r="C42" s="6"/>
      <c r="D42" s="6"/>
      <c r="E42" s="6"/>
      <c r="F42" s="6"/>
    </row>
    <row r="43" spans="1:6">
      <c r="A43" s="5">
        <v>186</v>
      </c>
      <c r="B43" s="5" t="s">
        <v>97</v>
      </c>
      <c r="C43" s="6"/>
      <c r="D43" s="6"/>
      <c r="E43" s="6"/>
      <c r="F43" s="6"/>
    </row>
    <row r="44" spans="1:6">
      <c r="A44" s="5">
        <v>1860</v>
      </c>
      <c r="B44" s="5" t="s">
        <v>97</v>
      </c>
      <c r="C44" s="6"/>
      <c r="D44" s="6"/>
      <c r="E44" s="6"/>
      <c r="F44" s="6"/>
    </row>
    <row r="45" spans="1:6">
      <c r="A45" s="5">
        <v>187</v>
      </c>
      <c r="B45" s="5" t="s">
        <v>394</v>
      </c>
      <c r="C45" s="6"/>
      <c r="D45" s="6"/>
      <c r="E45" s="6"/>
      <c r="F45" s="6"/>
    </row>
    <row r="46" spans="1:6">
      <c r="A46" s="5">
        <v>1870</v>
      </c>
      <c r="B46" s="5" t="s">
        <v>394</v>
      </c>
      <c r="C46" s="6"/>
      <c r="D46" s="6"/>
      <c r="E46" s="6"/>
      <c r="F46" s="6"/>
    </row>
    <row r="47" spans="1:6">
      <c r="A47" s="5">
        <v>188</v>
      </c>
      <c r="B47" s="5" t="s">
        <v>26</v>
      </c>
      <c r="C47" s="6"/>
      <c r="D47" s="6"/>
      <c r="E47" s="6"/>
      <c r="F47" s="6"/>
    </row>
    <row r="48" spans="1:6">
      <c r="A48" s="5">
        <v>1880</v>
      </c>
      <c r="B48" s="5" t="s">
        <v>26</v>
      </c>
      <c r="C48" s="6"/>
      <c r="D48" s="6"/>
      <c r="E48" s="6"/>
      <c r="F48" s="6"/>
    </row>
    <row r="49" spans="1:2">
      <c r="A49" s="23">
        <v>19</v>
      </c>
      <c r="B49" s="23" t="s">
        <v>4</v>
      </c>
    </row>
    <row r="50" spans="1:2">
      <c r="A50" s="23">
        <v>190</v>
      </c>
      <c r="B50" s="23" t="s">
        <v>5</v>
      </c>
    </row>
    <row r="51" spans="1:2">
      <c r="A51" s="23">
        <v>1900</v>
      </c>
      <c r="B51" s="23" t="s">
        <v>499</v>
      </c>
    </row>
    <row r="52" spans="1:2">
      <c r="A52" s="23">
        <v>1901</v>
      </c>
      <c r="B52" s="23" t="s">
        <v>233</v>
      </c>
    </row>
    <row r="53" spans="1:2">
      <c r="A53" s="23">
        <v>1902</v>
      </c>
      <c r="B53" s="42" t="s">
        <v>124</v>
      </c>
    </row>
    <row r="54" spans="1:2">
      <c r="A54" s="23">
        <v>1903</v>
      </c>
      <c r="B54" s="23" t="s">
        <v>107</v>
      </c>
    </row>
    <row r="55" spans="1:2">
      <c r="A55" s="23">
        <v>1904</v>
      </c>
      <c r="B55" s="23" t="s">
        <v>130</v>
      </c>
    </row>
    <row r="56" spans="1:2">
      <c r="A56" s="23">
        <v>1905</v>
      </c>
      <c r="B56" s="23" t="s">
        <v>401</v>
      </c>
    </row>
    <row r="57" spans="1:2">
      <c r="A57" s="23">
        <v>1906</v>
      </c>
      <c r="B57" s="23" t="s">
        <v>108</v>
      </c>
    </row>
    <row r="58" spans="1:2">
      <c r="A58" s="23">
        <v>1907</v>
      </c>
      <c r="B58" s="23" t="s">
        <v>109</v>
      </c>
    </row>
    <row r="59" spans="1:2">
      <c r="A59" s="23">
        <v>1908</v>
      </c>
      <c r="B59" s="23" t="s">
        <v>110</v>
      </c>
    </row>
    <row r="60" spans="1:2">
      <c r="A60" s="23">
        <v>1909</v>
      </c>
      <c r="B60" s="23" t="s">
        <v>111</v>
      </c>
    </row>
    <row r="61" spans="1:2">
      <c r="A61" s="23">
        <v>191</v>
      </c>
      <c r="B61" s="23" t="s">
        <v>6</v>
      </c>
    </row>
    <row r="62" spans="1:2">
      <c r="A62" s="23">
        <v>1910</v>
      </c>
      <c r="B62" s="23" t="s">
        <v>6</v>
      </c>
    </row>
    <row r="63" spans="1:2">
      <c r="A63" s="23">
        <v>193</v>
      </c>
      <c r="B63" s="23" t="s">
        <v>58</v>
      </c>
    </row>
    <row r="64" spans="1:2">
      <c r="A64" s="23">
        <v>1932</v>
      </c>
      <c r="B64" s="23" t="s">
        <v>58</v>
      </c>
    </row>
    <row r="65" spans="1:9">
      <c r="A65" s="23">
        <v>195</v>
      </c>
      <c r="B65" s="23" t="s">
        <v>59</v>
      </c>
    </row>
    <row r="66" spans="1:9">
      <c r="A66" s="23">
        <v>1952</v>
      </c>
      <c r="B66" s="23" t="s">
        <v>59</v>
      </c>
    </row>
    <row r="67" spans="1:9" ht="15.75">
      <c r="A67" s="23">
        <v>26</v>
      </c>
      <c r="B67" s="52" t="s">
        <v>7</v>
      </c>
    </row>
    <row r="68" spans="1:9">
      <c r="A68" s="23">
        <v>261</v>
      </c>
      <c r="B68" s="23" t="s">
        <v>41</v>
      </c>
    </row>
    <row r="69" spans="1:9">
      <c r="A69" s="23">
        <v>2616</v>
      </c>
      <c r="B69" s="23" t="s">
        <v>60</v>
      </c>
    </row>
    <row r="70" spans="1:9">
      <c r="A70" s="23">
        <v>2617</v>
      </c>
      <c r="B70" s="23" t="s">
        <v>61</v>
      </c>
    </row>
    <row r="71" spans="1:9">
      <c r="A71" s="23">
        <v>262</v>
      </c>
      <c r="B71" s="23" t="s">
        <v>114</v>
      </c>
    </row>
    <row r="72" spans="1:9">
      <c r="A72" s="23">
        <v>2620</v>
      </c>
      <c r="B72" s="23" t="s">
        <v>114</v>
      </c>
      <c r="I72" s="6" t="s">
        <v>1412</v>
      </c>
    </row>
    <row r="73" spans="1:9">
      <c r="A73" s="23">
        <v>263</v>
      </c>
      <c r="B73" s="23" t="s">
        <v>398</v>
      </c>
    </row>
    <row r="74" spans="1:9">
      <c r="A74" s="23">
        <v>2630</v>
      </c>
      <c r="B74" s="23" t="s">
        <v>398</v>
      </c>
    </row>
    <row r="75" spans="1:9">
      <c r="A75" s="23">
        <v>264</v>
      </c>
      <c r="B75" s="23" t="s">
        <v>26</v>
      </c>
    </row>
    <row r="76" spans="1:9">
      <c r="A76" s="23">
        <v>2640</v>
      </c>
      <c r="B76" s="23" t="s">
        <v>26</v>
      </c>
    </row>
    <row r="77" spans="1:9">
      <c r="A77" s="23">
        <v>265</v>
      </c>
      <c r="B77" s="23" t="s">
        <v>8</v>
      </c>
    </row>
    <row r="78" spans="1:9">
      <c r="A78" s="23">
        <v>2652</v>
      </c>
      <c r="B78" s="23" t="s">
        <v>8</v>
      </c>
    </row>
    <row r="79" spans="1:9">
      <c r="A79" s="23">
        <v>2657</v>
      </c>
      <c r="B79" s="23" t="s">
        <v>63</v>
      </c>
    </row>
    <row r="80" spans="1:9">
      <c r="A80" s="23">
        <v>2658</v>
      </c>
      <c r="B80" s="23" t="s">
        <v>27</v>
      </c>
    </row>
    <row r="81" spans="1:2">
      <c r="A81" s="23">
        <v>266</v>
      </c>
      <c r="B81" s="23" t="s">
        <v>155</v>
      </c>
    </row>
    <row r="82" spans="1:2">
      <c r="A82" s="23">
        <v>2660</v>
      </c>
      <c r="B82" s="23" t="s">
        <v>155</v>
      </c>
    </row>
    <row r="83" spans="1:2" ht="15.75">
      <c r="A83" s="23">
        <v>268</v>
      </c>
      <c r="B83" s="52" t="s">
        <v>9</v>
      </c>
    </row>
    <row r="84" spans="1:2">
      <c r="A84" s="23">
        <v>2680</v>
      </c>
      <c r="B84" s="23" t="s">
        <v>118</v>
      </c>
    </row>
    <row r="85" spans="1:2">
      <c r="A85" s="23">
        <v>2681</v>
      </c>
      <c r="B85" s="23" t="s">
        <v>62</v>
      </c>
    </row>
    <row r="86" spans="1:2">
      <c r="A86" s="23">
        <v>2682</v>
      </c>
      <c r="B86" s="23" t="s">
        <v>202</v>
      </c>
    </row>
    <row r="87" spans="1:2">
      <c r="A87" s="23">
        <v>2683</v>
      </c>
      <c r="B87" s="23" t="s">
        <v>400</v>
      </c>
    </row>
    <row r="88" spans="1:2">
      <c r="A88" s="23">
        <v>2684</v>
      </c>
      <c r="B88" s="23" t="s">
        <v>144</v>
      </c>
    </row>
    <row r="89" spans="1:2">
      <c r="A89" s="23">
        <v>2685</v>
      </c>
      <c r="B89" s="23" t="s">
        <v>28</v>
      </c>
    </row>
    <row r="90" spans="1:2">
      <c r="A90" s="23">
        <v>2686</v>
      </c>
      <c r="B90" s="23" t="s">
        <v>26</v>
      </c>
    </row>
    <row r="91" spans="1:2">
      <c r="A91" s="23">
        <v>2687</v>
      </c>
      <c r="B91" s="23" t="s">
        <v>63</v>
      </c>
    </row>
    <row r="92" spans="1:2">
      <c r="A92" s="23">
        <v>2688</v>
      </c>
      <c r="B92" s="23" t="s">
        <v>534</v>
      </c>
    </row>
    <row r="93" spans="1:2">
      <c r="A93" s="23">
        <v>2689</v>
      </c>
      <c r="B93" s="5" t="s">
        <v>1412</v>
      </c>
    </row>
    <row r="94" spans="1:2">
      <c r="A94" s="23">
        <v>26890</v>
      </c>
      <c r="B94" s="5" t="s">
        <v>396</v>
      </c>
    </row>
    <row r="95" spans="1:2">
      <c r="A95" s="23">
        <v>26891</v>
      </c>
      <c r="B95" s="5" t="s">
        <v>397</v>
      </c>
    </row>
    <row r="96" spans="1:2" ht="15.75">
      <c r="A96" s="23">
        <v>30</v>
      </c>
      <c r="B96" s="52" t="s">
        <v>10</v>
      </c>
    </row>
    <row r="97" spans="1:6">
      <c r="A97" s="23">
        <v>301</v>
      </c>
      <c r="B97" s="23" t="s">
        <v>1413</v>
      </c>
    </row>
    <row r="98" spans="1:6">
      <c r="A98" s="23">
        <v>3010</v>
      </c>
      <c r="B98" s="23" t="s">
        <v>1413</v>
      </c>
    </row>
    <row r="99" spans="1:6">
      <c r="A99" s="23">
        <v>302</v>
      </c>
      <c r="B99" s="23" t="s">
        <v>26</v>
      </c>
    </row>
    <row r="100" spans="1:6">
      <c r="A100" s="23">
        <v>3021</v>
      </c>
      <c r="B100" s="23" t="s">
        <v>26</v>
      </c>
    </row>
    <row r="101" spans="1:6">
      <c r="A101" s="23">
        <v>303</v>
      </c>
      <c r="B101" s="23" t="s">
        <v>144</v>
      </c>
    </row>
    <row r="102" spans="1:6">
      <c r="A102" s="23">
        <v>3031</v>
      </c>
      <c r="B102" s="23" t="s">
        <v>144</v>
      </c>
    </row>
    <row r="103" spans="1:6">
      <c r="A103" s="23">
        <v>306</v>
      </c>
      <c r="B103" s="23" t="s">
        <v>402</v>
      </c>
    </row>
    <row r="104" spans="1:6">
      <c r="A104" s="23">
        <v>3063</v>
      </c>
      <c r="B104" s="23" t="s">
        <v>402</v>
      </c>
    </row>
    <row r="105" spans="1:6">
      <c r="A105" s="23">
        <v>307</v>
      </c>
      <c r="B105" s="23" t="s">
        <v>436</v>
      </c>
    </row>
    <row r="106" spans="1:6">
      <c r="A106" s="23">
        <v>3070</v>
      </c>
      <c r="B106" s="23" t="s">
        <v>436</v>
      </c>
    </row>
    <row r="107" spans="1:6" ht="15.75">
      <c r="A107" s="23">
        <v>34</v>
      </c>
      <c r="B107" s="52" t="s">
        <v>65</v>
      </c>
    </row>
    <row r="108" spans="1:6">
      <c r="A108" s="23">
        <v>342</v>
      </c>
      <c r="B108" s="23" t="s">
        <v>64</v>
      </c>
    </row>
    <row r="109" spans="1:6">
      <c r="A109" s="23">
        <v>3423</v>
      </c>
      <c r="B109" s="23" t="s">
        <v>64</v>
      </c>
    </row>
    <row r="110" spans="1:6">
      <c r="A110" s="5">
        <v>343</v>
      </c>
      <c r="B110" s="5" t="s">
        <v>119</v>
      </c>
      <c r="C110" s="6"/>
      <c r="D110" s="6"/>
      <c r="E110" s="6"/>
      <c r="F110" s="6"/>
    </row>
    <row r="111" spans="1:6">
      <c r="A111" s="5">
        <v>3430</v>
      </c>
      <c r="B111" s="5" t="s">
        <v>119</v>
      </c>
      <c r="C111" s="6"/>
      <c r="D111" s="6"/>
      <c r="E111" s="6"/>
      <c r="F111" s="6"/>
    </row>
    <row r="112" spans="1:6" ht="15.75">
      <c r="A112" s="23">
        <v>37</v>
      </c>
      <c r="B112" s="52" t="s">
        <v>43</v>
      </c>
    </row>
    <row r="113" spans="1:2">
      <c r="A113" s="23">
        <v>372</v>
      </c>
      <c r="B113" s="23" t="s">
        <v>44</v>
      </c>
    </row>
    <row r="114" spans="1:2">
      <c r="A114" s="23">
        <v>3721</v>
      </c>
      <c r="B114" s="23" t="s">
        <v>44</v>
      </c>
    </row>
    <row r="115" spans="1:2">
      <c r="A115" s="23">
        <v>3722</v>
      </c>
      <c r="B115" s="23" t="s">
        <v>403</v>
      </c>
    </row>
    <row r="116" spans="1:2">
      <c r="A116" s="23">
        <v>3723</v>
      </c>
      <c r="B116" s="23" t="s">
        <v>404</v>
      </c>
    </row>
    <row r="117" spans="1:2">
      <c r="A117" s="23">
        <v>374</v>
      </c>
      <c r="B117" s="23" t="s">
        <v>66</v>
      </c>
    </row>
    <row r="118" spans="1:2">
      <c r="A118" s="23">
        <v>3740</v>
      </c>
      <c r="B118" s="23" t="s">
        <v>67</v>
      </c>
    </row>
    <row r="119" spans="1:2">
      <c r="A119" s="23">
        <v>3743</v>
      </c>
      <c r="B119" s="23" t="s">
        <v>66</v>
      </c>
    </row>
    <row r="120" spans="1:2">
      <c r="A120" s="23">
        <v>376</v>
      </c>
      <c r="B120" s="23" t="s">
        <v>68</v>
      </c>
    </row>
    <row r="121" spans="1:2">
      <c r="A121" s="23">
        <v>3763</v>
      </c>
      <c r="B121" s="23" t="s">
        <v>68</v>
      </c>
    </row>
    <row r="122" spans="1:2">
      <c r="A122" s="23">
        <v>377</v>
      </c>
      <c r="B122" s="23" t="s">
        <v>80</v>
      </c>
    </row>
    <row r="123" spans="1:2">
      <c r="A123" s="23">
        <v>3773</v>
      </c>
      <c r="B123" s="23" t="s">
        <v>81</v>
      </c>
    </row>
    <row r="124" spans="1:2">
      <c r="A124" s="23">
        <v>378</v>
      </c>
      <c r="B124" s="23" t="s">
        <v>136</v>
      </c>
    </row>
    <row r="125" spans="1:2">
      <c r="A125" s="23">
        <v>3783</v>
      </c>
      <c r="B125" s="23" t="s">
        <v>82</v>
      </c>
    </row>
    <row r="126" spans="1:2" ht="15.75">
      <c r="A126" s="23">
        <v>420</v>
      </c>
      <c r="B126" s="52" t="s">
        <v>83</v>
      </c>
    </row>
    <row r="127" spans="1:2">
      <c r="A127" s="23">
        <v>4200</v>
      </c>
      <c r="B127" s="23" t="s">
        <v>83</v>
      </c>
    </row>
    <row r="128" spans="1:2">
      <c r="A128" s="23">
        <v>4223</v>
      </c>
      <c r="B128" s="23" t="s">
        <v>143</v>
      </c>
    </row>
    <row r="129" spans="1:2">
      <c r="A129" s="23">
        <v>423</v>
      </c>
      <c r="B129" s="23" t="s">
        <v>84</v>
      </c>
    </row>
    <row r="130" spans="1:2">
      <c r="A130" s="23">
        <v>4230</v>
      </c>
      <c r="B130" s="23" t="s">
        <v>84</v>
      </c>
    </row>
    <row r="131" spans="1:2">
      <c r="A131" s="23">
        <v>4231</v>
      </c>
      <c r="B131" s="23" t="s">
        <v>236</v>
      </c>
    </row>
    <row r="132" spans="1:2" ht="15.75">
      <c r="A132" s="23">
        <v>47</v>
      </c>
      <c r="B132" s="52" t="s">
        <v>69</v>
      </c>
    </row>
    <row r="133" spans="1:2">
      <c r="A133" s="23">
        <v>472</v>
      </c>
      <c r="B133" s="23" t="s">
        <v>69</v>
      </c>
    </row>
    <row r="134" spans="1:2">
      <c r="A134" s="23">
        <v>4720</v>
      </c>
      <c r="B134" s="23" t="s">
        <v>93</v>
      </c>
    </row>
    <row r="135" spans="1:2">
      <c r="A135" s="23">
        <v>4721</v>
      </c>
      <c r="B135" s="23" t="s">
        <v>89</v>
      </c>
    </row>
    <row r="136" spans="1:2">
      <c r="A136" s="23">
        <v>4722</v>
      </c>
      <c r="B136" s="23" t="s">
        <v>329</v>
      </c>
    </row>
    <row r="137" spans="1:2">
      <c r="A137" s="23">
        <v>4723</v>
      </c>
      <c r="B137" s="23" t="s">
        <v>72</v>
      </c>
    </row>
    <row r="138" spans="1:2">
      <c r="A138" s="23">
        <v>4724</v>
      </c>
      <c r="B138" s="23" t="s">
        <v>70</v>
      </c>
    </row>
    <row r="139" spans="1:2">
      <c r="A139" s="23">
        <v>4725</v>
      </c>
      <c r="B139" s="23" t="s">
        <v>71</v>
      </c>
    </row>
    <row r="140" spans="1:2">
      <c r="A140" s="23">
        <v>4726</v>
      </c>
      <c r="B140" s="23" t="s">
        <v>72</v>
      </c>
    </row>
    <row r="141" spans="1:2">
      <c r="A141" s="23">
        <v>4727</v>
      </c>
      <c r="B141" s="23" t="s">
        <v>23</v>
      </c>
    </row>
    <row r="142" spans="1:2">
      <c r="A142" s="23">
        <v>4728</v>
      </c>
      <c r="B142" s="23" t="s">
        <v>73</v>
      </c>
    </row>
    <row r="143" spans="1:2">
      <c r="A143" s="23">
        <v>4729</v>
      </c>
      <c r="B143" s="23" t="s">
        <v>74</v>
      </c>
    </row>
    <row r="144" spans="1:2" ht="15.75">
      <c r="A144" s="41">
        <v>473</v>
      </c>
      <c r="B144" s="41" t="s">
        <v>105</v>
      </c>
    </row>
    <row r="145" spans="1:6">
      <c r="A145" s="23">
        <v>4730</v>
      </c>
      <c r="B145" s="23" t="s">
        <v>93</v>
      </c>
    </row>
    <row r="146" spans="1:6">
      <c r="A146" s="23">
        <v>4731</v>
      </c>
      <c r="B146" s="7" t="s">
        <v>88</v>
      </c>
    </row>
    <row r="147" spans="1:6">
      <c r="A147" s="23">
        <v>4732</v>
      </c>
      <c r="B147" s="23" t="s">
        <v>89</v>
      </c>
    </row>
    <row r="148" spans="1:6">
      <c r="A148" s="23">
        <v>4733</v>
      </c>
      <c r="B148" s="23" t="s">
        <v>106</v>
      </c>
    </row>
    <row r="149" spans="1:6">
      <c r="A149" s="23">
        <v>4734</v>
      </c>
      <c r="B149" s="7" t="s">
        <v>94</v>
      </c>
    </row>
    <row r="150" spans="1:6">
      <c r="A150" s="23">
        <v>4735</v>
      </c>
      <c r="B150" s="23" t="s">
        <v>90</v>
      </c>
    </row>
    <row r="151" spans="1:6">
      <c r="A151" s="23">
        <v>4738</v>
      </c>
      <c r="B151" s="23" t="s">
        <v>23</v>
      </c>
    </row>
    <row r="152" spans="1:6">
      <c r="A152" s="23">
        <v>4739</v>
      </c>
      <c r="B152" s="5" t="s">
        <v>86</v>
      </c>
    </row>
    <row r="153" spans="1:6">
      <c r="A153" s="23">
        <v>70</v>
      </c>
      <c r="B153" s="23" t="s">
        <v>14</v>
      </c>
    </row>
    <row r="154" spans="1:6" ht="15.75">
      <c r="A154" s="41">
        <v>700</v>
      </c>
      <c r="B154" s="41" t="s">
        <v>234</v>
      </c>
    </row>
    <row r="155" spans="1:6">
      <c r="A155" s="5">
        <v>7000</v>
      </c>
      <c r="B155" s="23" t="s">
        <v>128</v>
      </c>
      <c r="C155" s="6"/>
      <c r="D155" s="6"/>
      <c r="E155" s="6"/>
      <c r="F155" s="6"/>
    </row>
    <row r="156" spans="1:6">
      <c r="A156" s="5">
        <v>7001</v>
      </c>
      <c r="B156" s="7" t="s">
        <v>127</v>
      </c>
      <c r="C156" s="6"/>
      <c r="D156" s="6"/>
      <c r="E156" s="6"/>
      <c r="F156" s="6"/>
    </row>
    <row r="157" spans="1:6">
      <c r="A157" s="5">
        <v>7002</v>
      </c>
      <c r="B157" s="7" t="s">
        <v>133</v>
      </c>
      <c r="C157" s="6"/>
      <c r="D157" s="6"/>
      <c r="E157" s="6"/>
      <c r="F157" s="6"/>
    </row>
    <row r="158" spans="1:6">
      <c r="A158" s="5">
        <v>7003</v>
      </c>
      <c r="B158" s="23" t="s">
        <v>329</v>
      </c>
      <c r="C158" s="6"/>
      <c r="D158" s="6"/>
      <c r="E158" s="6"/>
      <c r="F158" s="6"/>
    </row>
    <row r="159" spans="1:6">
      <c r="A159" s="5">
        <v>7004</v>
      </c>
      <c r="B159" s="23" t="s">
        <v>409</v>
      </c>
      <c r="C159" s="6"/>
      <c r="D159" s="6"/>
      <c r="E159" s="6"/>
      <c r="F159" s="6"/>
    </row>
    <row r="160" spans="1:6">
      <c r="A160" s="5">
        <v>7005</v>
      </c>
      <c r="B160" s="23" t="s">
        <v>23</v>
      </c>
      <c r="C160" s="6"/>
      <c r="D160" s="6"/>
      <c r="E160" s="6"/>
      <c r="F160" s="6"/>
    </row>
    <row r="161" spans="1:6">
      <c r="A161" s="5">
        <v>7006</v>
      </c>
      <c r="B161" s="7" t="s">
        <v>218</v>
      </c>
      <c r="C161" s="6"/>
      <c r="D161" s="6"/>
      <c r="E161" s="6"/>
      <c r="F161" s="6"/>
    </row>
    <row r="162" spans="1:6">
      <c r="A162" s="5">
        <v>7007</v>
      </c>
      <c r="B162" s="7" t="s">
        <v>71</v>
      </c>
      <c r="C162" s="6"/>
      <c r="D162" s="6"/>
      <c r="E162" s="6"/>
      <c r="F162" s="6"/>
    </row>
    <row r="163" spans="1:6">
      <c r="A163" s="5">
        <v>7008</v>
      </c>
      <c r="B163" s="7" t="s">
        <v>217</v>
      </c>
      <c r="C163" s="6"/>
      <c r="D163" s="6"/>
      <c r="E163" s="6"/>
      <c r="F163" s="6"/>
    </row>
    <row r="164" spans="1:6">
      <c r="A164" s="5">
        <v>7009</v>
      </c>
      <c r="B164" s="5" t="s">
        <v>86</v>
      </c>
      <c r="C164" s="6"/>
      <c r="D164" s="6"/>
      <c r="E164" s="6"/>
      <c r="F164" s="6"/>
    </row>
    <row r="165" spans="1:6" ht="15.75">
      <c r="A165" s="41">
        <v>702</v>
      </c>
      <c r="B165" s="41" t="s">
        <v>39</v>
      </c>
    </row>
    <row r="166" spans="1:6">
      <c r="A166" s="23">
        <v>7020</v>
      </c>
      <c r="B166" s="23" t="s">
        <v>128</v>
      </c>
    </row>
    <row r="167" spans="1:6">
      <c r="A167" s="23">
        <v>7021</v>
      </c>
      <c r="B167" s="23" t="s">
        <v>408</v>
      </c>
    </row>
    <row r="168" spans="1:6">
      <c r="A168" s="23">
        <v>7022</v>
      </c>
      <c r="B168" s="23" t="s">
        <v>405</v>
      </c>
    </row>
    <row r="169" spans="1:6">
      <c r="A169" s="23">
        <v>7023</v>
      </c>
      <c r="B169" s="23" t="s">
        <v>559</v>
      </c>
    </row>
    <row r="170" spans="1:6">
      <c r="A170" s="23">
        <v>7024</v>
      </c>
      <c r="B170" s="23" t="s">
        <v>133</v>
      </c>
    </row>
    <row r="171" spans="1:6">
      <c r="A171" s="23">
        <v>7025</v>
      </c>
      <c r="B171" s="7" t="s">
        <v>71</v>
      </c>
    </row>
    <row r="172" spans="1:6">
      <c r="A172" s="23">
        <v>7026</v>
      </c>
      <c r="B172" s="7" t="s">
        <v>201</v>
      </c>
    </row>
    <row r="173" spans="1:6">
      <c r="A173" s="5">
        <v>7028</v>
      </c>
      <c r="B173" s="7" t="s">
        <v>160</v>
      </c>
      <c r="C173" s="6"/>
      <c r="D173" s="6"/>
      <c r="E173" s="6"/>
      <c r="F173" s="6"/>
    </row>
    <row r="174" spans="1:6">
      <c r="A174" s="23">
        <v>7029</v>
      </c>
      <c r="B174" s="5" t="s">
        <v>86</v>
      </c>
    </row>
    <row r="175" spans="1:6" ht="15.75">
      <c r="A175" s="41">
        <v>705</v>
      </c>
      <c r="B175" s="41" t="s">
        <v>75</v>
      </c>
      <c r="C175" s="6"/>
      <c r="D175" s="6"/>
      <c r="E175" s="6"/>
      <c r="F175" s="6"/>
    </row>
    <row r="176" spans="1:6">
      <c r="A176" s="5">
        <v>7050</v>
      </c>
      <c r="B176" s="23" t="s">
        <v>128</v>
      </c>
      <c r="C176" s="6"/>
      <c r="D176" s="6"/>
      <c r="E176" s="6"/>
      <c r="F176" s="6"/>
    </row>
    <row r="177" spans="1:6">
      <c r="A177" s="5">
        <v>7051</v>
      </c>
      <c r="B177" s="7" t="s">
        <v>138</v>
      </c>
      <c r="D177" s="6"/>
      <c r="E177" s="6"/>
      <c r="F177" s="6"/>
    </row>
    <row r="178" spans="1:6">
      <c r="A178" s="5">
        <v>7052</v>
      </c>
      <c r="B178" s="23" t="s">
        <v>23</v>
      </c>
      <c r="C178" s="6"/>
      <c r="D178" s="6"/>
      <c r="E178" s="6"/>
      <c r="F178" s="6"/>
    </row>
    <row r="179" spans="1:6">
      <c r="A179" s="5">
        <v>7053</v>
      </c>
      <c r="B179" s="23" t="s">
        <v>1028</v>
      </c>
      <c r="C179" s="6"/>
      <c r="D179" s="6"/>
      <c r="E179" s="6"/>
      <c r="F179" s="6"/>
    </row>
    <row r="180" spans="1:6">
      <c r="A180" s="5">
        <v>7054</v>
      </c>
      <c r="B180" s="23" t="s">
        <v>87</v>
      </c>
      <c r="C180" s="6"/>
      <c r="D180" s="6"/>
      <c r="E180" s="6"/>
      <c r="F180" s="6"/>
    </row>
    <row r="181" spans="1:6">
      <c r="A181" s="5">
        <v>7055</v>
      </c>
      <c r="B181" s="7" t="s">
        <v>129</v>
      </c>
      <c r="C181" s="6"/>
      <c r="D181" s="6"/>
      <c r="E181" s="6"/>
      <c r="F181" s="6"/>
    </row>
    <row r="182" spans="1:6">
      <c r="A182" s="5">
        <v>7056</v>
      </c>
      <c r="B182" s="7" t="s">
        <v>218</v>
      </c>
      <c r="C182" s="6"/>
      <c r="D182" s="6"/>
      <c r="E182" s="6"/>
      <c r="F182" s="6"/>
    </row>
    <row r="183" spans="1:6">
      <c r="A183" s="5">
        <v>7057</v>
      </c>
      <c r="B183" s="7" t="s">
        <v>71</v>
      </c>
      <c r="C183" s="6"/>
      <c r="D183" s="6"/>
      <c r="E183" s="6"/>
      <c r="F183" s="6"/>
    </row>
    <row r="184" spans="1:6">
      <c r="A184" s="5">
        <v>7058</v>
      </c>
      <c r="B184" s="23" t="s">
        <v>86</v>
      </c>
      <c r="C184" s="6"/>
      <c r="D184" s="6"/>
      <c r="E184" s="6"/>
      <c r="F184" s="6"/>
    </row>
    <row r="185" spans="1:6">
      <c r="A185" s="5">
        <v>7059</v>
      </c>
      <c r="B185" s="7" t="s">
        <v>132</v>
      </c>
      <c r="C185" s="6"/>
      <c r="D185" s="6"/>
      <c r="E185" s="6"/>
      <c r="F185" s="6"/>
    </row>
    <row r="186" spans="1:6" ht="15.75">
      <c r="A186" s="41">
        <v>750</v>
      </c>
      <c r="B186" s="41" t="s">
        <v>13</v>
      </c>
    </row>
    <row r="187" spans="1:6">
      <c r="A187" s="23">
        <v>7500</v>
      </c>
      <c r="B187" s="7" t="s">
        <v>219</v>
      </c>
    </row>
    <row r="188" spans="1:6">
      <c r="A188" s="23">
        <v>7501</v>
      </c>
      <c r="B188" s="23" t="s">
        <v>87</v>
      </c>
    </row>
    <row r="189" spans="1:6">
      <c r="A189" s="23">
        <v>7502</v>
      </c>
      <c r="B189" s="7" t="s">
        <v>137</v>
      </c>
    </row>
    <row r="190" spans="1:6">
      <c r="A190" s="5">
        <v>7503</v>
      </c>
      <c r="B190" s="7" t="s">
        <v>139</v>
      </c>
      <c r="C190" s="6"/>
      <c r="D190" s="6"/>
      <c r="E190" s="6"/>
      <c r="F190" s="6"/>
    </row>
    <row r="191" spans="1:6">
      <c r="A191" s="23">
        <v>7504</v>
      </c>
      <c r="B191" s="23" t="s">
        <v>406</v>
      </c>
    </row>
    <row r="192" spans="1:6">
      <c r="A192" s="5">
        <v>7505</v>
      </c>
      <c r="B192" s="23" t="s">
        <v>133</v>
      </c>
      <c r="D192" s="6"/>
      <c r="E192" s="6"/>
      <c r="F192" s="6"/>
    </row>
    <row r="193" spans="1:6">
      <c r="A193" s="5">
        <v>7506</v>
      </c>
      <c r="B193" s="7" t="s">
        <v>120</v>
      </c>
      <c r="D193" s="6"/>
      <c r="E193" s="6"/>
      <c r="F193" s="6"/>
    </row>
    <row r="194" spans="1:6">
      <c r="A194" s="5">
        <v>7507</v>
      </c>
      <c r="B194" s="23" t="s">
        <v>23</v>
      </c>
      <c r="D194" s="6"/>
      <c r="E194" s="6"/>
      <c r="F194" s="6"/>
    </row>
    <row r="195" spans="1:6">
      <c r="A195" s="5">
        <v>7508</v>
      </c>
      <c r="B195" s="7" t="s">
        <v>86</v>
      </c>
      <c r="C195" s="6"/>
      <c r="D195" s="6"/>
      <c r="E195" s="6"/>
      <c r="F195" s="6"/>
    </row>
    <row r="196" spans="1:6" ht="15.75">
      <c r="A196" s="41">
        <v>79</v>
      </c>
      <c r="B196" s="20" t="s">
        <v>42</v>
      </c>
    </row>
    <row r="197" spans="1:6">
      <c r="A197" s="23">
        <v>790</v>
      </c>
      <c r="B197" s="23" t="s">
        <v>29</v>
      </c>
    </row>
    <row r="198" spans="1:6">
      <c r="A198" s="23">
        <v>7900</v>
      </c>
      <c r="B198" s="23" t="s">
        <v>30</v>
      </c>
    </row>
    <row r="199" spans="1:6">
      <c r="A199" s="23">
        <v>7901</v>
      </c>
      <c r="B199" s="23" t="s">
        <v>31</v>
      </c>
    </row>
    <row r="200" spans="1:6">
      <c r="A200" s="23">
        <v>7902</v>
      </c>
      <c r="B200" s="23" t="s">
        <v>76</v>
      </c>
    </row>
    <row r="201" spans="1:6">
      <c r="A201" s="23">
        <v>7903</v>
      </c>
      <c r="B201" s="23" t="s">
        <v>142</v>
      </c>
    </row>
    <row r="202" spans="1:6">
      <c r="A202" s="23">
        <v>7905</v>
      </c>
      <c r="B202" s="23" t="s">
        <v>140</v>
      </c>
    </row>
    <row r="203" spans="1:6">
      <c r="A203" s="23">
        <v>7915</v>
      </c>
      <c r="B203" s="23" t="s">
        <v>31</v>
      </c>
    </row>
    <row r="204" spans="1:6">
      <c r="A204" s="23">
        <v>7904</v>
      </c>
      <c r="B204" s="23" t="s">
        <v>76</v>
      </c>
    </row>
    <row r="205" spans="1:6">
      <c r="A205" s="23">
        <v>80</v>
      </c>
      <c r="B205" s="23" t="s">
        <v>78</v>
      </c>
    </row>
    <row r="206" spans="1:6">
      <c r="A206" s="23">
        <v>801</v>
      </c>
      <c r="B206" s="23" t="s">
        <v>77</v>
      </c>
    </row>
    <row r="207" spans="1:6">
      <c r="A207" s="23">
        <v>8015</v>
      </c>
      <c r="B207" s="23" t="s">
        <v>799</v>
      </c>
    </row>
    <row r="208" spans="1:6">
      <c r="A208" s="23">
        <v>850</v>
      </c>
      <c r="B208" s="23" t="s">
        <v>92</v>
      </c>
    </row>
    <row r="209" spans="1:2">
      <c r="A209" s="23">
        <v>8501</v>
      </c>
      <c r="B209" s="23" t="s">
        <v>92</v>
      </c>
    </row>
    <row r="210" spans="1:2">
      <c r="A210" s="23">
        <v>94</v>
      </c>
      <c r="B210" s="22" t="s">
        <v>79</v>
      </c>
    </row>
    <row r="211" spans="1:2">
      <c r="A211" s="23">
        <v>9410</v>
      </c>
      <c r="B211" s="22" t="s">
        <v>79</v>
      </c>
    </row>
  </sheetData>
  <phoneticPr fontId="31" type="noConversion"/>
  <pageMargins left="0.75" right="0.75" top="1" bottom="1" header="0.5" footer="0.5"/>
  <pageSetup paperSize="9" scale="21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H28"/>
  <sheetViews>
    <sheetView rightToLeft="1" workbookViewId="0">
      <selection activeCell="A16" sqref="A16"/>
    </sheetView>
  </sheetViews>
  <sheetFormatPr defaultRowHeight="12.75"/>
  <cols>
    <col min="1" max="1" width="15" customWidth="1"/>
  </cols>
  <sheetData>
    <row r="2" spans="1:8" s="309" customFormat="1">
      <c r="A2" s="308" t="s">
        <v>445</v>
      </c>
      <c r="B2" s="308" t="s">
        <v>446</v>
      </c>
      <c r="H2" s="308" t="s">
        <v>462</v>
      </c>
    </row>
    <row r="4" spans="1:8" s="309" customFormat="1">
      <c r="A4" s="308" t="s">
        <v>447</v>
      </c>
      <c r="H4" s="308" t="s">
        <v>462</v>
      </c>
    </row>
    <row r="6" spans="1:8" s="311" customFormat="1">
      <c r="A6" s="310" t="s">
        <v>448</v>
      </c>
      <c r="C6" s="310" t="s">
        <v>449</v>
      </c>
    </row>
    <row r="8" spans="1:8" s="311" customFormat="1">
      <c r="A8" s="310" t="s">
        <v>450</v>
      </c>
    </row>
    <row r="10" spans="1:8" s="311" customFormat="1">
      <c r="A10" s="310" t="s">
        <v>451</v>
      </c>
    </row>
    <row r="12" spans="1:8">
      <c r="A12" s="307" t="s">
        <v>452</v>
      </c>
    </row>
    <row r="14" spans="1:8" s="309" customFormat="1">
      <c r="A14" s="308" t="s">
        <v>453</v>
      </c>
      <c r="H14" s="308" t="s">
        <v>462</v>
      </c>
    </row>
    <row r="16" spans="1:8" s="309" customFormat="1">
      <c r="A16" s="308" t="s">
        <v>454</v>
      </c>
      <c r="H16" s="308" t="s">
        <v>462</v>
      </c>
    </row>
    <row r="19" spans="1:8">
      <c r="A19" s="307" t="s">
        <v>455</v>
      </c>
    </row>
    <row r="21" spans="1:8" s="309" customFormat="1">
      <c r="A21" s="308" t="s">
        <v>456</v>
      </c>
      <c r="H21" s="308" t="s">
        <v>462</v>
      </c>
    </row>
    <row r="22" spans="1:8" s="309" customFormat="1">
      <c r="A22" s="308" t="s">
        <v>457</v>
      </c>
      <c r="H22" s="308" t="s">
        <v>462</v>
      </c>
    </row>
    <row r="23" spans="1:8" s="309" customFormat="1">
      <c r="A23" s="308" t="s">
        <v>458</v>
      </c>
      <c r="H23" s="308" t="s">
        <v>462</v>
      </c>
    </row>
    <row r="26" spans="1:8">
      <c r="A26" s="55" t="s">
        <v>459</v>
      </c>
    </row>
    <row r="27" spans="1:8" s="309" customFormat="1">
      <c r="A27" s="308" t="s">
        <v>460</v>
      </c>
      <c r="H27" s="308" t="s">
        <v>462</v>
      </c>
    </row>
    <row r="28" spans="1:8" s="311" customFormat="1">
      <c r="A28" s="310" t="s">
        <v>461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6"/>
  <sheetViews>
    <sheetView rightToLeft="1" workbookViewId="0">
      <selection activeCell="E17" sqref="E17"/>
    </sheetView>
  </sheetViews>
  <sheetFormatPr defaultRowHeight="12.75"/>
  <cols>
    <col min="1" max="1" width="25.42578125" customWidth="1"/>
    <col min="2" max="2" width="21.42578125" customWidth="1"/>
    <col min="3" max="3" width="23.5703125" customWidth="1"/>
  </cols>
  <sheetData>
    <row r="1" spans="1:4">
      <c r="A1" s="284" t="s">
        <v>177</v>
      </c>
      <c r="B1" s="283" t="s">
        <v>412</v>
      </c>
      <c r="C1" s="283" t="s">
        <v>413</v>
      </c>
    </row>
    <row r="2" spans="1:4">
      <c r="A2">
        <v>430005</v>
      </c>
      <c r="B2" s="40">
        <v>9642.27</v>
      </c>
      <c r="C2" s="40">
        <v>2437.9899999999998</v>
      </c>
    </row>
    <row r="3" spans="1:4">
      <c r="A3">
        <v>430006</v>
      </c>
      <c r="B3" s="40">
        <v>28775.52</v>
      </c>
      <c r="C3" s="40">
        <v>7275.73</v>
      </c>
    </row>
    <row r="4" spans="1:4">
      <c r="A4">
        <v>430007</v>
      </c>
      <c r="B4" s="40">
        <v>23441.73</v>
      </c>
      <c r="C4" s="40">
        <v>5927.11</v>
      </c>
    </row>
    <row r="5" spans="1:4">
      <c r="A5">
        <v>430008</v>
      </c>
      <c r="B5" s="40">
        <v>22415.79</v>
      </c>
      <c r="C5" s="40">
        <v>5667.71</v>
      </c>
    </row>
    <row r="6" spans="1:4">
      <c r="A6">
        <v>430009</v>
      </c>
      <c r="B6" s="40">
        <v>13882.38</v>
      </c>
      <c r="C6" s="40">
        <v>3510.08</v>
      </c>
    </row>
    <row r="7" spans="1:4">
      <c r="A7">
        <v>430010</v>
      </c>
      <c r="B7" s="40">
        <v>15271.25</v>
      </c>
      <c r="C7" s="40">
        <v>3861.25</v>
      </c>
    </row>
    <row r="8" spans="1:4">
      <c r="A8">
        <v>430013</v>
      </c>
      <c r="B8" s="40">
        <v>2607.44</v>
      </c>
      <c r="C8">
        <v>659.28</v>
      </c>
    </row>
    <row r="9" spans="1:4">
      <c r="A9">
        <v>430015</v>
      </c>
      <c r="B9" s="40">
        <v>7219.4</v>
      </c>
      <c r="C9" s="40">
        <v>1846.87</v>
      </c>
    </row>
    <row r="10" spans="1:4">
      <c r="A10">
        <v>430016</v>
      </c>
      <c r="B10" s="40">
        <v>29139.34</v>
      </c>
      <c r="C10" s="40">
        <v>7367.72</v>
      </c>
    </row>
    <row r="11" spans="1:4">
      <c r="A11">
        <v>430021</v>
      </c>
      <c r="B11" s="61">
        <v>1571.2</v>
      </c>
      <c r="C11" s="269">
        <v>401.94</v>
      </c>
    </row>
    <row r="12" spans="1:4">
      <c r="B12" s="281">
        <f>SUM(B2:B11)</f>
        <v>153966.32</v>
      </c>
      <c r="C12" s="281">
        <f>SUM(C2:C11)</f>
        <v>38955.679999999993</v>
      </c>
      <c r="D12">
        <f>B12/C12</f>
        <v>3.952345845329873</v>
      </c>
    </row>
    <row r="14" spans="1:4">
      <c r="A14" s="277" t="s">
        <v>411</v>
      </c>
      <c r="B14" s="281">
        <f>82412+(74603.8-3049.5)</f>
        <v>153966.29999999999</v>
      </c>
      <c r="C14" s="100">
        <f>18337+21120</f>
        <v>39457</v>
      </c>
    </row>
    <row r="15" spans="1:4" ht="15">
      <c r="A15" s="99" t="s">
        <v>407</v>
      </c>
      <c r="C15" s="280">
        <f>C12-C14</f>
        <v>-501.32000000000698</v>
      </c>
    </row>
    <row r="16" spans="1:4">
      <c r="B16" s="40"/>
      <c r="C16" s="282">
        <f>SUM(C14:C15)</f>
        <v>38955.679999999993</v>
      </c>
    </row>
  </sheetData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S44"/>
  <sheetViews>
    <sheetView rightToLeft="1" zoomScale="80" zoomScaleNormal="80" workbookViewId="0">
      <selection activeCell="G32" sqref="G32:H32"/>
    </sheetView>
  </sheetViews>
  <sheetFormatPr defaultColWidth="47.5703125" defaultRowHeight="15.75"/>
  <cols>
    <col min="1" max="1" width="50.5703125" style="102" bestFit="1" customWidth="1"/>
    <col min="2" max="2" width="12.5703125" style="102" bestFit="1" customWidth="1"/>
    <col min="3" max="3" width="13.42578125" style="102" bestFit="1" customWidth="1"/>
    <col min="4" max="4" width="24.42578125" style="102" bestFit="1" customWidth="1"/>
    <col min="5" max="5" width="25.5703125" style="102" customWidth="1"/>
    <col min="6" max="6" width="21.5703125" style="102" customWidth="1"/>
    <col min="7" max="7" width="12.5703125" style="102" customWidth="1"/>
    <col min="8" max="8" width="13.42578125" style="102" customWidth="1"/>
    <col min="9" max="9" width="9.5703125" style="102" bestFit="1" customWidth="1"/>
    <col min="10" max="10" width="9.42578125" style="102" customWidth="1"/>
    <col min="11" max="11" width="20.5703125" style="102" customWidth="1"/>
    <col min="12" max="252" width="9.42578125" style="102" customWidth="1"/>
    <col min="253" max="253" width="47.5703125" style="102" customWidth="1"/>
    <col min="254" max="256" width="47.5703125" style="115"/>
    <col min="257" max="257" width="50.5703125" style="115" bestFit="1" customWidth="1"/>
    <col min="258" max="258" width="12.5703125" style="115" bestFit="1" customWidth="1"/>
    <col min="259" max="259" width="13.42578125" style="115" bestFit="1" customWidth="1"/>
    <col min="260" max="260" width="13.42578125" style="115" customWidth="1"/>
    <col min="261" max="262" width="9.42578125" style="115" customWidth="1"/>
    <col min="263" max="263" width="12.5703125" style="115" customWidth="1"/>
    <col min="264" max="264" width="10.42578125" style="115" customWidth="1"/>
    <col min="265" max="266" width="9.42578125" style="115" customWidth="1"/>
    <col min="267" max="267" width="9.42578125" style="115" bestFit="1" customWidth="1"/>
    <col min="268" max="508" width="9.42578125" style="115" customWidth="1"/>
    <col min="509" max="509" width="47.5703125" style="115" customWidth="1"/>
    <col min="510" max="512" width="47.5703125" style="115"/>
    <col min="513" max="513" width="50.5703125" style="115" bestFit="1" customWidth="1"/>
    <col min="514" max="514" width="12.5703125" style="115" bestFit="1" customWidth="1"/>
    <col min="515" max="515" width="13.42578125" style="115" bestFit="1" customWidth="1"/>
    <col min="516" max="516" width="13.42578125" style="115" customWidth="1"/>
    <col min="517" max="518" width="9.42578125" style="115" customWidth="1"/>
    <col min="519" max="519" width="12.5703125" style="115" customWidth="1"/>
    <col min="520" max="520" width="10.42578125" style="115" customWidth="1"/>
    <col min="521" max="522" width="9.42578125" style="115" customWidth="1"/>
    <col min="523" max="523" width="9.42578125" style="115" bestFit="1" customWidth="1"/>
    <col min="524" max="764" width="9.42578125" style="115" customWidth="1"/>
    <col min="765" max="765" width="47.5703125" style="115" customWidth="1"/>
    <col min="766" max="768" width="47.5703125" style="115"/>
    <col min="769" max="769" width="50.5703125" style="115" bestFit="1" customWidth="1"/>
    <col min="770" max="770" width="12.5703125" style="115" bestFit="1" customWidth="1"/>
    <col min="771" max="771" width="13.42578125" style="115" bestFit="1" customWidth="1"/>
    <col min="772" max="772" width="13.42578125" style="115" customWidth="1"/>
    <col min="773" max="774" width="9.42578125" style="115" customWidth="1"/>
    <col min="775" max="775" width="12.5703125" style="115" customWidth="1"/>
    <col min="776" max="776" width="10.42578125" style="115" customWidth="1"/>
    <col min="777" max="778" width="9.42578125" style="115" customWidth="1"/>
    <col min="779" max="779" width="9.42578125" style="115" bestFit="1" customWidth="1"/>
    <col min="780" max="1020" width="9.42578125" style="115" customWidth="1"/>
    <col min="1021" max="1021" width="47.5703125" style="115" customWidth="1"/>
    <col min="1022" max="1024" width="47.5703125" style="115"/>
    <col min="1025" max="1025" width="50.5703125" style="115" bestFit="1" customWidth="1"/>
    <col min="1026" max="1026" width="12.5703125" style="115" bestFit="1" customWidth="1"/>
    <col min="1027" max="1027" width="13.42578125" style="115" bestFit="1" customWidth="1"/>
    <col min="1028" max="1028" width="13.42578125" style="115" customWidth="1"/>
    <col min="1029" max="1030" width="9.42578125" style="115" customWidth="1"/>
    <col min="1031" max="1031" width="12.5703125" style="115" customWidth="1"/>
    <col min="1032" max="1032" width="10.42578125" style="115" customWidth="1"/>
    <col min="1033" max="1034" width="9.42578125" style="115" customWidth="1"/>
    <col min="1035" max="1035" width="9.42578125" style="115" bestFit="1" customWidth="1"/>
    <col min="1036" max="1276" width="9.42578125" style="115" customWidth="1"/>
    <col min="1277" max="1277" width="47.5703125" style="115" customWidth="1"/>
    <col min="1278" max="1280" width="47.5703125" style="115"/>
    <col min="1281" max="1281" width="50.5703125" style="115" bestFit="1" customWidth="1"/>
    <col min="1282" max="1282" width="12.5703125" style="115" bestFit="1" customWidth="1"/>
    <col min="1283" max="1283" width="13.42578125" style="115" bestFit="1" customWidth="1"/>
    <col min="1284" max="1284" width="13.42578125" style="115" customWidth="1"/>
    <col min="1285" max="1286" width="9.42578125" style="115" customWidth="1"/>
    <col min="1287" max="1287" width="12.5703125" style="115" customWidth="1"/>
    <col min="1288" max="1288" width="10.42578125" style="115" customWidth="1"/>
    <col min="1289" max="1290" width="9.42578125" style="115" customWidth="1"/>
    <col min="1291" max="1291" width="9.42578125" style="115" bestFit="1" customWidth="1"/>
    <col min="1292" max="1532" width="9.42578125" style="115" customWidth="1"/>
    <col min="1533" max="1533" width="47.5703125" style="115" customWidth="1"/>
    <col min="1534" max="1536" width="47.5703125" style="115"/>
    <col min="1537" max="1537" width="50.5703125" style="115" bestFit="1" customWidth="1"/>
    <col min="1538" max="1538" width="12.5703125" style="115" bestFit="1" customWidth="1"/>
    <col min="1539" max="1539" width="13.42578125" style="115" bestFit="1" customWidth="1"/>
    <col min="1540" max="1540" width="13.42578125" style="115" customWidth="1"/>
    <col min="1541" max="1542" width="9.42578125" style="115" customWidth="1"/>
    <col min="1543" max="1543" width="12.5703125" style="115" customWidth="1"/>
    <col min="1544" max="1544" width="10.42578125" style="115" customWidth="1"/>
    <col min="1545" max="1546" width="9.42578125" style="115" customWidth="1"/>
    <col min="1547" max="1547" width="9.42578125" style="115" bestFit="1" customWidth="1"/>
    <col min="1548" max="1788" width="9.42578125" style="115" customWidth="1"/>
    <col min="1789" max="1789" width="47.5703125" style="115" customWidth="1"/>
    <col min="1790" max="1792" width="47.5703125" style="115"/>
    <col min="1793" max="1793" width="50.5703125" style="115" bestFit="1" customWidth="1"/>
    <col min="1794" max="1794" width="12.5703125" style="115" bestFit="1" customWidth="1"/>
    <col min="1795" max="1795" width="13.42578125" style="115" bestFit="1" customWidth="1"/>
    <col min="1796" max="1796" width="13.42578125" style="115" customWidth="1"/>
    <col min="1797" max="1798" width="9.42578125" style="115" customWidth="1"/>
    <col min="1799" max="1799" width="12.5703125" style="115" customWidth="1"/>
    <col min="1800" max="1800" width="10.42578125" style="115" customWidth="1"/>
    <col min="1801" max="1802" width="9.42578125" style="115" customWidth="1"/>
    <col min="1803" max="1803" width="9.42578125" style="115" bestFit="1" customWidth="1"/>
    <col min="1804" max="2044" width="9.42578125" style="115" customWidth="1"/>
    <col min="2045" max="2045" width="47.5703125" style="115" customWidth="1"/>
    <col min="2046" max="2048" width="47.5703125" style="115"/>
    <col min="2049" max="2049" width="50.5703125" style="115" bestFit="1" customWidth="1"/>
    <col min="2050" max="2050" width="12.5703125" style="115" bestFit="1" customWidth="1"/>
    <col min="2051" max="2051" width="13.42578125" style="115" bestFit="1" customWidth="1"/>
    <col min="2052" max="2052" width="13.42578125" style="115" customWidth="1"/>
    <col min="2053" max="2054" width="9.42578125" style="115" customWidth="1"/>
    <col min="2055" max="2055" width="12.5703125" style="115" customWidth="1"/>
    <col min="2056" max="2056" width="10.42578125" style="115" customWidth="1"/>
    <col min="2057" max="2058" width="9.42578125" style="115" customWidth="1"/>
    <col min="2059" max="2059" width="9.42578125" style="115" bestFit="1" customWidth="1"/>
    <col min="2060" max="2300" width="9.42578125" style="115" customWidth="1"/>
    <col min="2301" max="2301" width="47.5703125" style="115" customWidth="1"/>
    <col min="2302" max="2304" width="47.5703125" style="115"/>
    <col min="2305" max="2305" width="50.5703125" style="115" bestFit="1" customWidth="1"/>
    <col min="2306" max="2306" width="12.5703125" style="115" bestFit="1" customWidth="1"/>
    <col min="2307" max="2307" width="13.42578125" style="115" bestFit="1" customWidth="1"/>
    <col min="2308" max="2308" width="13.42578125" style="115" customWidth="1"/>
    <col min="2309" max="2310" width="9.42578125" style="115" customWidth="1"/>
    <col min="2311" max="2311" width="12.5703125" style="115" customWidth="1"/>
    <col min="2312" max="2312" width="10.42578125" style="115" customWidth="1"/>
    <col min="2313" max="2314" width="9.42578125" style="115" customWidth="1"/>
    <col min="2315" max="2315" width="9.42578125" style="115" bestFit="1" customWidth="1"/>
    <col min="2316" max="2556" width="9.42578125" style="115" customWidth="1"/>
    <col min="2557" max="2557" width="47.5703125" style="115" customWidth="1"/>
    <col min="2558" max="2560" width="47.5703125" style="115"/>
    <col min="2561" max="2561" width="50.5703125" style="115" bestFit="1" customWidth="1"/>
    <col min="2562" max="2562" width="12.5703125" style="115" bestFit="1" customWidth="1"/>
    <col min="2563" max="2563" width="13.42578125" style="115" bestFit="1" customWidth="1"/>
    <col min="2564" max="2564" width="13.42578125" style="115" customWidth="1"/>
    <col min="2565" max="2566" width="9.42578125" style="115" customWidth="1"/>
    <col min="2567" max="2567" width="12.5703125" style="115" customWidth="1"/>
    <col min="2568" max="2568" width="10.42578125" style="115" customWidth="1"/>
    <col min="2569" max="2570" width="9.42578125" style="115" customWidth="1"/>
    <col min="2571" max="2571" width="9.42578125" style="115" bestFit="1" customWidth="1"/>
    <col min="2572" max="2812" width="9.42578125" style="115" customWidth="1"/>
    <col min="2813" max="2813" width="47.5703125" style="115" customWidth="1"/>
    <col min="2814" max="2816" width="47.5703125" style="115"/>
    <col min="2817" max="2817" width="50.5703125" style="115" bestFit="1" customWidth="1"/>
    <col min="2818" max="2818" width="12.5703125" style="115" bestFit="1" customWidth="1"/>
    <col min="2819" max="2819" width="13.42578125" style="115" bestFit="1" customWidth="1"/>
    <col min="2820" max="2820" width="13.42578125" style="115" customWidth="1"/>
    <col min="2821" max="2822" width="9.42578125" style="115" customWidth="1"/>
    <col min="2823" max="2823" width="12.5703125" style="115" customWidth="1"/>
    <col min="2824" max="2824" width="10.42578125" style="115" customWidth="1"/>
    <col min="2825" max="2826" width="9.42578125" style="115" customWidth="1"/>
    <col min="2827" max="2827" width="9.42578125" style="115" bestFit="1" customWidth="1"/>
    <col min="2828" max="3068" width="9.42578125" style="115" customWidth="1"/>
    <col min="3069" max="3069" width="47.5703125" style="115" customWidth="1"/>
    <col min="3070" max="3072" width="47.5703125" style="115"/>
    <col min="3073" max="3073" width="50.5703125" style="115" bestFit="1" customWidth="1"/>
    <col min="3074" max="3074" width="12.5703125" style="115" bestFit="1" customWidth="1"/>
    <col min="3075" max="3075" width="13.42578125" style="115" bestFit="1" customWidth="1"/>
    <col min="3076" max="3076" width="13.42578125" style="115" customWidth="1"/>
    <col min="3077" max="3078" width="9.42578125" style="115" customWidth="1"/>
    <col min="3079" max="3079" width="12.5703125" style="115" customWidth="1"/>
    <col min="3080" max="3080" width="10.42578125" style="115" customWidth="1"/>
    <col min="3081" max="3082" width="9.42578125" style="115" customWidth="1"/>
    <col min="3083" max="3083" width="9.42578125" style="115" bestFit="1" customWidth="1"/>
    <col min="3084" max="3324" width="9.42578125" style="115" customWidth="1"/>
    <col min="3325" max="3325" width="47.5703125" style="115" customWidth="1"/>
    <col min="3326" max="3328" width="47.5703125" style="115"/>
    <col min="3329" max="3329" width="50.5703125" style="115" bestFit="1" customWidth="1"/>
    <col min="3330" max="3330" width="12.5703125" style="115" bestFit="1" customWidth="1"/>
    <col min="3331" max="3331" width="13.42578125" style="115" bestFit="1" customWidth="1"/>
    <col min="3332" max="3332" width="13.42578125" style="115" customWidth="1"/>
    <col min="3333" max="3334" width="9.42578125" style="115" customWidth="1"/>
    <col min="3335" max="3335" width="12.5703125" style="115" customWidth="1"/>
    <col min="3336" max="3336" width="10.42578125" style="115" customWidth="1"/>
    <col min="3337" max="3338" width="9.42578125" style="115" customWidth="1"/>
    <col min="3339" max="3339" width="9.42578125" style="115" bestFit="1" customWidth="1"/>
    <col min="3340" max="3580" width="9.42578125" style="115" customWidth="1"/>
    <col min="3581" max="3581" width="47.5703125" style="115" customWidth="1"/>
    <col min="3582" max="3584" width="47.5703125" style="115"/>
    <col min="3585" max="3585" width="50.5703125" style="115" bestFit="1" customWidth="1"/>
    <col min="3586" max="3586" width="12.5703125" style="115" bestFit="1" customWidth="1"/>
    <col min="3587" max="3587" width="13.42578125" style="115" bestFit="1" customWidth="1"/>
    <col min="3588" max="3588" width="13.42578125" style="115" customWidth="1"/>
    <col min="3589" max="3590" width="9.42578125" style="115" customWidth="1"/>
    <col min="3591" max="3591" width="12.5703125" style="115" customWidth="1"/>
    <col min="3592" max="3592" width="10.42578125" style="115" customWidth="1"/>
    <col min="3593" max="3594" width="9.42578125" style="115" customWidth="1"/>
    <col min="3595" max="3595" width="9.42578125" style="115" bestFit="1" customWidth="1"/>
    <col min="3596" max="3836" width="9.42578125" style="115" customWidth="1"/>
    <col min="3837" max="3837" width="47.5703125" style="115" customWidth="1"/>
    <col min="3838" max="3840" width="47.5703125" style="115"/>
    <col min="3841" max="3841" width="50.5703125" style="115" bestFit="1" customWidth="1"/>
    <col min="3842" max="3842" width="12.5703125" style="115" bestFit="1" customWidth="1"/>
    <col min="3843" max="3843" width="13.42578125" style="115" bestFit="1" customWidth="1"/>
    <col min="3844" max="3844" width="13.42578125" style="115" customWidth="1"/>
    <col min="3845" max="3846" width="9.42578125" style="115" customWidth="1"/>
    <col min="3847" max="3847" width="12.5703125" style="115" customWidth="1"/>
    <col min="3848" max="3848" width="10.42578125" style="115" customWidth="1"/>
    <col min="3849" max="3850" width="9.42578125" style="115" customWidth="1"/>
    <col min="3851" max="3851" width="9.42578125" style="115" bestFit="1" customWidth="1"/>
    <col min="3852" max="4092" width="9.42578125" style="115" customWidth="1"/>
    <col min="4093" max="4093" width="47.5703125" style="115" customWidth="1"/>
    <col min="4094" max="4096" width="47.5703125" style="115"/>
    <col min="4097" max="4097" width="50.5703125" style="115" bestFit="1" customWidth="1"/>
    <col min="4098" max="4098" width="12.5703125" style="115" bestFit="1" customWidth="1"/>
    <col min="4099" max="4099" width="13.42578125" style="115" bestFit="1" customWidth="1"/>
    <col min="4100" max="4100" width="13.42578125" style="115" customWidth="1"/>
    <col min="4101" max="4102" width="9.42578125" style="115" customWidth="1"/>
    <col min="4103" max="4103" width="12.5703125" style="115" customWidth="1"/>
    <col min="4104" max="4104" width="10.42578125" style="115" customWidth="1"/>
    <col min="4105" max="4106" width="9.42578125" style="115" customWidth="1"/>
    <col min="4107" max="4107" width="9.42578125" style="115" bestFit="1" customWidth="1"/>
    <col min="4108" max="4348" width="9.42578125" style="115" customWidth="1"/>
    <col min="4349" max="4349" width="47.5703125" style="115" customWidth="1"/>
    <col min="4350" max="4352" width="47.5703125" style="115"/>
    <col min="4353" max="4353" width="50.5703125" style="115" bestFit="1" customWidth="1"/>
    <col min="4354" max="4354" width="12.5703125" style="115" bestFit="1" customWidth="1"/>
    <col min="4355" max="4355" width="13.42578125" style="115" bestFit="1" customWidth="1"/>
    <col min="4356" max="4356" width="13.42578125" style="115" customWidth="1"/>
    <col min="4357" max="4358" width="9.42578125" style="115" customWidth="1"/>
    <col min="4359" max="4359" width="12.5703125" style="115" customWidth="1"/>
    <col min="4360" max="4360" width="10.42578125" style="115" customWidth="1"/>
    <col min="4361" max="4362" width="9.42578125" style="115" customWidth="1"/>
    <col min="4363" max="4363" width="9.42578125" style="115" bestFit="1" customWidth="1"/>
    <col min="4364" max="4604" width="9.42578125" style="115" customWidth="1"/>
    <col min="4605" max="4605" width="47.5703125" style="115" customWidth="1"/>
    <col min="4606" max="4608" width="47.5703125" style="115"/>
    <col min="4609" max="4609" width="50.5703125" style="115" bestFit="1" customWidth="1"/>
    <col min="4610" max="4610" width="12.5703125" style="115" bestFit="1" customWidth="1"/>
    <col min="4611" max="4611" width="13.42578125" style="115" bestFit="1" customWidth="1"/>
    <col min="4612" max="4612" width="13.42578125" style="115" customWidth="1"/>
    <col min="4613" max="4614" width="9.42578125" style="115" customWidth="1"/>
    <col min="4615" max="4615" width="12.5703125" style="115" customWidth="1"/>
    <col min="4616" max="4616" width="10.42578125" style="115" customWidth="1"/>
    <col min="4617" max="4618" width="9.42578125" style="115" customWidth="1"/>
    <col min="4619" max="4619" width="9.42578125" style="115" bestFit="1" customWidth="1"/>
    <col min="4620" max="4860" width="9.42578125" style="115" customWidth="1"/>
    <col min="4861" max="4861" width="47.5703125" style="115" customWidth="1"/>
    <col min="4862" max="4864" width="47.5703125" style="115"/>
    <col min="4865" max="4865" width="50.5703125" style="115" bestFit="1" customWidth="1"/>
    <col min="4866" max="4866" width="12.5703125" style="115" bestFit="1" customWidth="1"/>
    <col min="4867" max="4867" width="13.42578125" style="115" bestFit="1" customWidth="1"/>
    <col min="4868" max="4868" width="13.42578125" style="115" customWidth="1"/>
    <col min="4869" max="4870" width="9.42578125" style="115" customWidth="1"/>
    <col min="4871" max="4871" width="12.5703125" style="115" customWidth="1"/>
    <col min="4872" max="4872" width="10.42578125" style="115" customWidth="1"/>
    <col min="4873" max="4874" width="9.42578125" style="115" customWidth="1"/>
    <col min="4875" max="4875" width="9.42578125" style="115" bestFit="1" customWidth="1"/>
    <col min="4876" max="5116" width="9.42578125" style="115" customWidth="1"/>
    <col min="5117" max="5117" width="47.5703125" style="115" customWidth="1"/>
    <col min="5118" max="5120" width="47.5703125" style="115"/>
    <col min="5121" max="5121" width="50.5703125" style="115" bestFit="1" customWidth="1"/>
    <col min="5122" max="5122" width="12.5703125" style="115" bestFit="1" customWidth="1"/>
    <col min="5123" max="5123" width="13.42578125" style="115" bestFit="1" customWidth="1"/>
    <col min="5124" max="5124" width="13.42578125" style="115" customWidth="1"/>
    <col min="5125" max="5126" width="9.42578125" style="115" customWidth="1"/>
    <col min="5127" max="5127" width="12.5703125" style="115" customWidth="1"/>
    <col min="5128" max="5128" width="10.42578125" style="115" customWidth="1"/>
    <col min="5129" max="5130" width="9.42578125" style="115" customWidth="1"/>
    <col min="5131" max="5131" width="9.42578125" style="115" bestFit="1" customWidth="1"/>
    <col min="5132" max="5372" width="9.42578125" style="115" customWidth="1"/>
    <col min="5373" max="5373" width="47.5703125" style="115" customWidth="1"/>
    <col min="5374" max="5376" width="47.5703125" style="115"/>
    <col min="5377" max="5377" width="50.5703125" style="115" bestFit="1" customWidth="1"/>
    <col min="5378" max="5378" width="12.5703125" style="115" bestFit="1" customWidth="1"/>
    <col min="5379" max="5379" width="13.42578125" style="115" bestFit="1" customWidth="1"/>
    <col min="5380" max="5380" width="13.42578125" style="115" customWidth="1"/>
    <col min="5381" max="5382" width="9.42578125" style="115" customWidth="1"/>
    <col min="5383" max="5383" width="12.5703125" style="115" customWidth="1"/>
    <col min="5384" max="5384" width="10.42578125" style="115" customWidth="1"/>
    <col min="5385" max="5386" width="9.42578125" style="115" customWidth="1"/>
    <col min="5387" max="5387" width="9.42578125" style="115" bestFit="1" customWidth="1"/>
    <col min="5388" max="5628" width="9.42578125" style="115" customWidth="1"/>
    <col min="5629" max="5629" width="47.5703125" style="115" customWidth="1"/>
    <col min="5630" max="5632" width="47.5703125" style="115"/>
    <col min="5633" max="5633" width="50.5703125" style="115" bestFit="1" customWidth="1"/>
    <col min="5634" max="5634" width="12.5703125" style="115" bestFit="1" customWidth="1"/>
    <col min="5635" max="5635" width="13.42578125" style="115" bestFit="1" customWidth="1"/>
    <col min="5636" max="5636" width="13.42578125" style="115" customWidth="1"/>
    <col min="5637" max="5638" width="9.42578125" style="115" customWidth="1"/>
    <col min="5639" max="5639" width="12.5703125" style="115" customWidth="1"/>
    <col min="5640" max="5640" width="10.42578125" style="115" customWidth="1"/>
    <col min="5641" max="5642" width="9.42578125" style="115" customWidth="1"/>
    <col min="5643" max="5643" width="9.42578125" style="115" bestFit="1" customWidth="1"/>
    <col min="5644" max="5884" width="9.42578125" style="115" customWidth="1"/>
    <col min="5885" max="5885" width="47.5703125" style="115" customWidth="1"/>
    <col min="5886" max="5888" width="47.5703125" style="115"/>
    <col min="5889" max="5889" width="50.5703125" style="115" bestFit="1" customWidth="1"/>
    <col min="5890" max="5890" width="12.5703125" style="115" bestFit="1" customWidth="1"/>
    <col min="5891" max="5891" width="13.42578125" style="115" bestFit="1" customWidth="1"/>
    <col min="5892" max="5892" width="13.42578125" style="115" customWidth="1"/>
    <col min="5893" max="5894" width="9.42578125" style="115" customWidth="1"/>
    <col min="5895" max="5895" width="12.5703125" style="115" customWidth="1"/>
    <col min="5896" max="5896" width="10.42578125" style="115" customWidth="1"/>
    <col min="5897" max="5898" width="9.42578125" style="115" customWidth="1"/>
    <col min="5899" max="5899" width="9.42578125" style="115" bestFit="1" customWidth="1"/>
    <col min="5900" max="6140" width="9.42578125" style="115" customWidth="1"/>
    <col min="6141" max="6141" width="47.5703125" style="115" customWidth="1"/>
    <col min="6142" max="6144" width="47.5703125" style="115"/>
    <col min="6145" max="6145" width="50.5703125" style="115" bestFit="1" customWidth="1"/>
    <col min="6146" max="6146" width="12.5703125" style="115" bestFit="1" customWidth="1"/>
    <col min="6147" max="6147" width="13.42578125" style="115" bestFit="1" customWidth="1"/>
    <col min="6148" max="6148" width="13.42578125" style="115" customWidth="1"/>
    <col min="6149" max="6150" width="9.42578125" style="115" customWidth="1"/>
    <col min="6151" max="6151" width="12.5703125" style="115" customWidth="1"/>
    <col min="6152" max="6152" width="10.42578125" style="115" customWidth="1"/>
    <col min="6153" max="6154" width="9.42578125" style="115" customWidth="1"/>
    <col min="6155" max="6155" width="9.42578125" style="115" bestFit="1" customWidth="1"/>
    <col min="6156" max="6396" width="9.42578125" style="115" customWidth="1"/>
    <col min="6397" max="6397" width="47.5703125" style="115" customWidth="1"/>
    <col min="6398" max="6400" width="47.5703125" style="115"/>
    <col min="6401" max="6401" width="50.5703125" style="115" bestFit="1" customWidth="1"/>
    <col min="6402" max="6402" width="12.5703125" style="115" bestFit="1" customWidth="1"/>
    <col min="6403" max="6403" width="13.42578125" style="115" bestFit="1" customWidth="1"/>
    <col min="6404" max="6404" width="13.42578125" style="115" customWidth="1"/>
    <col min="6405" max="6406" width="9.42578125" style="115" customWidth="1"/>
    <col min="6407" max="6407" width="12.5703125" style="115" customWidth="1"/>
    <col min="6408" max="6408" width="10.42578125" style="115" customWidth="1"/>
    <col min="6409" max="6410" width="9.42578125" style="115" customWidth="1"/>
    <col min="6411" max="6411" width="9.42578125" style="115" bestFit="1" customWidth="1"/>
    <col min="6412" max="6652" width="9.42578125" style="115" customWidth="1"/>
    <col min="6653" max="6653" width="47.5703125" style="115" customWidth="1"/>
    <col min="6654" max="6656" width="47.5703125" style="115"/>
    <col min="6657" max="6657" width="50.5703125" style="115" bestFit="1" customWidth="1"/>
    <col min="6658" max="6658" width="12.5703125" style="115" bestFit="1" customWidth="1"/>
    <col min="6659" max="6659" width="13.42578125" style="115" bestFit="1" customWidth="1"/>
    <col min="6660" max="6660" width="13.42578125" style="115" customWidth="1"/>
    <col min="6661" max="6662" width="9.42578125" style="115" customWidth="1"/>
    <col min="6663" max="6663" width="12.5703125" style="115" customWidth="1"/>
    <col min="6664" max="6664" width="10.42578125" style="115" customWidth="1"/>
    <col min="6665" max="6666" width="9.42578125" style="115" customWidth="1"/>
    <col min="6667" max="6667" width="9.42578125" style="115" bestFit="1" customWidth="1"/>
    <col min="6668" max="6908" width="9.42578125" style="115" customWidth="1"/>
    <col min="6909" max="6909" width="47.5703125" style="115" customWidth="1"/>
    <col min="6910" max="6912" width="47.5703125" style="115"/>
    <col min="6913" max="6913" width="50.5703125" style="115" bestFit="1" customWidth="1"/>
    <col min="6914" max="6914" width="12.5703125" style="115" bestFit="1" customWidth="1"/>
    <col min="6915" max="6915" width="13.42578125" style="115" bestFit="1" customWidth="1"/>
    <col min="6916" max="6916" width="13.42578125" style="115" customWidth="1"/>
    <col min="6917" max="6918" width="9.42578125" style="115" customWidth="1"/>
    <col min="6919" max="6919" width="12.5703125" style="115" customWidth="1"/>
    <col min="6920" max="6920" width="10.42578125" style="115" customWidth="1"/>
    <col min="6921" max="6922" width="9.42578125" style="115" customWidth="1"/>
    <col min="6923" max="6923" width="9.42578125" style="115" bestFit="1" customWidth="1"/>
    <col min="6924" max="7164" width="9.42578125" style="115" customWidth="1"/>
    <col min="7165" max="7165" width="47.5703125" style="115" customWidth="1"/>
    <col min="7166" max="7168" width="47.5703125" style="115"/>
    <col min="7169" max="7169" width="50.5703125" style="115" bestFit="1" customWidth="1"/>
    <col min="7170" max="7170" width="12.5703125" style="115" bestFit="1" customWidth="1"/>
    <col min="7171" max="7171" width="13.42578125" style="115" bestFit="1" customWidth="1"/>
    <col min="7172" max="7172" width="13.42578125" style="115" customWidth="1"/>
    <col min="7173" max="7174" width="9.42578125" style="115" customWidth="1"/>
    <col min="7175" max="7175" width="12.5703125" style="115" customWidth="1"/>
    <col min="7176" max="7176" width="10.42578125" style="115" customWidth="1"/>
    <col min="7177" max="7178" width="9.42578125" style="115" customWidth="1"/>
    <col min="7179" max="7179" width="9.42578125" style="115" bestFit="1" customWidth="1"/>
    <col min="7180" max="7420" width="9.42578125" style="115" customWidth="1"/>
    <col min="7421" max="7421" width="47.5703125" style="115" customWidth="1"/>
    <col min="7422" max="7424" width="47.5703125" style="115"/>
    <col min="7425" max="7425" width="50.5703125" style="115" bestFit="1" customWidth="1"/>
    <col min="7426" max="7426" width="12.5703125" style="115" bestFit="1" customWidth="1"/>
    <col min="7427" max="7427" width="13.42578125" style="115" bestFit="1" customWidth="1"/>
    <col min="7428" max="7428" width="13.42578125" style="115" customWidth="1"/>
    <col min="7429" max="7430" width="9.42578125" style="115" customWidth="1"/>
    <col min="7431" max="7431" width="12.5703125" style="115" customWidth="1"/>
    <col min="7432" max="7432" width="10.42578125" style="115" customWidth="1"/>
    <col min="7433" max="7434" width="9.42578125" style="115" customWidth="1"/>
    <col min="7435" max="7435" width="9.42578125" style="115" bestFit="1" customWidth="1"/>
    <col min="7436" max="7676" width="9.42578125" style="115" customWidth="1"/>
    <col min="7677" max="7677" width="47.5703125" style="115" customWidth="1"/>
    <col min="7678" max="7680" width="47.5703125" style="115"/>
    <col min="7681" max="7681" width="50.5703125" style="115" bestFit="1" customWidth="1"/>
    <col min="7682" max="7682" width="12.5703125" style="115" bestFit="1" customWidth="1"/>
    <col min="7683" max="7683" width="13.42578125" style="115" bestFit="1" customWidth="1"/>
    <col min="7684" max="7684" width="13.42578125" style="115" customWidth="1"/>
    <col min="7685" max="7686" width="9.42578125" style="115" customWidth="1"/>
    <col min="7687" max="7687" width="12.5703125" style="115" customWidth="1"/>
    <col min="7688" max="7688" width="10.42578125" style="115" customWidth="1"/>
    <col min="7689" max="7690" width="9.42578125" style="115" customWidth="1"/>
    <col min="7691" max="7691" width="9.42578125" style="115" bestFit="1" customWidth="1"/>
    <col min="7692" max="7932" width="9.42578125" style="115" customWidth="1"/>
    <col min="7933" max="7933" width="47.5703125" style="115" customWidth="1"/>
    <col min="7934" max="7936" width="47.5703125" style="115"/>
    <col min="7937" max="7937" width="50.5703125" style="115" bestFit="1" customWidth="1"/>
    <col min="7938" max="7938" width="12.5703125" style="115" bestFit="1" customWidth="1"/>
    <col min="7939" max="7939" width="13.42578125" style="115" bestFit="1" customWidth="1"/>
    <col min="7940" max="7940" width="13.42578125" style="115" customWidth="1"/>
    <col min="7941" max="7942" width="9.42578125" style="115" customWidth="1"/>
    <col min="7943" max="7943" width="12.5703125" style="115" customWidth="1"/>
    <col min="7944" max="7944" width="10.42578125" style="115" customWidth="1"/>
    <col min="7945" max="7946" width="9.42578125" style="115" customWidth="1"/>
    <col min="7947" max="7947" width="9.42578125" style="115" bestFit="1" customWidth="1"/>
    <col min="7948" max="8188" width="9.42578125" style="115" customWidth="1"/>
    <col min="8189" max="8189" width="47.5703125" style="115" customWidth="1"/>
    <col min="8190" max="8192" width="47.5703125" style="115"/>
    <col min="8193" max="8193" width="50.5703125" style="115" bestFit="1" customWidth="1"/>
    <col min="8194" max="8194" width="12.5703125" style="115" bestFit="1" customWidth="1"/>
    <col min="8195" max="8195" width="13.42578125" style="115" bestFit="1" customWidth="1"/>
    <col min="8196" max="8196" width="13.42578125" style="115" customWidth="1"/>
    <col min="8197" max="8198" width="9.42578125" style="115" customWidth="1"/>
    <col min="8199" max="8199" width="12.5703125" style="115" customWidth="1"/>
    <col min="8200" max="8200" width="10.42578125" style="115" customWidth="1"/>
    <col min="8201" max="8202" width="9.42578125" style="115" customWidth="1"/>
    <col min="8203" max="8203" width="9.42578125" style="115" bestFit="1" customWidth="1"/>
    <col min="8204" max="8444" width="9.42578125" style="115" customWidth="1"/>
    <col min="8445" max="8445" width="47.5703125" style="115" customWidth="1"/>
    <col min="8446" max="8448" width="47.5703125" style="115"/>
    <col min="8449" max="8449" width="50.5703125" style="115" bestFit="1" customWidth="1"/>
    <col min="8450" max="8450" width="12.5703125" style="115" bestFit="1" customWidth="1"/>
    <col min="8451" max="8451" width="13.42578125" style="115" bestFit="1" customWidth="1"/>
    <col min="8452" max="8452" width="13.42578125" style="115" customWidth="1"/>
    <col min="8453" max="8454" width="9.42578125" style="115" customWidth="1"/>
    <col min="8455" max="8455" width="12.5703125" style="115" customWidth="1"/>
    <col min="8456" max="8456" width="10.42578125" style="115" customWidth="1"/>
    <col min="8457" max="8458" width="9.42578125" style="115" customWidth="1"/>
    <col min="8459" max="8459" width="9.42578125" style="115" bestFit="1" customWidth="1"/>
    <col min="8460" max="8700" width="9.42578125" style="115" customWidth="1"/>
    <col min="8701" max="8701" width="47.5703125" style="115" customWidth="1"/>
    <col min="8702" max="8704" width="47.5703125" style="115"/>
    <col min="8705" max="8705" width="50.5703125" style="115" bestFit="1" customWidth="1"/>
    <col min="8706" max="8706" width="12.5703125" style="115" bestFit="1" customWidth="1"/>
    <col min="8707" max="8707" width="13.42578125" style="115" bestFit="1" customWidth="1"/>
    <col min="8708" max="8708" width="13.42578125" style="115" customWidth="1"/>
    <col min="8709" max="8710" width="9.42578125" style="115" customWidth="1"/>
    <col min="8711" max="8711" width="12.5703125" style="115" customWidth="1"/>
    <col min="8712" max="8712" width="10.42578125" style="115" customWidth="1"/>
    <col min="8713" max="8714" width="9.42578125" style="115" customWidth="1"/>
    <col min="8715" max="8715" width="9.42578125" style="115" bestFit="1" customWidth="1"/>
    <col min="8716" max="8956" width="9.42578125" style="115" customWidth="1"/>
    <col min="8957" max="8957" width="47.5703125" style="115" customWidth="1"/>
    <col min="8958" max="8960" width="47.5703125" style="115"/>
    <col min="8961" max="8961" width="50.5703125" style="115" bestFit="1" customWidth="1"/>
    <col min="8962" max="8962" width="12.5703125" style="115" bestFit="1" customWidth="1"/>
    <col min="8963" max="8963" width="13.42578125" style="115" bestFit="1" customWidth="1"/>
    <col min="8964" max="8964" width="13.42578125" style="115" customWidth="1"/>
    <col min="8965" max="8966" width="9.42578125" style="115" customWidth="1"/>
    <col min="8967" max="8967" width="12.5703125" style="115" customWidth="1"/>
    <col min="8968" max="8968" width="10.42578125" style="115" customWidth="1"/>
    <col min="8969" max="8970" width="9.42578125" style="115" customWidth="1"/>
    <col min="8971" max="8971" width="9.42578125" style="115" bestFit="1" customWidth="1"/>
    <col min="8972" max="9212" width="9.42578125" style="115" customWidth="1"/>
    <col min="9213" max="9213" width="47.5703125" style="115" customWidth="1"/>
    <col min="9214" max="9216" width="47.5703125" style="115"/>
    <col min="9217" max="9217" width="50.5703125" style="115" bestFit="1" customWidth="1"/>
    <col min="9218" max="9218" width="12.5703125" style="115" bestFit="1" customWidth="1"/>
    <col min="9219" max="9219" width="13.42578125" style="115" bestFit="1" customWidth="1"/>
    <col min="9220" max="9220" width="13.42578125" style="115" customWidth="1"/>
    <col min="9221" max="9222" width="9.42578125" style="115" customWidth="1"/>
    <col min="9223" max="9223" width="12.5703125" style="115" customWidth="1"/>
    <col min="9224" max="9224" width="10.42578125" style="115" customWidth="1"/>
    <col min="9225" max="9226" width="9.42578125" style="115" customWidth="1"/>
    <col min="9227" max="9227" width="9.42578125" style="115" bestFit="1" customWidth="1"/>
    <col min="9228" max="9468" width="9.42578125" style="115" customWidth="1"/>
    <col min="9469" max="9469" width="47.5703125" style="115" customWidth="1"/>
    <col min="9470" max="9472" width="47.5703125" style="115"/>
    <col min="9473" max="9473" width="50.5703125" style="115" bestFit="1" customWidth="1"/>
    <col min="9474" max="9474" width="12.5703125" style="115" bestFit="1" customWidth="1"/>
    <col min="9475" max="9475" width="13.42578125" style="115" bestFit="1" customWidth="1"/>
    <col min="9476" max="9476" width="13.42578125" style="115" customWidth="1"/>
    <col min="9477" max="9478" width="9.42578125" style="115" customWidth="1"/>
    <col min="9479" max="9479" width="12.5703125" style="115" customWidth="1"/>
    <col min="9480" max="9480" width="10.42578125" style="115" customWidth="1"/>
    <col min="9481" max="9482" width="9.42578125" style="115" customWidth="1"/>
    <col min="9483" max="9483" width="9.42578125" style="115" bestFit="1" customWidth="1"/>
    <col min="9484" max="9724" width="9.42578125" style="115" customWidth="1"/>
    <col min="9725" max="9725" width="47.5703125" style="115" customWidth="1"/>
    <col min="9726" max="9728" width="47.5703125" style="115"/>
    <col min="9729" max="9729" width="50.5703125" style="115" bestFit="1" customWidth="1"/>
    <col min="9730" max="9730" width="12.5703125" style="115" bestFit="1" customWidth="1"/>
    <col min="9731" max="9731" width="13.42578125" style="115" bestFit="1" customWidth="1"/>
    <col min="9732" max="9732" width="13.42578125" style="115" customWidth="1"/>
    <col min="9733" max="9734" width="9.42578125" style="115" customWidth="1"/>
    <col min="9735" max="9735" width="12.5703125" style="115" customWidth="1"/>
    <col min="9736" max="9736" width="10.42578125" style="115" customWidth="1"/>
    <col min="9737" max="9738" width="9.42578125" style="115" customWidth="1"/>
    <col min="9739" max="9739" width="9.42578125" style="115" bestFit="1" customWidth="1"/>
    <col min="9740" max="9980" width="9.42578125" style="115" customWidth="1"/>
    <col min="9981" max="9981" width="47.5703125" style="115" customWidth="1"/>
    <col min="9982" max="9984" width="47.5703125" style="115"/>
    <col min="9985" max="9985" width="50.5703125" style="115" bestFit="1" customWidth="1"/>
    <col min="9986" max="9986" width="12.5703125" style="115" bestFit="1" customWidth="1"/>
    <col min="9987" max="9987" width="13.42578125" style="115" bestFit="1" customWidth="1"/>
    <col min="9988" max="9988" width="13.42578125" style="115" customWidth="1"/>
    <col min="9989" max="9990" width="9.42578125" style="115" customWidth="1"/>
    <col min="9991" max="9991" width="12.5703125" style="115" customWidth="1"/>
    <col min="9992" max="9992" width="10.42578125" style="115" customWidth="1"/>
    <col min="9993" max="9994" width="9.42578125" style="115" customWidth="1"/>
    <col min="9995" max="9995" width="9.42578125" style="115" bestFit="1" customWidth="1"/>
    <col min="9996" max="10236" width="9.42578125" style="115" customWidth="1"/>
    <col min="10237" max="10237" width="47.5703125" style="115" customWidth="1"/>
    <col min="10238" max="10240" width="47.5703125" style="115"/>
    <col min="10241" max="10241" width="50.5703125" style="115" bestFit="1" customWidth="1"/>
    <col min="10242" max="10242" width="12.5703125" style="115" bestFit="1" customWidth="1"/>
    <col min="10243" max="10243" width="13.42578125" style="115" bestFit="1" customWidth="1"/>
    <col min="10244" max="10244" width="13.42578125" style="115" customWidth="1"/>
    <col min="10245" max="10246" width="9.42578125" style="115" customWidth="1"/>
    <col min="10247" max="10247" width="12.5703125" style="115" customWidth="1"/>
    <col min="10248" max="10248" width="10.42578125" style="115" customWidth="1"/>
    <col min="10249" max="10250" width="9.42578125" style="115" customWidth="1"/>
    <col min="10251" max="10251" width="9.42578125" style="115" bestFit="1" customWidth="1"/>
    <col min="10252" max="10492" width="9.42578125" style="115" customWidth="1"/>
    <col min="10493" max="10493" width="47.5703125" style="115" customWidth="1"/>
    <col min="10494" max="10496" width="47.5703125" style="115"/>
    <col min="10497" max="10497" width="50.5703125" style="115" bestFit="1" customWidth="1"/>
    <col min="10498" max="10498" width="12.5703125" style="115" bestFit="1" customWidth="1"/>
    <col min="10499" max="10499" width="13.42578125" style="115" bestFit="1" customWidth="1"/>
    <col min="10500" max="10500" width="13.42578125" style="115" customWidth="1"/>
    <col min="10501" max="10502" width="9.42578125" style="115" customWidth="1"/>
    <col min="10503" max="10503" width="12.5703125" style="115" customWidth="1"/>
    <col min="10504" max="10504" width="10.42578125" style="115" customWidth="1"/>
    <col min="10505" max="10506" width="9.42578125" style="115" customWidth="1"/>
    <col min="10507" max="10507" width="9.42578125" style="115" bestFit="1" customWidth="1"/>
    <col min="10508" max="10748" width="9.42578125" style="115" customWidth="1"/>
    <col min="10749" max="10749" width="47.5703125" style="115" customWidth="1"/>
    <col min="10750" max="10752" width="47.5703125" style="115"/>
    <col min="10753" max="10753" width="50.5703125" style="115" bestFit="1" customWidth="1"/>
    <col min="10754" max="10754" width="12.5703125" style="115" bestFit="1" customWidth="1"/>
    <col min="10755" max="10755" width="13.42578125" style="115" bestFit="1" customWidth="1"/>
    <col min="10756" max="10756" width="13.42578125" style="115" customWidth="1"/>
    <col min="10757" max="10758" width="9.42578125" style="115" customWidth="1"/>
    <col min="10759" max="10759" width="12.5703125" style="115" customWidth="1"/>
    <col min="10760" max="10760" width="10.42578125" style="115" customWidth="1"/>
    <col min="10761" max="10762" width="9.42578125" style="115" customWidth="1"/>
    <col min="10763" max="10763" width="9.42578125" style="115" bestFit="1" customWidth="1"/>
    <col min="10764" max="11004" width="9.42578125" style="115" customWidth="1"/>
    <col min="11005" max="11005" width="47.5703125" style="115" customWidth="1"/>
    <col min="11006" max="11008" width="47.5703125" style="115"/>
    <col min="11009" max="11009" width="50.5703125" style="115" bestFit="1" customWidth="1"/>
    <col min="11010" max="11010" width="12.5703125" style="115" bestFit="1" customWidth="1"/>
    <col min="11011" max="11011" width="13.42578125" style="115" bestFit="1" customWidth="1"/>
    <col min="11012" max="11012" width="13.42578125" style="115" customWidth="1"/>
    <col min="11013" max="11014" width="9.42578125" style="115" customWidth="1"/>
    <col min="11015" max="11015" width="12.5703125" style="115" customWidth="1"/>
    <col min="11016" max="11016" width="10.42578125" style="115" customWidth="1"/>
    <col min="11017" max="11018" width="9.42578125" style="115" customWidth="1"/>
    <col min="11019" max="11019" width="9.42578125" style="115" bestFit="1" customWidth="1"/>
    <col min="11020" max="11260" width="9.42578125" style="115" customWidth="1"/>
    <col min="11261" max="11261" width="47.5703125" style="115" customWidth="1"/>
    <col min="11262" max="11264" width="47.5703125" style="115"/>
    <col min="11265" max="11265" width="50.5703125" style="115" bestFit="1" customWidth="1"/>
    <col min="11266" max="11266" width="12.5703125" style="115" bestFit="1" customWidth="1"/>
    <col min="11267" max="11267" width="13.42578125" style="115" bestFit="1" customWidth="1"/>
    <col min="11268" max="11268" width="13.42578125" style="115" customWidth="1"/>
    <col min="11269" max="11270" width="9.42578125" style="115" customWidth="1"/>
    <col min="11271" max="11271" width="12.5703125" style="115" customWidth="1"/>
    <col min="11272" max="11272" width="10.42578125" style="115" customWidth="1"/>
    <col min="11273" max="11274" width="9.42578125" style="115" customWidth="1"/>
    <col min="11275" max="11275" width="9.42578125" style="115" bestFit="1" customWidth="1"/>
    <col min="11276" max="11516" width="9.42578125" style="115" customWidth="1"/>
    <col min="11517" max="11517" width="47.5703125" style="115" customWidth="1"/>
    <col min="11518" max="11520" width="47.5703125" style="115"/>
    <col min="11521" max="11521" width="50.5703125" style="115" bestFit="1" customWidth="1"/>
    <col min="11522" max="11522" width="12.5703125" style="115" bestFit="1" customWidth="1"/>
    <col min="11523" max="11523" width="13.42578125" style="115" bestFit="1" customWidth="1"/>
    <col min="11524" max="11524" width="13.42578125" style="115" customWidth="1"/>
    <col min="11525" max="11526" width="9.42578125" style="115" customWidth="1"/>
    <col min="11527" max="11527" width="12.5703125" style="115" customWidth="1"/>
    <col min="11528" max="11528" width="10.42578125" style="115" customWidth="1"/>
    <col min="11529" max="11530" width="9.42578125" style="115" customWidth="1"/>
    <col min="11531" max="11531" width="9.42578125" style="115" bestFit="1" customWidth="1"/>
    <col min="11532" max="11772" width="9.42578125" style="115" customWidth="1"/>
    <col min="11773" max="11773" width="47.5703125" style="115" customWidth="1"/>
    <col min="11774" max="11776" width="47.5703125" style="115"/>
    <col min="11777" max="11777" width="50.5703125" style="115" bestFit="1" customWidth="1"/>
    <col min="11778" max="11778" width="12.5703125" style="115" bestFit="1" customWidth="1"/>
    <col min="11779" max="11779" width="13.42578125" style="115" bestFit="1" customWidth="1"/>
    <col min="11780" max="11780" width="13.42578125" style="115" customWidth="1"/>
    <col min="11781" max="11782" width="9.42578125" style="115" customWidth="1"/>
    <col min="11783" max="11783" width="12.5703125" style="115" customWidth="1"/>
    <col min="11784" max="11784" width="10.42578125" style="115" customWidth="1"/>
    <col min="11785" max="11786" width="9.42578125" style="115" customWidth="1"/>
    <col min="11787" max="11787" width="9.42578125" style="115" bestFit="1" customWidth="1"/>
    <col min="11788" max="12028" width="9.42578125" style="115" customWidth="1"/>
    <col min="12029" max="12029" width="47.5703125" style="115" customWidth="1"/>
    <col min="12030" max="12032" width="47.5703125" style="115"/>
    <col min="12033" max="12033" width="50.5703125" style="115" bestFit="1" customWidth="1"/>
    <col min="12034" max="12034" width="12.5703125" style="115" bestFit="1" customWidth="1"/>
    <col min="12035" max="12035" width="13.42578125" style="115" bestFit="1" customWidth="1"/>
    <col min="12036" max="12036" width="13.42578125" style="115" customWidth="1"/>
    <col min="12037" max="12038" width="9.42578125" style="115" customWidth="1"/>
    <col min="12039" max="12039" width="12.5703125" style="115" customWidth="1"/>
    <col min="12040" max="12040" width="10.42578125" style="115" customWidth="1"/>
    <col min="12041" max="12042" width="9.42578125" style="115" customWidth="1"/>
    <col min="12043" max="12043" width="9.42578125" style="115" bestFit="1" customWidth="1"/>
    <col min="12044" max="12284" width="9.42578125" style="115" customWidth="1"/>
    <col min="12285" max="12285" width="47.5703125" style="115" customWidth="1"/>
    <col min="12286" max="12288" width="47.5703125" style="115"/>
    <col min="12289" max="12289" width="50.5703125" style="115" bestFit="1" customWidth="1"/>
    <col min="12290" max="12290" width="12.5703125" style="115" bestFit="1" customWidth="1"/>
    <col min="12291" max="12291" width="13.42578125" style="115" bestFit="1" customWidth="1"/>
    <col min="12292" max="12292" width="13.42578125" style="115" customWidth="1"/>
    <col min="12293" max="12294" width="9.42578125" style="115" customWidth="1"/>
    <col min="12295" max="12295" width="12.5703125" style="115" customWidth="1"/>
    <col min="12296" max="12296" width="10.42578125" style="115" customWidth="1"/>
    <col min="12297" max="12298" width="9.42578125" style="115" customWidth="1"/>
    <col min="12299" max="12299" width="9.42578125" style="115" bestFit="1" customWidth="1"/>
    <col min="12300" max="12540" width="9.42578125" style="115" customWidth="1"/>
    <col min="12541" max="12541" width="47.5703125" style="115" customWidth="1"/>
    <col min="12542" max="12544" width="47.5703125" style="115"/>
    <col min="12545" max="12545" width="50.5703125" style="115" bestFit="1" customWidth="1"/>
    <col min="12546" max="12546" width="12.5703125" style="115" bestFit="1" customWidth="1"/>
    <col min="12547" max="12547" width="13.42578125" style="115" bestFit="1" customWidth="1"/>
    <col min="12548" max="12548" width="13.42578125" style="115" customWidth="1"/>
    <col min="12549" max="12550" width="9.42578125" style="115" customWidth="1"/>
    <col min="12551" max="12551" width="12.5703125" style="115" customWidth="1"/>
    <col min="12552" max="12552" width="10.42578125" style="115" customWidth="1"/>
    <col min="12553" max="12554" width="9.42578125" style="115" customWidth="1"/>
    <col min="12555" max="12555" width="9.42578125" style="115" bestFit="1" customWidth="1"/>
    <col min="12556" max="12796" width="9.42578125" style="115" customWidth="1"/>
    <col min="12797" max="12797" width="47.5703125" style="115" customWidth="1"/>
    <col min="12798" max="12800" width="47.5703125" style="115"/>
    <col min="12801" max="12801" width="50.5703125" style="115" bestFit="1" customWidth="1"/>
    <col min="12802" max="12802" width="12.5703125" style="115" bestFit="1" customWidth="1"/>
    <col min="12803" max="12803" width="13.42578125" style="115" bestFit="1" customWidth="1"/>
    <col min="12804" max="12804" width="13.42578125" style="115" customWidth="1"/>
    <col min="12805" max="12806" width="9.42578125" style="115" customWidth="1"/>
    <col min="12807" max="12807" width="12.5703125" style="115" customWidth="1"/>
    <col min="12808" max="12808" width="10.42578125" style="115" customWidth="1"/>
    <col min="12809" max="12810" width="9.42578125" style="115" customWidth="1"/>
    <col min="12811" max="12811" width="9.42578125" style="115" bestFit="1" customWidth="1"/>
    <col min="12812" max="13052" width="9.42578125" style="115" customWidth="1"/>
    <col min="13053" max="13053" width="47.5703125" style="115" customWidth="1"/>
    <col min="13054" max="13056" width="47.5703125" style="115"/>
    <col min="13057" max="13057" width="50.5703125" style="115" bestFit="1" customWidth="1"/>
    <col min="13058" max="13058" width="12.5703125" style="115" bestFit="1" customWidth="1"/>
    <col min="13059" max="13059" width="13.42578125" style="115" bestFit="1" customWidth="1"/>
    <col min="13060" max="13060" width="13.42578125" style="115" customWidth="1"/>
    <col min="13061" max="13062" width="9.42578125" style="115" customWidth="1"/>
    <col min="13063" max="13063" width="12.5703125" style="115" customWidth="1"/>
    <col min="13064" max="13064" width="10.42578125" style="115" customWidth="1"/>
    <col min="13065" max="13066" width="9.42578125" style="115" customWidth="1"/>
    <col min="13067" max="13067" width="9.42578125" style="115" bestFit="1" customWidth="1"/>
    <col min="13068" max="13308" width="9.42578125" style="115" customWidth="1"/>
    <col min="13309" max="13309" width="47.5703125" style="115" customWidth="1"/>
    <col min="13310" max="13312" width="47.5703125" style="115"/>
    <col min="13313" max="13313" width="50.5703125" style="115" bestFit="1" customWidth="1"/>
    <col min="13314" max="13314" width="12.5703125" style="115" bestFit="1" customWidth="1"/>
    <col min="13315" max="13315" width="13.42578125" style="115" bestFit="1" customWidth="1"/>
    <col min="13316" max="13316" width="13.42578125" style="115" customWidth="1"/>
    <col min="13317" max="13318" width="9.42578125" style="115" customWidth="1"/>
    <col min="13319" max="13319" width="12.5703125" style="115" customWidth="1"/>
    <col min="13320" max="13320" width="10.42578125" style="115" customWidth="1"/>
    <col min="13321" max="13322" width="9.42578125" style="115" customWidth="1"/>
    <col min="13323" max="13323" width="9.42578125" style="115" bestFit="1" customWidth="1"/>
    <col min="13324" max="13564" width="9.42578125" style="115" customWidth="1"/>
    <col min="13565" max="13565" width="47.5703125" style="115" customWidth="1"/>
    <col min="13566" max="13568" width="47.5703125" style="115"/>
    <col min="13569" max="13569" width="50.5703125" style="115" bestFit="1" customWidth="1"/>
    <col min="13570" max="13570" width="12.5703125" style="115" bestFit="1" customWidth="1"/>
    <col min="13571" max="13571" width="13.42578125" style="115" bestFit="1" customWidth="1"/>
    <col min="13572" max="13572" width="13.42578125" style="115" customWidth="1"/>
    <col min="13573" max="13574" width="9.42578125" style="115" customWidth="1"/>
    <col min="13575" max="13575" width="12.5703125" style="115" customWidth="1"/>
    <col min="13576" max="13576" width="10.42578125" style="115" customWidth="1"/>
    <col min="13577" max="13578" width="9.42578125" style="115" customWidth="1"/>
    <col min="13579" max="13579" width="9.42578125" style="115" bestFit="1" customWidth="1"/>
    <col min="13580" max="13820" width="9.42578125" style="115" customWidth="1"/>
    <col min="13821" max="13821" width="47.5703125" style="115" customWidth="1"/>
    <col min="13822" max="13824" width="47.5703125" style="115"/>
    <col min="13825" max="13825" width="50.5703125" style="115" bestFit="1" customWidth="1"/>
    <col min="13826" max="13826" width="12.5703125" style="115" bestFit="1" customWidth="1"/>
    <col min="13827" max="13827" width="13.42578125" style="115" bestFit="1" customWidth="1"/>
    <col min="13828" max="13828" width="13.42578125" style="115" customWidth="1"/>
    <col min="13829" max="13830" width="9.42578125" style="115" customWidth="1"/>
    <col min="13831" max="13831" width="12.5703125" style="115" customWidth="1"/>
    <col min="13832" max="13832" width="10.42578125" style="115" customWidth="1"/>
    <col min="13833" max="13834" width="9.42578125" style="115" customWidth="1"/>
    <col min="13835" max="13835" width="9.42578125" style="115" bestFit="1" customWidth="1"/>
    <col min="13836" max="14076" width="9.42578125" style="115" customWidth="1"/>
    <col min="14077" max="14077" width="47.5703125" style="115" customWidth="1"/>
    <col min="14078" max="14080" width="47.5703125" style="115"/>
    <col min="14081" max="14081" width="50.5703125" style="115" bestFit="1" customWidth="1"/>
    <col min="14082" max="14082" width="12.5703125" style="115" bestFit="1" customWidth="1"/>
    <col min="14083" max="14083" width="13.42578125" style="115" bestFit="1" customWidth="1"/>
    <col min="14084" max="14084" width="13.42578125" style="115" customWidth="1"/>
    <col min="14085" max="14086" width="9.42578125" style="115" customWidth="1"/>
    <col min="14087" max="14087" width="12.5703125" style="115" customWidth="1"/>
    <col min="14088" max="14088" width="10.42578125" style="115" customWidth="1"/>
    <col min="14089" max="14090" width="9.42578125" style="115" customWidth="1"/>
    <col min="14091" max="14091" width="9.42578125" style="115" bestFit="1" customWidth="1"/>
    <col min="14092" max="14332" width="9.42578125" style="115" customWidth="1"/>
    <col min="14333" max="14333" width="47.5703125" style="115" customWidth="1"/>
    <col min="14334" max="14336" width="47.5703125" style="115"/>
    <col min="14337" max="14337" width="50.5703125" style="115" bestFit="1" customWidth="1"/>
    <col min="14338" max="14338" width="12.5703125" style="115" bestFit="1" customWidth="1"/>
    <col min="14339" max="14339" width="13.42578125" style="115" bestFit="1" customWidth="1"/>
    <col min="14340" max="14340" width="13.42578125" style="115" customWidth="1"/>
    <col min="14341" max="14342" width="9.42578125" style="115" customWidth="1"/>
    <col min="14343" max="14343" width="12.5703125" style="115" customWidth="1"/>
    <col min="14344" max="14344" width="10.42578125" style="115" customWidth="1"/>
    <col min="14345" max="14346" width="9.42578125" style="115" customWidth="1"/>
    <col min="14347" max="14347" width="9.42578125" style="115" bestFit="1" customWidth="1"/>
    <col min="14348" max="14588" width="9.42578125" style="115" customWidth="1"/>
    <col min="14589" max="14589" width="47.5703125" style="115" customWidth="1"/>
    <col min="14590" max="14592" width="47.5703125" style="115"/>
    <col min="14593" max="14593" width="50.5703125" style="115" bestFit="1" customWidth="1"/>
    <col min="14594" max="14594" width="12.5703125" style="115" bestFit="1" customWidth="1"/>
    <col min="14595" max="14595" width="13.42578125" style="115" bestFit="1" customWidth="1"/>
    <col min="14596" max="14596" width="13.42578125" style="115" customWidth="1"/>
    <col min="14597" max="14598" width="9.42578125" style="115" customWidth="1"/>
    <col min="14599" max="14599" width="12.5703125" style="115" customWidth="1"/>
    <col min="14600" max="14600" width="10.42578125" style="115" customWidth="1"/>
    <col min="14601" max="14602" width="9.42578125" style="115" customWidth="1"/>
    <col min="14603" max="14603" width="9.42578125" style="115" bestFit="1" customWidth="1"/>
    <col min="14604" max="14844" width="9.42578125" style="115" customWidth="1"/>
    <col min="14845" max="14845" width="47.5703125" style="115" customWidth="1"/>
    <col min="14846" max="14848" width="47.5703125" style="115"/>
    <col min="14849" max="14849" width="50.5703125" style="115" bestFit="1" customWidth="1"/>
    <col min="14850" max="14850" width="12.5703125" style="115" bestFit="1" customWidth="1"/>
    <col min="14851" max="14851" width="13.42578125" style="115" bestFit="1" customWidth="1"/>
    <col min="14852" max="14852" width="13.42578125" style="115" customWidth="1"/>
    <col min="14853" max="14854" width="9.42578125" style="115" customWidth="1"/>
    <col min="14855" max="14855" width="12.5703125" style="115" customWidth="1"/>
    <col min="14856" max="14856" width="10.42578125" style="115" customWidth="1"/>
    <col min="14857" max="14858" width="9.42578125" style="115" customWidth="1"/>
    <col min="14859" max="14859" width="9.42578125" style="115" bestFit="1" customWidth="1"/>
    <col min="14860" max="15100" width="9.42578125" style="115" customWidth="1"/>
    <col min="15101" max="15101" width="47.5703125" style="115" customWidth="1"/>
    <col min="15102" max="15104" width="47.5703125" style="115"/>
    <col min="15105" max="15105" width="50.5703125" style="115" bestFit="1" customWidth="1"/>
    <col min="15106" max="15106" width="12.5703125" style="115" bestFit="1" customWidth="1"/>
    <col min="15107" max="15107" width="13.42578125" style="115" bestFit="1" customWidth="1"/>
    <col min="15108" max="15108" width="13.42578125" style="115" customWidth="1"/>
    <col min="15109" max="15110" width="9.42578125" style="115" customWidth="1"/>
    <col min="15111" max="15111" width="12.5703125" style="115" customWidth="1"/>
    <col min="15112" max="15112" width="10.42578125" style="115" customWidth="1"/>
    <col min="15113" max="15114" width="9.42578125" style="115" customWidth="1"/>
    <col min="15115" max="15115" width="9.42578125" style="115" bestFit="1" customWidth="1"/>
    <col min="15116" max="15356" width="9.42578125" style="115" customWidth="1"/>
    <col min="15357" max="15357" width="47.5703125" style="115" customWidth="1"/>
    <col min="15358" max="15360" width="47.5703125" style="115"/>
    <col min="15361" max="15361" width="50.5703125" style="115" bestFit="1" customWidth="1"/>
    <col min="15362" max="15362" width="12.5703125" style="115" bestFit="1" customWidth="1"/>
    <col min="15363" max="15363" width="13.42578125" style="115" bestFit="1" customWidth="1"/>
    <col min="15364" max="15364" width="13.42578125" style="115" customWidth="1"/>
    <col min="15365" max="15366" width="9.42578125" style="115" customWidth="1"/>
    <col min="15367" max="15367" width="12.5703125" style="115" customWidth="1"/>
    <col min="15368" max="15368" width="10.42578125" style="115" customWidth="1"/>
    <col min="15369" max="15370" width="9.42578125" style="115" customWidth="1"/>
    <col min="15371" max="15371" width="9.42578125" style="115" bestFit="1" customWidth="1"/>
    <col min="15372" max="15612" width="9.42578125" style="115" customWidth="1"/>
    <col min="15613" max="15613" width="47.5703125" style="115" customWidth="1"/>
    <col min="15614" max="15616" width="47.5703125" style="115"/>
    <col min="15617" max="15617" width="50.5703125" style="115" bestFit="1" customWidth="1"/>
    <col min="15618" max="15618" width="12.5703125" style="115" bestFit="1" customWidth="1"/>
    <col min="15619" max="15619" width="13.42578125" style="115" bestFit="1" customWidth="1"/>
    <col min="15620" max="15620" width="13.42578125" style="115" customWidth="1"/>
    <col min="15621" max="15622" width="9.42578125" style="115" customWidth="1"/>
    <col min="15623" max="15623" width="12.5703125" style="115" customWidth="1"/>
    <col min="15624" max="15624" width="10.42578125" style="115" customWidth="1"/>
    <col min="15625" max="15626" width="9.42578125" style="115" customWidth="1"/>
    <col min="15627" max="15627" width="9.42578125" style="115" bestFit="1" customWidth="1"/>
    <col min="15628" max="15868" width="9.42578125" style="115" customWidth="1"/>
    <col min="15869" max="15869" width="47.5703125" style="115" customWidth="1"/>
    <col min="15870" max="15872" width="47.5703125" style="115"/>
    <col min="15873" max="15873" width="50.5703125" style="115" bestFit="1" customWidth="1"/>
    <col min="15874" max="15874" width="12.5703125" style="115" bestFit="1" customWidth="1"/>
    <col min="15875" max="15875" width="13.42578125" style="115" bestFit="1" customWidth="1"/>
    <col min="15876" max="15876" width="13.42578125" style="115" customWidth="1"/>
    <col min="15877" max="15878" width="9.42578125" style="115" customWidth="1"/>
    <col min="15879" max="15879" width="12.5703125" style="115" customWidth="1"/>
    <col min="15880" max="15880" width="10.42578125" style="115" customWidth="1"/>
    <col min="15881" max="15882" width="9.42578125" style="115" customWidth="1"/>
    <col min="15883" max="15883" width="9.42578125" style="115" bestFit="1" customWidth="1"/>
    <col min="15884" max="16124" width="9.42578125" style="115" customWidth="1"/>
    <col min="16125" max="16125" width="47.5703125" style="115" customWidth="1"/>
    <col min="16126" max="16128" width="47.5703125" style="115"/>
    <col min="16129" max="16129" width="50.5703125" style="115" bestFit="1" customWidth="1"/>
    <col min="16130" max="16130" width="12.5703125" style="115" bestFit="1" customWidth="1"/>
    <col min="16131" max="16131" width="13.42578125" style="115" bestFit="1" customWidth="1"/>
    <col min="16132" max="16132" width="13.42578125" style="115" customWidth="1"/>
    <col min="16133" max="16134" width="9.42578125" style="115" customWidth="1"/>
    <col min="16135" max="16135" width="12.5703125" style="115" customWidth="1"/>
    <col min="16136" max="16136" width="10.42578125" style="115" customWidth="1"/>
    <col min="16137" max="16138" width="9.42578125" style="115" customWidth="1"/>
    <col min="16139" max="16139" width="9.42578125" style="115" bestFit="1" customWidth="1"/>
    <col min="16140" max="16380" width="9.42578125" style="115" customWidth="1"/>
    <col min="16381" max="16381" width="47.5703125" style="115" customWidth="1"/>
    <col min="16382" max="16384" width="47.5703125" style="115"/>
  </cols>
  <sheetData>
    <row r="1" spans="1:17" ht="18.75">
      <c r="A1" s="857" t="s">
        <v>327</v>
      </c>
      <c r="B1" s="857"/>
      <c r="C1" s="857"/>
      <c r="D1" s="857"/>
    </row>
    <row r="3" spans="1:17">
      <c r="A3" s="858" t="s">
        <v>238</v>
      </c>
      <c r="B3" s="858"/>
      <c r="C3" s="858"/>
      <c r="D3" s="858"/>
      <c r="E3" s="208"/>
      <c r="F3" s="209" t="s">
        <v>164</v>
      </c>
      <c r="G3" s="210"/>
      <c r="H3" s="210"/>
      <c r="I3" s="210"/>
      <c r="J3" s="210"/>
      <c r="K3" s="211"/>
    </row>
    <row r="4" spans="1:17">
      <c r="E4" s="212"/>
      <c r="F4" s="213"/>
      <c r="K4" s="214"/>
    </row>
    <row r="5" spans="1:17">
      <c r="A5" s="859" t="s">
        <v>333</v>
      </c>
      <c r="B5" s="859"/>
      <c r="C5" s="859"/>
      <c r="D5" s="859"/>
      <c r="E5" s="212"/>
      <c r="G5" s="108" t="s">
        <v>239</v>
      </c>
      <c r="H5" s="108" t="s">
        <v>240</v>
      </c>
      <c r="I5" s="108" t="s">
        <v>241</v>
      </c>
      <c r="K5" s="214"/>
    </row>
    <row r="6" spans="1:17">
      <c r="E6" s="216" t="s">
        <v>335</v>
      </c>
      <c r="F6" s="102" t="s">
        <v>237</v>
      </c>
      <c r="G6" s="235" t="e">
        <f>'SAP DRAFT'!#REF!-8309</f>
        <v>#REF!</v>
      </c>
      <c r="H6" s="215">
        <v>60478</v>
      </c>
      <c r="I6" s="215" t="e">
        <f>G6-H6</f>
        <v>#REF!</v>
      </c>
      <c r="J6" s="102" t="s">
        <v>337</v>
      </c>
      <c r="K6" s="214"/>
    </row>
    <row r="7" spans="1:17">
      <c r="B7" s="103" t="s">
        <v>115</v>
      </c>
      <c r="C7" s="103" t="s">
        <v>115</v>
      </c>
      <c r="D7" s="103"/>
      <c r="E7" s="216" t="s">
        <v>343</v>
      </c>
      <c r="F7" s="102" t="s">
        <v>317</v>
      </c>
      <c r="G7" s="235" t="e">
        <f>'SAP DRAFT'!J115+'SAP DRAFT'!#REF!+8309</f>
        <v>#REF!</v>
      </c>
      <c r="H7" s="235" t="e">
        <f>G7*0.8</f>
        <v>#REF!</v>
      </c>
      <c r="I7" s="235" t="e">
        <f>G7-H7</f>
        <v>#REF!</v>
      </c>
      <c r="J7" s="102" t="s">
        <v>334</v>
      </c>
      <c r="K7" s="214"/>
    </row>
    <row r="8" spans="1:17">
      <c r="B8" s="103"/>
      <c r="E8" s="216">
        <v>979003</v>
      </c>
      <c r="F8" s="102" t="s">
        <v>331</v>
      </c>
      <c r="G8" s="235" t="e">
        <f>'SAP DRAFT'!#REF!</f>
        <v>#REF!</v>
      </c>
      <c r="H8" s="235">
        <v>5840</v>
      </c>
      <c r="I8" s="235" t="e">
        <f>G8-H8</f>
        <v>#REF!</v>
      </c>
      <c r="J8" s="102" t="s">
        <v>337</v>
      </c>
      <c r="K8" s="214"/>
    </row>
    <row r="9" spans="1:17">
      <c r="A9" s="102" t="s">
        <v>162</v>
      </c>
      <c r="B9" s="66"/>
      <c r="C9" s="67" t="e">
        <f>'P&amp;L'!#REF!+'P&amp;L'!#REF!</f>
        <v>#REF!</v>
      </c>
      <c r="D9" s="67"/>
      <c r="E9" s="216">
        <v>979004</v>
      </c>
      <c r="F9" s="102" t="s">
        <v>336</v>
      </c>
      <c r="G9" s="235" t="e">
        <f>'SAP DRAFT'!#REF!</f>
        <v>#REF!</v>
      </c>
      <c r="H9" s="235">
        <v>396</v>
      </c>
      <c r="I9" s="235" t="e">
        <f>G9-H9</f>
        <v>#REF!</v>
      </c>
      <c r="J9" s="102" t="s">
        <v>342</v>
      </c>
      <c r="K9" s="214"/>
      <c r="M9" s="238" t="s">
        <v>341</v>
      </c>
    </row>
    <row r="10" spans="1:17" ht="18.75">
      <c r="B10" s="67"/>
      <c r="C10" s="104"/>
      <c r="D10" s="104"/>
      <c r="E10" s="216"/>
      <c r="F10" s="102" t="s">
        <v>242</v>
      </c>
      <c r="G10" s="206" t="e">
        <f>'NotesP&amp;L'!#REF!+'NotesP&amp;L'!#REF!+'NotesP&amp;L'!#REF!</f>
        <v>#REF!</v>
      </c>
      <c r="H10" s="206">
        <v>70397</v>
      </c>
      <c r="I10" s="151" t="e">
        <f>G10-H10</f>
        <v>#REF!</v>
      </c>
      <c r="J10" s="102" t="s">
        <v>392</v>
      </c>
      <c r="K10" s="214"/>
      <c r="M10" s="237" t="s">
        <v>338</v>
      </c>
      <c r="Q10" s="102">
        <f>Q13/4*2</f>
        <v>198</v>
      </c>
    </row>
    <row r="11" spans="1:17">
      <c r="A11" s="106" t="s">
        <v>196</v>
      </c>
      <c r="B11" s="66"/>
      <c r="C11" s="67"/>
      <c r="D11" s="67"/>
      <c r="E11" s="217"/>
      <c r="F11" s="218"/>
      <c r="G11" s="151"/>
      <c r="H11" s="151"/>
      <c r="I11" s="151" t="e">
        <f>SUM(I6:I10)</f>
        <v>#REF!</v>
      </c>
      <c r="J11" s="218"/>
      <c r="K11" s="219"/>
      <c r="M11" s="237" t="s">
        <v>339</v>
      </c>
      <c r="Q11" s="102">
        <f>Q13/4</f>
        <v>99</v>
      </c>
    </row>
    <row r="12" spans="1:17">
      <c r="A12" s="102" t="s">
        <v>164</v>
      </c>
      <c r="B12" s="67" t="e">
        <f>I11</f>
        <v>#REF!</v>
      </c>
      <c r="C12" s="67"/>
      <c r="D12" s="67"/>
      <c r="M12" s="237" t="s">
        <v>340</v>
      </c>
      <c r="Q12" s="218">
        <f>Q13/4</f>
        <v>99</v>
      </c>
    </row>
    <row r="13" spans="1:17">
      <c r="A13" s="102" t="s">
        <v>166</v>
      </c>
      <c r="B13" s="67" t="e">
        <f>NotesBS!#REF!-NotesBS!#REF!</f>
        <v>#REF!</v>
      </c>
      <c r="C13" s="67"/>
      <c r="D13" s="67"/>
      <c r="M13" s="102" t="s">
        <v>211</v>
      </c>
      <c r="Q13" s="106">
        <v>396</v>
      </c>
    </row>
    <row r="14" spans="1:17">
      <c r="A14" s="102" t="s">
        <v>325</v>
      </c>
      <c r="B14" s="67" t="e">
        <f>'מו"פ - נספח'!E12</f>
        <v>#REF!</v>
      </c>
      <c r="C14" s="67"/>
      <c r="D14" s="167" t="s">
        <v>253</v>
      </c>
      <c r="I14" s="168"/>
    </row>
    <row r="15" spans="1:17">
      <c r="A15" s="102" t="s">
        <v>344</v>
      </c>
      <c r="B15" s="67">
        <f>'סיעף 32 (9)'!F27</f>
        <v>34169</v>
      </c>
      <c r="C15" s="67"/>
      <c r="D15" s="167" t="s">
        <v>384</v>
      </c>
    </row>
    <row r="16" spans="1:17" ht="18">
      <c r="A16" s="236" t="s">
        <v>345</v>
      </c>
      <c r="B16" s="130"/>
      <c r="C16" s="67"/>
      <c r="D16" s="239" t="s">
        <v>332</v>
      </c>
    </row>
    <row r="17" spans="1:8">
      <c r="B17" s="108"/>
      <c r="C17" s="109" t="e">
        <f>SUM(B12:B15)</f>
        <v>#REF!</v>
      </c>
      <c r="D17" s="67"/>
    </row>
    <row r="18" spans="1:8">
      <c r="A18" s="115"/>
      <c r="B18" s="115"/>
      <c r="C18" s="115"/>
      <c r="D18" s="67"/>
      <c r="H18" s="107"/>
    </row>
    <row r="19" spans="1:8">
      <c r="A19" s="106" t="s">
        <v>163</v>
      </c>
      <c r="B19" s="108"/>
      <c r="C19" s="109"/>
      <c r="D19" s="106"/>
    </row>
    <row r="20" spans="1:8">
      <c r="A20" s="102" t="s">
        <v>326</v>
      </c>
      <c r="B20" s="207" t="e">
        <f>'מו"פ - נספח'!E24</f>
        <v>#REF!</v>
      </c>
      <c r="C20" s="109"/>
      <c r="D20" s="109"/>
    </row>
    <row r="21" spans="1:8" ht="18">
      <c r="A21" s="102" t="s">
        <v>230</v>
      </c>
      <c r="B21" s="130" t="e">
        <f>-'NotesP&amp;L'!#REF!</f>
        <v>#REF!</v>
      </c>
      <c r="C21" s="109"/>
      <c r="D21" s="109"/>
    </row>
    <row r="22" spans="1:8" ht="18">
      <c r="B22" s="108"/>
      <c r="C22" s="143" t="e">
        <f>-SUM(B20:B21)</f>
        <v>#REF!</v>
      </c>
      <c r="D22" s="109"/>
    </row>
    <row r="23" spans="1:8" ht="18.75">
      <c r="B23" s="67"/>
      <c r="C23" s="104"/>
      <c r="D23" s="104"/>
      <c r="G23" s="105"/>
    </row>
    <row r="24" spans="1:8">
      <c r="A24" s="106" t="s">
        <v>235</v>
      </c>
      <c r="C24" s="81" t="e">
        <f>C9+C17+C22</f>
        <v>#REF!</v>
      </c>
      <c r="D24" s="81"/>
    </row>
    <row r="25" spans="1:8" ht="18.75">
      <c r="B25" s="67"/>
      <c r="C25" s="110" t="s">
        <v>172</v>
      </c>
      <c r="D25" s="110"/>
    </row>
    <row r="26" spans="1:8">
      <c r="A26" s="102" t="s">
        <v>387</v>
      </c>
      <c r="B26" s="67"/>
      <c r="C26" s="67">
        <v>-1251204</v>
      </c>
      <c r="D26" s="167" t="s">
        <v>389</v>
      </c>
    </row>
    <row r="27" spans="1:8" ht="18.75">
      <c r="B27" s="67"/>
      <c r="C27" s="110"/>
      <c r="D27" s="110"/>
    </row>
    <row r="28" spans="1:8" ht="18.75">
      <c r="A28" s="102" t="s">
        <v>388</v>
      </c>
      <c r="B28" s="67"/>
      <c r="C28" s="67" t="e">
        <f>C24+C26</f>
        <v>#REF!</v>
      </c>
      <c r="D28" s="110"/>
    </row>
    <row r="29" spans="1:8" ht="18.75">
      <c r="B29" s="67"/>
      <c r="C29" s="110"/>
      <c r="D29" s="110"/>
    </row>
    <row r="30" spans="1:8" ht="18.75">
      <c r="B30" s="67"/>
      <c r="C30" s="110"/>
      <c r="D30" s="110"/>
    </row>
    <row r="31" spans="1:8">
      <c r="A31" s="102" t="s">
        <v>390</v>
      </c>
    </row>
    <row r="33" spans="1:4">
      <c r="A33" s="111" t="s">
        <v>173</v>
      </c>
    </row>
    <row r="34" spans="1:4">
      <c r="A34" s="105" t="s">
        <v>220</v>
      </c>
    </row>
    <row r="35" spans="1:4">
      <c r="A35" s="111"/>
    </row>
    <row r="36" spans="1:4">
      <c r="A36" s="111"/>
    </row>
    <row r="37" spans="1:4">
      <c r="A37" s="111"/>
    </row>
    <row r="38" spans="1:4">
      <c r="A38" s="111"/>
    </row>
    <row r="39" spans="1:4">
      <c r="A39" s="111"/>
    </row>
    <row r="40" spans="1:4">
      <c r="A40" s="111"/>
    </row>
    <row r="42" spans="1:4">
      <c r="A42" s="102" t="s">
        <v>229</v>
      </c>
      <c r="B42" s="112"/>
      <c r="C42" s="67">
        <v>0</v>
      </c>
      <c r="D42" s="113"/>
    </row>
    <row r="44" spans="1:4">
      <c r="B44" s="114"/>
    </row>
  </sheetData>
  <mergeCells count="3">
    <mergeCell ref="A1:D1"/>
    <mergeCell ref="A3:D3"/>
    <mergeCell ref="A5:D5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6"/>
  <sheetViews>
    <sheetView rightToLeft="1" zoomScale="90" zoomScaleNormal="90" workbookViewId="0">
      <selection activeCell="G32" sqref="G32:H32"/>
    </sheetView>
  </sheetViews>
  <sheetFormatPr defaultColWidth="9.42578125" defaultRowHeight="15"/>
  <cols>
    <col min="1" max="1" width="9.42578125" style="153"/>
    <col min="2" max="2" width="48.42578125" style="153" customWidth="1"/>
    <col min="3" max="3" width="15.5703125" style="153" customWidth="1"/>
    <col min="4" max="4" width="16.5703125" style="153" customWidth="1"/>
    <col min="5" max="5" width="18.42578125" style="153" bestFit="1" customWidth="1"/>
    <col min="6" max="6" width="4.5703125" style="153" customWidth="1"/>
    <col min="7" max="7" width="12.5703125" style="153" customWidth="1"/>
    <col min="8" max="8" width="11.5703125" style="153" customWidth="1"/>
    <col min="9" max="9" width="10.42578125" style="153" bestFit="1" customWidth="1"/>
    <col min="10" max="16384" width="9.42578125" style="153"/>
  </cols>
  <sheetData>
    <row r="1" spans="1:10" ht="15.75" thickBot="1">
      <c r="E1" s="154"/>
      <c r="F1" s="154"/>
      <c r="G1" s="154"/>
    </row>
    <row r="2" spans="1:10" s="156" customFormat="1">
      <c r="A2" s="155"/>
      <c r="B2" s="861" t="s">
        <v>346</v>
      </c>
      <c r="C2" s="862"/>
      <c r="E2" s="154"/>
      <c r="F2" s="154"/>
      <c r="G2" s="154"/>
    </row>
    <row r="3" spans="1:10" s="156" customFormat="1">
      <c r="A3" s="155"/>
      <c r="B3" s="863">
        <v>42735</v>
      </c>
      <c r="C3" s="864"/>
      <c r="E3" s="154"/>
      <c r="F3" s="154"/>
      <c r="G3" s="154"/>
    </row>
    <row r="4" spans="1:10" s="156" customFormat="1" ht="15.75" thickBot="1">
      <c r="A4" s="155"/>
      <c r="B4" s="865" t="s">
        <v>243</v>
      </c>
      <c r="C4" s="866"/>
      <c r="E4" s="154"/>
      <c r="F4" s="154"/>
      <c r="G4" s="154"/>
    </row>
    <row r="5" spans="1:10" s="156" customFormat="1">
      <c r="A5" s="155"/>
      <c r="B5" s="157"/>
      <c r="C5" s="157"/>
      <c r="D5" s="157"/>
      <c r="E5" s="154"/>
      <c r="F5" s="154"/>
      <c r="G5" s="154"/>
    </row>
    <row r="6" spans="1:10">
      <c r="B6" s="158" t="s">
        <v>244</v>
      </c>
    </row>
    <row r="7" spans="1:10">
      <c r="B7" s="153" t="s">
        <v>245</v>
      </c>
      <c r="H7" s="154"/>
      <c r="I7" s="154"/>
      <c r="J7" s="154"/>
    </row>
    <row r="8" spans="1:10">
      <c r="H8" s="154"/>
      <c r="I8" s="154"/>
      <c r="J8" s="154"/>
    </row>
    <row r="9" spans="1:10">
      <c r="B9" s="159" t="s">
        <v>246</v>
      </c>
      <c r="C9" s="160" t="s">
        <v>247</v>
      </c>
      <c r="D9" s="160" t="s">
        <v>225</v>
      </c>
      <c r="E9" s="160" t="s">
        <v>248</v>
      </c>
      <c r="F9" s="867" t="s">
        <v>249</v>
      </c>
      <c r="G9" s="868"/>
      <c r="H9" s="154"/>
      <c r="I9" s="154"/>
      <c r="J9" s="154"/>
    </row>
    <row r="10" spans="1:10">
      <c r="B10" s="161" t="s">
        <v>250</v>
      </c>
      <c r="C10" s="162">
        <f>16814*3</f>
        <v>50442</v>
      </c>
      <c r="D10" s="162"/>
      <c r="E10" s="162">
        <f>C10+D10</f>
        <v>50442</v>
      </c>
      <c r="F10" s="869" t="s">
        <v>251</v>
      </c>
      <c r="G10" s="870"/>
      <c r="H10" s="154"/>
      <c r="I10" s="154"/>
      <c r="J10" s="154"/>
    </row>
    <row r="11" spans="1:10">
      <c r="B11" s="161" t="s">
        <v>318</v>
      </c>
      <c r="C11" s="162">
        <v>1054127</v>
      </c>
      <c r="D11" s="162"/>
      <c r="E11" s="162">
        <f>C11+D11</f>
        <v>1054127</v>
      </c>
      <c r="F11" s="869" t="s">
        <v>347</v>
      </c>
      <c r="G11" s="870"/>
      <c r="H11" s="154"/>
      <c r="I11" s="154"/>
      <c r="J11" s="154"/>
    </row>
    <row r="12" spans="1:10">
      <c r="B12" s="161" t="s">
        <v>348</v>
      </c>
      <c r="C12" s="162" t="e">
        <f>G34</f>
        <v>#REF!</v>
      </c>
      <c r="D12" s="162"/>
      <c r="E12" s="162" t="e">
        <f>C12+D12</f>
        <v>#REF!</v>
      </c>
      <c r="F12" s="869" t="s">
        <v>319</v>
      </c>
      <c r="G12" s="870"/>
      <c r="H12" s="154"/>
      <c r="I12" s="154"/>
      <c r="J12" s="154"/>
    </row>
    <row r="13" spans="1:10">
      <c r="C13" s="163"/>
      <c r="H13" s="154"/>
      <c r="I13" s="154"/>
      <c r="J13" s="154"/>
    </row>
    <row r="14" spans="1:10">
      <c r="B14" s="158" t="s">
        <v>252</v>
      </c>
      <c r="C14" s="164"/>
      <c r="D14" s="164"/>
      <c r="E14" s="164"/>
      <c r="F14" s="164"/>
      <c r="H14" s="165"/>
      <c r="I14" s="154"/>
      <c r="J14" s="154"/>
    </row>
    <row r="15" spans="1:10">
      <c r="C15" s="166"/>
      <c r="D15" s="166"/>
      <c r="E15" s="166"/>
    </row>
    <row r="18" spans="2:8">
      <c r="B18" s="88"/>
      <c r="C18" s="89"/>
      <c r="D18" s="90" t="s">
        <v>184</v>
      </c>
      <c r="E18" s="90" t="s">
        <v>185</v>
      </c>
      <c r="F18" s="89"/>
      <c r="G18" s="90" t="s">
        <v>186</v>
      </c>
      <c r="H18" s="88"/>
    </row>
    <row r="19" spans="2:8">
      <c r="B19" s="88"/>
      <c r="C19" s="90" t="s">
        <v>187</v>
      </c>
      <c r="D19" s="90" t="s">
        <v>188</v>
      </c>
      <c r="E19" s="90" t="s">
        <v>189</v>
      </c>
      <c r="F19" s="89"/>
      <c r="G19" s="90" t="s">
        <v>190</v>
      </c>
      <c r="H19" s="88"/>
    </row>
    <row r="20" spans="2:8">
      <c r="B20" s="88"/>
      <c r="C20" s="860" t="s">
        <v>191</v>
      </c>
      <c r="D20" s="860"/>
      <c r="E20" s="860"/>
      <c r="F20" s="860"/>
      <c r="G20" s="860"/>
      <c r="H20" s="88"/>
    </row>
    <row r="21" spans="2:8">
      <c r="B21" s="89">
        <v>2014</v>
      </c>
      <c r="C21" s="91">
        <f>E10</f>
        <v>50442</v>
      </c>
      <c r="D21" s="92">
        <f>16814*2</f>
        <v>33628</v>
      </c>
      <c r="E21" s="92">
        <v>16814</v>
      </c>
      <c r="F21" s="88"/>
      <c r="G21" s="91">
        <f>C21-D21-E21</f>
        <v>0</v>
      </c>
      <c r="H21"/>
    </row>
    <row r="22" spans="2:8">
      <c r="B22" s="89">
        <v>2015</v>
      </c>
      <c r="C22" s="91">
        <f>E11</f>
        <v>1054127</v>
      </c>
      <c r="D22" s="92">
        <f>C22/3</f>
        <v>351375.66666666669</v>
      </c>
      <c r="E22" s="92">
        <f>C22*1/3</f>
        <v>351375.66666666669</v>
      </c>
      <c r="F22" s="88"/>
      <c r="G22" s="91">
        <f>C22-D22-E22</f>
        <v>351375.66666666657</v>
      </c>
      <c r="H22"/>
    </row>
    <row r="23" spans="2:8">
      <c r="B23" s="89">
        <v>2016</v>
      </c>
      <c r="C23" s="91" t="e">
        <f>C12</f>
        <v>#REF!</v>
      </c>
      <c r="D23" s="92">
        <v>0</v>
      </c>
      <c r="E23" s="92" t="e">
        <f>C23/3</f>
        <v>#REF!</v>
      </c>
      <c r="F23" s="88"/>
      <c r="G23" s="91" t="e">
        <f>C23-D23-E23</f>
        <v>#REF!</v>
      </c>
      <c r="H23"/>
    </row>
    <row r="24" spans="2:8">
      <c r="B24" s="88"/>
      <c r="C24" s="93" t="e">
        <f t="shared" ref="C24:E24" si="0">SUM(C21:C23)</f>
        <v>#REF!</v>
      </c>
      <c r="D24" s="93">
        <f t="shared" si="0"/>
        <v>385003.66666666669</v>
      </c>
      <c r="E24" s="93" t="e">
        <f t="shared" si="0"/>
        <v>#REF!</v>
      </c>
      <c r="F24" s="93"/>
      <c r="G24" s="93" t="e">
        <f>SUM(G21:G23)</f>
        <v>#REF!</v>
      </c>
      <c r="H24" s="88"/>
    </row>
    <row r="25" spans="2:8">
      <c r="B25" s="88"/>
      <c r="C25" s="88"/>
      <c r="D25" s="88"/>
      <c r="E25" s="88"/>
      <c r="F25" s="88"/>
      <c r="G25" s="88"/>
      <c r="H25" s="88"/>
    </row>
    <row r="26" spans="2:8">
      <c r="B26" s="88"/>
      <c r="C26" s="88"/>
      <c r="D26" s="88"/>
      <c r="E26" s="88"/>
      <c r="F26" s="88"/>
      <c r="G26" s="88"/>
      <c r="H26" s="88"/>
    </row>
    <row r="27" spans="2:8">
      <c r="B27" s="88"/>
      <c r="C27" s="88"/>
      <c r="D27" s="88"/>
      <c r="E27" s="88"/>
      <c r="F27" s="88"/>
      <c r="G27" s="90">
        <v>2016</v>
      </c>
      <c r="H27" s="88"/>
    </row>
    <row r="28" spans="2:8">
      <c r="B28"/>
      <c r="C28" s="88"/>
      <c r="D28" s="88"/>
      <c r="E28" s="88" t="s">
        <v>320</v>
      </c>
      <c r="F28" s="88"/>
      <c r="G28" s="262" t="e">
        <f>'P&amp;L'!#REF!</f>
        <v>#REF!</v>
      </c>
      <c r="H28" s="88"/>
    </row>
    <row r="29" spans="2:8">
      <c r="B29"/>
      <c r="C29" s="88"/>
      <c r="D29" s="88"/>
      <c r="E29" s="88" t="s">
        <v>321</v>
      </c>
      <c r="F29" s="88"/>
      <c r="G29" s="263" t="e">
        <f>-('SAP DRAFT'!#REF!+'SAP DRAFT'!#REF!)</f>
        <v>#REF!</v>
      </c>
      <c r="H29" s="88"/>
    </row>
    <row r="30" spans="2:8">
      <c r="B30"/>
      <c r="C30" s="88"/>
      <c r="D30" s="88"/>
      <c r="E30" s="240" t="s">
        <v>322</v>
      </c>
      <c r="F30" s="240"/>
      <c r="G30" s="263">
        <v>0</v>
      </c>
      <c r="H30" s="88" t="s">
        <v>349</v>
      </c>
    </row>
    <row r="31" spans="2:8">
      <c r="B31" s="88"/>
      <c r="C31"/>
      <c r="D31" s="88"/>
      <c r="E31" s="88" t="s">
        <v>323</v>
      </c>
      <c r="F31" s="88"/>
      <c r="G31" s="263">
        <f>-'SAP DRAFT'!J115*0.2</f>
        <v>-4325.8</v>
      </c>
      <c r="H31" s="88"/>
    </row>
    <row r="32" spans="2:8">
      <c r="B32" s="88"/>
      <c r="C32"/>
      <c r="D32" s="88"/>
      <c r="E32" s="88" t="s">
        <v>350</v>
      </c>
      <c r="F32" s="88"/>
      <c r="G32" s="263">
        <f>-'סיעף 32 (9)'!I27</f>
        <v>-34169</v>
      </c>
      <c r="H32" s="88"/>
    </row>
    <row r="33" spans="2:8">
      <c r="B33" s="88"/>
      <c r="C33"/>
      <c r="D33" s="88"/>
      <c r="E33" s="88" t="s">
        <v>385</v>
      </c>
      <c r="F33" s="88"/>
      <c r="G33" s="263" t="e">
        <f>-(AE!#REF!+AE!#REF!)</f>
        <v>#REF!</v>
      </c>
      <c r="H33" s="88"/>
    </row>
    <row r="34" spans="2:8">
      <c r="B34" s="88"/>
      <c r="C34" s="88"/>
      <c r="D34" s="88"/>
      <c r="E34" s="88" t="s">
        <v>324</v>
      </c>
      <c r="F34" s="88"/>
      <c r="G34" s="93" t="e">
        <f>SUM(G28:G33)</f>
        <v>#REF!</v>
      </c>
      <c r="H34" s="88"/>
    </row>
    <row r="35" spans="2:8">
      <c r="B35" s="88"/>
      <c r="C35" s="88"/>
      <c r="D35" s="88"/>
      <c r="E35" s="88"/>
      <c r="F35" s="88"/>
      <c r="G35" s="88"/>
      <c r="H35" s="88"/>
    </row>
    <row r="36" spans="2:8">
      <c r="B36"/>
      <c r="C36"/>
      <c r="D36"/>
      <c r="E36"/>
      <c r="F36"/>
      <c r="G36"/>
      <c r="H36"/>
    </row>
  </sheetData>
  <mergeCells count="8">
    <mergeCell ref="C20:G20"/>
    <mergeCell ref="B2:C2"/>
    <mergeCell ref="B3:C3"/>
    <mergeCell ref="B4:C4"/>
    <mergeCell ref="F9:G9"/>
    <mergeCell ref="F11:G11"/>
    <mergeCell ref="F10:G10"/>
    <mergeCell ref="F12:G12"/>
  </mergeCells>
  <pageMargins left="0.75" right="0.75" top="1" bottom="1" header="0.5" footer="0.5"/>
  <pageSetup paperSize="9" scale="92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3:J50"/>
  <sheetViews>
    <sheetView rightToLeft="1" topLeftCell="A28" workbookViewId="0">
      <selection activeCell="G32" sqref="G32:H32"/>
    </sheetView>
  </sheetViews>
  <sheetFormatPr defaultRowHeight="12.75"/>
  <cols>
    <col min="1" max="2" width="6.42578125" style="241" customWidth="1"/>
    <col min="3" max="3" width="44.42578125" style="241" customWidth="1"/>
    <col min="4" max="4" width="9.42578125" style="241" hidden="1" customWidth="1"/>
    <col min="5" max="5" width="3.5703125" style="241" customWidth="1"/>
    <col min="6" max="6" width="9.42578125" style="241"/>
    <col min="7" max="7" width="3" style="241" customWidth="1"/>
    <col min="8" max="8" width="3.42578125" style="241" customWidth="1"/>
    <col min="9" max="256" width="9.42578125" style="241"/>
    <col min="257" max="258" width="6.42578125" style="241" customWidth="1"/>
    <col min="259" max="259" width="44.42578125" style="241" customWidth="1"/>
    <col min="260" max="260" width="9.42578125" style="241"/>
    <col min="261" max="261" width="3.5703125" style="241" customWidth="1"/>
    <col min="262" max="262" width="9.42578125" style="241"/>
    <col min="263" max="263" width="3" style="241" customWidth="1"/>
    <col min="264" max="264" width="3.42578125" style="241" customWidth="1"/>
    <col min="265" max="512" width="9.42578125" style="241"/>
    <col min="513" max="514" width="6.42578125" style="241" customWidth="1"/>
    <col min="515" max="515" width="44.42578125" style="241" customWidth="1"/>
    <col min="516" max="516" width="9.42578125" style="241"/>
    <col min="517" max="517" width="3.5703125" style="241" customWidth="1"/>
    <col min="518" max="518" width="9.42578125" style="241"/>
    <col min="519" max="519" width="3" style="241" customWidth="1"/>
    <col min="520" max="520" width="3.42578125" style="241" customWidth="1"/>
    <col min="521" max="768" width="9.42578125" style="241"/>
    <col min="769" max="770" width="6.42578125" style="241" customWidth="1"/>
    <col min="771" max="771" width="44.42578125" style="241" customWidth="1"/>
    <col min="772" max="772" width="9.42578125" style="241"/>
    <col min="773" max="773" width="3.5703125" style="241" customWidth="1"/>
    <col min="774" max="774" width="9.42578125" style="241"/>
    <col min="775" max="775" width="3" style="241" customWidth="1"/>
    <col min="776" max="776" width="3.42578125" style="241" customWidth="1"/>
    <col min="777" max="1024" width="9.42578125" style="241"/>
    <col min="1025" max="1026" width="6.42578125" style="241" customWidth="1"/>
    <col min="1027" max="1027" width="44.42578125" style="241" customWidth="1"/>
    <col min="1028" max="1028" width="9.42578125" style="241"/>
    <col min="1029" max="1029" width="3.5703125" style="241" customWidth="1"/>
    <col min="1030" max="1030" width="9.42578125" style="241"/>
    <col min="1031" max="1031" width="3" style="241" customWidth="1"/>
    <col min="1032" max="1032" width="3.42578125" style="241" customWidth="1"/>
    <col min="1033" max="1280" width="9.42578125" style="241"/>
    <col min="1281" max="1282" width="6.42578125" style="241" customWidth="1"/>
    <col min="1283" max="1283" width="44.42578125" style="241" customWidth="1"/>
    <col min="1284" max="1284" width="9.42578125" style="241"/>
    <col min="1285" max="1285" width="3.5703125" style="241" customWidth="1"/>
    <col min="1286" max="1286" width="9.42578125" style="241"/>
    <col min="1287" max="1287" width="3" style="241" customWidth="1"/>
    <col min="1288" max="1288" width="3.42578125" style="241" customWidth="1"/>
    <col min="1289" max="1536" width="9.42578125" style="241"/>
    <col min="1537" max="1538" width="6.42578125" style="241" customWidth="1"/>
    <col min="1539" max="1539" width="44.42578125" style="241" customWidth="1"/>
    <col min="1540" max="1540" width="9.42578125" style="241"/>
    <col min="1541" max="1541" width="3.5703125" style="241" customWidth="1"/>
    <col min="1542" max="1542" width="9.42578125" style="241"/>
    <col min="1543" max="1543" width="3" style="241" customWidth="1"/>
    <col min="1544" max="1544" width="3.42578125" style="241" customWidth="1"/>
    <col min="1545" max="1792" width="9.42578125" style="241"/>
    <col min="1793" max="1794" width="6.42578125" style="241" customWidth="1"/>
    <col min="1795" max="1795" width="44.42578125" style="241" customWidth="1"/>
    <col min="1796" max="1796" width="9.42578125" style="241"/>
    <col min="1797" max="1797" width="3.5703125" style="241" customWidth="1"/>
    <col min="1798" max="1798" width="9.42578125" style="241"/>
    <col min="1799" max="1799" width="3" style="241" customWidth="1"/>
    <col min="1800" max="1800" width="3.42578125" style="241" customWidth="1"/>
    <col min="1801" max="2048" width="9.42578125" style="241"/>
    <col min="2049" max="2050" width="6.42578125" style="241" customWidth="1"/>
    <col min="2051" max="2051" width="44.42578125" style="241" customWidth="1"/>
    <col min="2052" max="2052" width="9.42578125" style="241"/>
    <col min="2053" max="2053" width="3.5703125" style="241" customWidth="1"/>
    <col min="2054" max="2054" width="9.42578125" style="241"/>
    <col min="2055" max="2055" width="3" style="241" customWidth="1"/>
    <col min="2056" max="2056" width="3.42578125" style="241" customWidth="1"/>
    <col min="2057" max="2304" width="9.42578125" style="241"/>
    <col min="2305" max="2306" width="6.42578125" style="241" customWidth="1"/>
    <col min="2307" max="2307" width="44.42578125" style="241" customWidth="1"/>
    <col min="2308" max="2308" width="9.42578125" style="241"/>
    <col min="2309" max="2309" width="3.5703125" style="241" customWidth="1"/>
    <col min="2310" max="2310" width="9.42578125" style="241"/>
    <col min="2311" max="2311" width="3" style="241" customWidth="1"/>
    <col min="2312" max="2312" width="3.42578125" style="241" customWidth="1"/>
    <col min="2313" max="2560" width="9.42578125" style="241"/>
    <col min="2561" max="2562" width="6.42578125" style="241" customWidth="1"/>
    <col min="2563" max="2563" width="44.42578125" style="241" customWidth="1"/>
    <col min="2564" max="2564" width="9.42578125" style="241"/>
    <col min="2565" max="2565" width="3.5703125" style="241" customWidth="1"/>
    <col min="2566" max="2566" width="9.42578125" style="241"/>
    <col min="2567" max="2567" width="3" style="241" customWidth="1"/>
    <col min="2568" max="2568" width="3.42578125" style="241" customWidth="1"/>
    <col min="2569" max="2816" width="9.42578125" style="241"/>
    <col min="2817" max="2818" width="6.42578125" style="241" customWidth="1"/>
    <col min="2819" max="2819" width="44.42578125" style="241" customWidth="1"/>
    <col min="2820" max="2820" width="9.42578125" style="241"/>
    <col min="2821" max="2821" width="3.5703125" style="241" customWidth="1"/>
    <col min="2822" max="2822" width="9.42578125" style="241"/>
    <col min="2823" max="2823" width="3" style="241" customWidth="1"/>
    <col min="2824" max="2824" width="3.42578125" style="241" customWidth="1"/>
    <col min="2825" max="3072" width="9.42578125" style="241"/>
    <col min="3073" max="3074" width="6.42578125" style="241" customWidth="1"/>
    <col min="3075" max="3075" width="44.42578125" style="241" customWidth="1"/>
    <col min="3076" max="3076" width="9.42578125" style="241"/>
    <col min="3077" max="3077" width="3.5703125" style="241" customWidth="1"/>
    <col min="3078" max="3078" width="9.42578125" style="241"/>
    <col min="3079" max="3079" width="3" style="241" customWidth="1"/>
    <col min="3080" max="3080" width="3.42578125" style="241" customWidth="1"/>
    <col min="3081" max="3328" width="9.42578125" style="241"/>
    <col min="3329" max="3330" width="6.42578125" style="241" customWidth="1"/>
    <col min="3331" max="3331" width="44.42578125" style="241" customWidth="1"/>
    <col min="3332" max="3332" width="9.42578125" style="241"/>
    <col min="3333" max="3333" width="3.5703125" style="241" customWidth="1"/>
    <col min="3334" max="3334" width="9.42578125" style="241"/>
    <col min="3335" max="3335" width="3" style="241" customWidth="1"/>
    <col min="3336" max="3336" width="3.42578125" style="241" customWidth="1"/>
    <col min="3337" max="3584" width="9.42578125" style="241"/>
    <col min="3585" max="3586" width="6.42578125" style="241" customWidth="1"/>
    <col min="3587" max="3587" width="44.42578125" style="241" customWidth="1"/>
    <col min="3588" max="3588" width="9.42578125" style="241"/>
    <col min="3589" max="3589" width="3.5703125" style="241" customWidth="1"/>
    <col min="3590" max="3590" width="9.42578125" style="241"/>
    <col min="3591" max="3591" width="3" style="241" customWidth="1"/>
    <col min="3592" max="3592" width="3.42578125" style="241" customWidth="1"/>
    <col min="3593" max="3840" width="9.42578125" style="241"/>
    <col min="3841" max="3842" width="6.42578125" style="241" customWidth="1"/>
    <col min="3843" max="3843" width="44.42578125" style="241" customWidth="1"/>
    <col min="3844" max="3844" width="9.42578125" style="241"/>
    <col min="3845" max="3845" width="3.5703125" style="241" customWidth="1"/>
    <col min="3846" max="3846" width="9.42578125" style="241"/>
    <col min="3847" max="3847" width="3" style="241" customWidth="1"/>
    <col min="3848" max="3848" width="3.42578125" style="241" customWidth="1"/>
    <col min="3849" max="4096" width="9.42578125" style="241"/>
    <col min="4097" max="4098" width="6.42578125" style="241" customWidth="1"/>
    <col min="4099" max="4099" width="44.42578125" style="241" customWidth="1"/>
    <col min="4100" max="4100" width="9.42578125" style="241"/>
    <col min="4101" max="4101" width="3.5703125" style="241" customWidth="1"/>
    <col min="4102" max="4102" width="9.42578125" style="241"/>
    <col min="4103" max="4103" width="3" style="241" customWidth="1"/>
    <col min="4104" max="4104" width="3.42578125" style="241" customWidth="1"/>
    <col min="4105" max="4352" width="9.42578125" style="241"/>
    <col min="4353" max="4354" width="6.42578125" style="241" customWidth="1"/>
    <col min="4355" max="4355" width="44.42578125" style="241" customWidth="1"/>
    <col min="4356" max="4356" width="9.42578125" style="241"/>
    <col min="4357" max="4357" width="3.5703125" style="241" customWidth="1"/>
    <col min="4358" max="4358" width="9.42578125" style="241"/>
    <col min="4359" max="4359" width="3" style="241" customWidth="1"/>
    <col min="4360" max="4360" width="3.42578125" style="241" customWidth="1"/>
    <col min="4361" max="4608" width="9.42578125" style="241"/>
    <col min="4609" max="4610" width="6.42578125" style="241" customWidth="1"/>
    <col min="4611" max="4611" width="44.42578125" style="241" customWidth="1"/>
    <col min="4612" max="4612" width="9.42578125" style="241"/>
    <col min="4613" max="4613" width="3.5703125" style="241" customWidth="1"/>
    <col min="4614" max="4614" width="9.42578125" style="241"/>
    <col min="4615" max="4615" width="3" style="241" customWidth="1"/>
    <col min="4616" max="4616" width="3.42578125" style="241" customWidth="1"/>
    <col min="4617" max="4864" width="9.42578125" style="241"/>
    <col min="4865" max="4866" width="6.42578125" style="241" customWidth="1"/>
    <col min="4867" max="4867" width="44.42578125" style="241" customWidth="1"/>
    <col min="4868" max="4868" width="9.42578125" style="241"/>
    <col min="4869" max="4869" width="3.5703125" style="241" customWidth="1"/>
    <col min="4870" max="4870" width="9.42578125" style="241"/>
    <col min="4871" max="4871" width="3" style="241" customWidth="1"/>
    <col min="4872" max="4872" width="3.42578125" style="241" customWidth="1"/>
    <col min="4873" max="5120" width="9.42578125" style="241"/>
    <col min="5121" max="5122" width="6.42578125" style="241" customWidth="1"/>
    <col min="5123" max="5123" width="44.42578125" style="241" customWidth="1"/>
    <col min="5124" max="5124" width="9.42578125" style="241"/>
    <col min="5125" max="5125" width="3.5703125" style="241" customWidth="1"/>
    <col min="5126" max="5126" width="9.42578125" style="241"/>
    <col min="5127" max="5127" width="3" style="241" customWidth="1"/>
    <col min="5128" max="5128" width="3.42578125" style="241" customWidth="1"/>
    <col min="5129" max="5376" width="9.42578125" style="241"/>
    <col min="5377" max="5378" width="6.42578125" style="241" customWidth="1"/>
    <col min="5379" max="5379" width="44.42578125" style="241" customWidth="1"/>
    <col min="5380" max="5380" width="9.42578125" style="241"/>
    <col min="5381" max="5381" width="3.5703125" style="241" customWidth="1"/>
    <col min="5382" max="5382" width="9.42578125" style="241"/>
    <col min="5383" max="5383" width="3" style="241" customWidth="1"/>
    <col min="5384" max="5384" width="3.42578125" style="241" customWidth="1"/>
    <col min="5385" max="5632" width="9.42578125" style="241"/>
    <col min="5633" max="5634" width="6.42578125" style="241" customWidth="1"/>
    <col min="5635" max="5635" width="44.42578125" style="241" customWidth="1"/>
    <col min="5636" max="5636" width="9.42578125" style="241"/>
    <col min="5637" max="5637" width="3.5703125" style="241" customWidth="1"/>
    <col min="5638" max="5638" width="9.42578125" style="241"/>
    <col min="5639" max="5639" width="3" style="241" customWidth="1"/>
    <col min="5640" max="5640" width="3.42578125" style="241" customWidth="1"/>
    <col min="5641" max="5888" width="9.42578125" style="241"/>
    <col min="5889" max="5890" width="6.42578125" style="241" customWidth="1"/>
    <col min="5891" max="5891" width="44.42578125" style="241" customWidth="1"/>
    <col min="5892" max="5892" width="9.42578125" style="241"/>
    <col min="5893" max="5893" width="3.5703125" style="241" customWidth="1"/>
    <col min="5894" max="5894" width="9.42578125" style="241"/>
    <col min="5895" max="5895" width="3" style="241" customWidth="1"/>
    <col min="5896" max="5896" width="3.42578125" style="241" customWidth="1"/>
    <col min="5897" max="6144" width="9.42578125" style="241"/>
    <col min="6145" max="6146" width="6.42578125" style="241" customWidth="1"/>
    <col min="6147" max="6147" width="44.42578125" style="241" customWidth="1"/>
    <col min="6148" max="6148" width="9.42578125" style="241"/>
    <col min="6149" max="6149" width="3.5703125" style="241" customWidth="1"/>
    <col min="6150" max="6150" width="9.42578125" style="241"/>
    <col min="6151" max="6151" width="3" style="241" customWidth="1"/>
    <col min="6152" max="6152" width="3.42578125" style="241" customWidth="1"/>
    <col min="6153" max="6400" width="9.42578125" style="241"/>
    <col min="6401" max="6402" width="6.42578125" style="241" customWidth="1"/>
    <col min="6403" max="6403" width="44.42578125" style="241" customWidth="1"/>
    <col min="6404" max="6404" width="9.42578125" style="241"/>
    <col min="6405" max="6405" width="3.5703125" style="241" customWidth="1"/>
    <col min="6406" max="6406" width="9.42578125" style="241"/>
    <col min="6407" max="6407" width="3" style="241" customWidth="1"/>
    <col min="6408" max="6408" width="3.42578125" style="241" customWidth="1"/>
    <col min="6409" max="6656" width="9.42578125" style="241"/>
    <col min="6657" max="6658" width="6.42578125" style="241" customWidth="1"/>
    <col min="6659" max="6659" width="44.42578125" style="241" customWidth="1"/>
    <col min="6660" max="6660" width="9.42578125" style="241"/>
    <col min="6661" max="6661" width="3.5703125" style="241" customWidth="1"/>
    <col min="6662" max="6662" width="9.42578125" style="241"/>
    <col min="6663" max="6663" width="3" style="241" customWidth="1"/>
    <col min="6664" max="6664" width="3.42578125" style="241" customWidth="1"/>
    <col min="6665" max="6912" width="9.42578125" style="241"/>
    <col min="6913" max="6914" width="6.42578125" style="241" customWidth="1"/>
    <col min="6915" max="6915" width="44.42578125" style="241" customWidth="1"/>
    <col min="6916" max="6916" width="9.42578125" style="241"/>
    <col min="6917" max="6917" width="3.5703125" style="241" customWidth="1"/>
    <col min="6918" max="6918" width="9.42578125" style="241"/>
    <col min="6919" max="6919" width="3" style="241" customWidth="1"/>
    <col min="6920" max="6920" width="3.42578125" style="241" customWidth="1"/>
    <col min="6921" max="7168" width="9.42578125" style="241"/>
    <col min="7169" max="7170" width="6.42578125" style="241" customWidth="1"/>
    <col min="7171" max="7171" width="44.42578125" style="241" customWidth="1"/>
    <col min="7172" max="7172" width="9.42578125" style="241"/>
    <col min="7173" max="7173" width="3.5703125" style="241" customWidth="1"/>
    <col min="7174" max="7174" width="9.42578125" style="241"/>
    <col min="7175" max="7175" width="3" style="241" customWidth="1"/>
    <col min="7176" max="7176" width="3.42578125" style="241" customWidth="1"/>
    <col min="7177" max="7424" width="9.42578125" style="241"/>
    <col min="7425" max="7426" width="6.42578125" style="241" customWidth="1"/>
    <col min="7427" max="7427" width="44.42578125" style="241" customWidth="1"/>
    <col min="7428" max="7428" width="9.42578125" style="241"/>
    <col min="7429" max="7429" width="3.5703125" style="241" customWidth="1"/>
    <col min="7430" max="7430" width="9.42578125" style="241"/>
    <col min="7431" max="7431" width="3" style="241" customWidth="1"/>
    <col min="7432" max="7432" width="3.42578125" style="241" customWidth="1"/>
    <col min="7433" max="7680" width="9.42578125" style="241"/>
    <col min="7681" max="7682" width="6.42578125" style="241" customWidth="1"/>
    <col min="7683" max="7683" width="44.42578125" style="241" customWidth="1"/>
    <col min="7684" max="7684" width="9.42578125" style="241"/>
    <col min="7685" max="7685" width="3.5703125" style="241" customWidth="1"/>
    <col min="7686" max="7686" width="9.42578125" style="241"/>
    <col min="7687" max="7687" width="3" style="241" customWidth="1"/>
    <col min="7688" max="7688" width="3.42578125" style="241" customWidth="1"/>
    <col min="7689" max="7936" width="9.42578125" style="241"/>
    <col min="7937" max="7938" width="6.42578125" style="241" customWidth="1"/>
    <col min="7939" max="7939" width="44.42578125" style="241" customWidth="1"/>
    <col min="7940" max="7940" width="9.42578125" style="241"/>
    <col min="7941" max="7941" width="3.5703125" style="241" customWidth="1"/>
    <col min="7942" max="7942" width="9.42578125" style="241"/>
    <col min="7943" max="7943" width="3" style="241" customWidth="1"/>
    <col min="7944" max="7944" width="3.42578125" style="241" customWidth="1"/>
    <col min="7945" max="8192" width="9.42578125" style="241"/>
    <col min="8193" max="8194" width="6.42578125" style="241" customWidth="1"/>
    <col min="8195" max="8195" width="44.42578125" style="241" customWidth="1"/>
    <col min="8196" max="8196" width="9.42578125" style="241"/>
    <col min="8197" max="8197" width="3.5703125" style="241" customWidth="1"/>
    <col min="8198" max="8198" width="9.42578125" style="241"/>
    <col min="8199" max="8199" width="3" style="241" customWidth="1"/>
    <col min="8200" max="8200" width="3.42578125" style="241" customWidth="1"/>
    <col min="8201" max="8448" width="9.42578125" style="241"/>
    <col min="8449" max="8450" width="6.42578125" style="241" customWidth="1"/>
    <col min="8451" max="8451" width="44.42578125" style="241" customWidth="1"/>
    <col min="8452" max="8452" width="9.42578125" style="241"/>
    <col min="8453" max="8453" width="3.5703125" style="241" customWidth="1"/>
    <col min="8454" max="8454" width="9.42578125" style="241"/>
    <col min="8455" max="8455" width="3" style="241" customWidth="1"/>
    <col min="8456" max="8456" width="3.42578125" style="241" customWidth="1"/>
    <col min="8457" max="8704" width="9.42578125" style="241"/>
    <col min="8705" max="8706" width="6.42578125" style="241" customWidth="1"/>
    <col min="8707" max="8707" width="44.42578125" style="241" customWidth="1"/>
    <col min="8708" max="8708" width="9.42578125" style="241"/>
    <col min="8709" max="8709" width="3.5703125" style="241" customWidth="1"/>
    <col min="8710" max="8710" width="9.42578125" style="241"/>
    <col min="8711" max="8711" width="3" style="241" customWidth="1"/>
    <col min="8712" max="8712" width="3.42578125" style="241" customWidth="1"/>
    <col min="8713" max="8960" width="9.42578125" style="241"/>
    <col min="8961" max="8962" width="6.42578125" style="241" customWidth="1"/>
    <col min="8963" max="8963" width="44.42578125" style="241" customWidth="1"/>
    <col min="8964" max="8964" width="9.42578125" style="241"/>
    <col min="8965" max="8965" width="3.5703125" style="241" customWidth="1"/>
    <col min="8966" max="8966" width="9.42578125" style="241"/>
    <col min="8967" max="8967" width="3" style="241" customWidth="1"/>
    <col min="8968" max="8968" width="3.42578125" style="241" customWidth="1"/>
    <col min="8969" max="9216" width="9.42578125" style="241"/>
    <col min="9217" max="9218" width="6.42578125" style="241" customWidth="1"/>
    <col min="9219" max="9219" width="44.42578125" style="241" customWidth="1"/>
    <col min="9220" max="9220" width="9.42578125" style="241"/>
    <col min="9221" max="9221" width="3.5703125" style="241" customWidth="1"/>
    <col min="9222" max="9222" width="9.42578125" style="241"/>
    <col min="9223" max="9223" width="3" style="241" customWidth="1"/>
    <col min="9224" max="9224" width="3.42578125" style="241" customWidth="1"/>
    <col min="9225" max="9472" width="9.42578125" style="241"/>
    <col min="9473" max="9474" width="6.42578125" style="241" customWidth="1"/>
    <col min="9475" max="9475" width="44.42578125" style="241" customWidth="1"/>
    <col min="9476" max="9476" width="9.42578125" style="241"/>
    <col min="9477" max="9477" width="3.5703125" style="241" customWidth="1"/>
    <col min="9478" max="9478" width="9.42578125" style="241"/>
    <col min="9479" max="9479" width="3" style="241" customWidth="1"/>
    <col min="9480" max="9480" width="3.42578125" style="241" customWidth="1"/>
    <col min="9481" max="9728" width="9.42578125" style="241"/>
    <col min="9729" max="9730" width="6.42578125" style="241" customWidth="1"/>
    <col min="9731" max="9731" width="44.42578125" style="241" customWidth="1"/>
    <col min="9732" max="9732" width="9.42578125" style="241"/>
    <col min="9733" max="9733" width="3.5703125" style="241" customWidth="1"/>
    <col min="9734" max="9734" width="9.42578125" style="241"/>
    <col min="9735" max="9735" width="3" style="241" customWidth="1"/>
    <col min="9736" max="9736" width="3.42578125" style="241" customWidth="1"/>
    <col min="9737" max="9984" width="9.42578125" style="241"/>
    <col min="9985" max="9986" width="6.42578125" style="241" customWidth="1"/>
    <col min="9987" max="9987" width="44.42578125" style="241" customWidth="1"/>
    <col min="9988" max="9988" width="9.42578125" style="241"/>
    <col min="9989" max="9989" width="3.5703125" style="241" customWidth="1"/>
    <col min="9990" max="9990" width="9.42578125" style="241"/>
    <col min="9991" max="9991" width="3" style="241" customWidth="1"/>
    <col min="9992" max="9992" width="3.42578125" style="241" customWidth="1"/>
    <col min="9993" max="10240" width="9.42578125" style="241"/>
    <col min="10241" max="10242" width="6.42578125" style="241" customWidth="1"/>
    <col min="10243" max="10243" width="44.42578125" style="241" customWidth="1"/>
    <col min="10244" max="10244" width="9.42578125" style="241"/>
    <col min="10245" max="10245" width="3.5703125" style="241" customWidth="1"/>
    <col min="10246" max="10246" width="9.42578125" style="241"/>
    <col min="10247" max="10247" width="3" style="241" customWidth="1"/>
    <col min="10248" max="10248" width="3.42578125" style="241" customWidth="1"/>
    <col min="10249" max="10496" width="9.42578125" style="241"/>
    <col min="10497" max="10498" width="6.42578125" style="241" customWidth="1"/>
    <col min="10499" max="10499" width="44.42578125" style="241" customWidth="1"/>
    <col min="10500" max="10500" width="9.42578125" style="241"/>
    <col min="10501" max="10501" width="3.5703125" style="241" customWidth="1"/>
    <col min="10502" max="10502" width="9.42578125" style="241"/>
    <col min="10503" max="10503" width="3" style="241" customWidth="1"/>
    <col min="10504" max="10504" width="3.42578125" style="241" customWidth="1"/>
    <col min="10505" max="10752" width="9.42578125" style="241"/>
    <col min="10753" max="10754" width="6.42578125" style="241" customWidth="1"/>
    <col min="10755" max="10755" width="44.42578125" style="241" customWidth="1"/>
    <col min="10756" max="10756" width="9.42578125" style="241"/>
    <col min="10757" max="10757" width="3.5703125" style="241" customWidth="1"/>
    <col min="10758" max="10758" width="9.42578125" style="241"/>
    <col min="10759" max="10759" width="3" style="241" customWidth="1"/>
    <col min="10760" max="10760" width="3.42578125" style="241" customWidth="1"/>
    <col min="10761" max="11008" width="9.42578125" style="241"/>
    <col min="11009" max="11010" width="6.42578125" style="241" customWidth="1"/>
    <col min="11011" max="11011" width="44.42578125" style="241" customWidth="1"/>
    <col min="11012" max="11012" width="9.42578125" style="241"/>
    <col min="11013" max="11013" width="3.5703125" style="241" customWidth="1"/>
    <col min="11014" max="11014" width="9.42578125" style="241"/>
    <col min="11015" max="11015" width="3" style="241" customWidth="1"/>
    <col min="11016" max="11016" width="3.42578125" style="241" customWidth="1"/>
    <col min="11017" max="11264" width="9.42578125" style="241"/>
    <col min="11265" max="11266" width="6.42578125" style="241" customWidth="1"/>
    <col min="11267" max="11267" width="44.42578125" style="241" customWidth="1"/>
    <col min="11268" max="11268" width="9.42578125" style="241"/>
    <col min="11269" max="11269" width="3.5703125" style="241" customWidth="1"/>
    <col min="11270" max="11270" width="9.42578125" style="241"/>
    <col min="11271" max="11271" width="3" style="241" customWidth="1"/>
    <col min="11272" max="11272" width="3.42578125" style="241" customWidth="1"/>
    <col min="11273" max="11520" width="9.42578125" style="241"/>
    <col min="11521" max="11522" width="6.42578125" style="241" customWidth="1"/>
    <col min="11523" max="11523" width="44.42578125" style="241" customWidth="1"/>
    <col min="11524" max="11524" width="9.42578125" style="241"/>
    <col min="11525" max="11525" width="3.5703125" style="241" customWidth="1"/>
    <col min="11526" max="11526" width="9.42578125" style="241"/>
    <col min="11527" max="11527" width="3" style="241" customWidth="1"/>
    <col min="11528" max="11528" width="3.42578125" style="241" customWidth="1"/>
    <col min="11529" max="11776" width="9.42578125" style="241"/>
    <col min="11777" max="11778" width="6.42578125" style="241" customWidth="1"/>
    <col min="11779" max="11779" width="44.42578125" style="241" customWidth="1"/>
    <col min="11780" max="11780" width="9.42578125" style="241"/>
    <col min="11781" max="11781" width="3.5703125" style="241" customWidth="1"/>
    <col min="11782" max="11782" width="9.42578125" style="241"/>
    <col min="11783" max="11783" width="3" style="241" customWidth="1"/>
    <col min="11784" max="11784" width="3.42578125" style="241" customWidth="1"/>
    <col min="11785" max="12032" width="9.42578125" style="241"/>
    <col min="12033" max="12034" width="6.42578125" style="241" customWidth="1"/>
    <col min="12035" max="12035" width="44.42578125" style="241" customWidth="1"/>
    <col min="12036" max="12036" width="9.42578125" style="241"/>
    <col min="12037" max="12037" width="3.5703125" style="241" customWidth="1"/>
    <col min="12038" max="12038" width="9.42578125" style="241"/>
    <col min="12039" max="12039" width="3" style="241" customWidth="1"/>
    <col min="12040" max="12040" width="3.42578125" style="241" customWidth="1"/>
    <col min="12041" max="12288" width="9.42578125" style="241"/>
    <col min="12289" max="12290" width="6.42578125" style="241" customWidth="1"/>
    <col min="12291" max="12291" width="44.42578125" style="241" customWidth="1"/>
    <col min="12292" max="12292" width="9.42578125" style="241"/>
    <col min="12293" max="12293" width="3.5703125" style="241" customWidth="1"/>
    <col min="12294" max="12294" width="9.42578125" style="241"/>
    <col min="12295" max="12295" width="3" style="241" customWidth="1"/>
    <col min="12296" max="12296" width="3.42578125" style="241" customWidth="1"/>
    <col min="12297" max="12544" width="9.42578125" style="241"/>
    <col min="12545" max="12546" width="6.42578125" style="241" customWidth="1"/>
    <col min="12547" max="12547" width="44.42578125" style="241" customWidth="1"/>
    <col min="12548" max="12548" width="9.42578125" style="241"/>
    <col min="12549" max="12549" width="3.5703125" style="241" customWidth="1"/>
    <col min="12550" max="12550" width="9.42578125" style="241"/>
    <col min="12551" max="12551" width="3" style="241" customWidth="1"/>
    <col min="12552" max="12552" width="3.42578125" style="241" customWidth="1"/>
    <col min="12553" max="12800" width="9.42578125" style="241"/>
    <col min="12801" max="12802" width="6.42578125" style="241" customWidth="1"/>
    <col min="12803" max="12803" width="44.42578125" style="241" customWidth="1"/>
    <col min="12804" max="12804" width="9.42578125" style="241"/>
    <col min="12805" max="12805" width="3.5703125" style="241" customWidth="1"/>
    <col min="12806" max="12806" width="9.42578125" style="241"/>
    <col min="12807" max="12807" width="3" style="241" customWidth="1"/>
    <col min="12808" max="12808" width="3.42578125" style="241" customWidth="1"/>
    <col min="12809" max="13056" width="9.42578125" style="241"/>
    <col min="13057" max="13058" width="6.42578125" style="241" customWidth="1"/>
    <col min="13059" max="13059" width="44.42578125" style="241" customWidth="1"/>
    <col min="13060" max="13060" width="9.42578125" style="241"/>
    <col min="13061" max="13061" width="3.5703125" style="241" customWidth="1"/>
    <col min="13062" max="13062" width="9.42578125" style="241"/>
    <col min="13063" max="13063" width="3" style="241" customWidth="1"/>
    <col min="13064" max="13064" width="3.42578125" style="241" customWidth="1"/>
    <col min="13065" max="13312" width="9.42578125" style="241"/>
    <col min="13313" max="13314" width="6.42578125" style="241" customWidth="1"/>
    <col min="13315" max="13315" width="44.42578125" style="241" customWidth="1"/>
    <col min="13316" max="13316" width="9.42578125" style="241"/>
    <col min="13317" max="13317" width="3.5703125" style="241" customWidth="1"/>
    <col min="13318" max="13318" width="9.42578125" style="241"/>
    <col min="13319" max="13319" width="3" style="241" customWidth="1"/>
    <col min="13320" max="13320" width="3.42578125" style="241" customWidth="1"/>
    <col min="13321" max="13568" width="9.42578125" style="241"/>
    <col min="13569" max="13570" width="6.42578125" style="241" customWidth="1"/>
    <col min="13571" max="13571" width="44.42578125" style="241" customWidth="1"/>
    <col min="13572" max="13572" width="9.42578125" style="241"/>
    <col min="13573" max="13573" width="3.5703125" style="241" customWidth="1"/>
    <col min="13574" max="13574" width="9.42578125" style="241"/>
    <col min="13575" max="13575" width="3" style="241" customWidth="1"/>
    <col min="13576" max="13576" width="3.42578125" style="241" customWidth="1"/>
    <col min="13577" max="13824" width="9.42578125" style="241"/>
    <col min="13825" max="13826" width="6.42578125" style="241" customWidth="1"/>
    <col min="13827" max="13827" width="44.42578125" style="241" customWidth="1"/>
    <col min="13828" max="13828" width="9.42578125" style="241"/>
    <col min="13829" max="13829" width="3.5703125" style="241" customWidth="1"/>
    <col min="13830" max="13830" width="9.42578125" style="241"/>
    <col min="13831" max="13831" width="3" style="241" customWidth="1"/>
    <col min="13832" max="13832" width="3.42578125" style="241" customWidth="1"/>
    <col min="13833" max="14080" width="9.42578125" style="241"/>
    <col min="14081" max="14082" width="6.42578125" style="241" customWidth="1"/>
    <col min="14083" max="14083" width="44.42578125" style="241" customWidth="1"/>
    <col min="14084" max="14084" width="9.42578125" style="241"/>
    <col min="14085" max="14085" width="3.5703125" style="241" customWidth="1"/>
    <col min="14086" max="14086" width="9.42578125" style="241"/>
    <col min="14087" max="14087" width="3" style="241" customWidth="1"/>
    <col min="14088" max="14088" width="3.42578125" style="241" customWidth="1"/>
    <col min="14089" max="14336" width="9.42578125" style="241"/>
    <col min="14337" max="14338" width="6.42578125" style="241" customWidth="1"/>
    <col min="14339" max="14339" width="44.42578125" style="241" customWidth="1"/>
    <col min="14340" max="14340" width="9.42578125" style="241"/>
    <col min="14341" max="14341" width="3.5703125" style="241" customWidth="1"/>
    <col min="14342" max="14342" width="9.42578125" style="241"/>
    <col min="14343" max="14343" width="3" style="241" customWidth="1"/>
    <col min="14344" max="14344" width="3.42578125" style="241" customWidth="1"/>
    <col min="14345" max="14592" width="9.42578125" style="241"/>
    <col min="14593" max="14594" width="6.42578125" style="241" customWidth="1"/>
    <col min="14595" max="14595" width="44.42578125" style="241" customWidth="1"/>
    <col min="14596" max="14596" width="9.42578125" style="241"/>
    <col min="14597" max="14597" width="3.5703125" style="241" customWidth="1"/>
    <col min="14598" max="14598" width="9.42578125" style="241"/>
    <col min="14599" max="14599" width="3" style="241" customWidth="1"/>
    <col min="14600" max="14600" width="3.42578125" style="241" customWidth="1"/>
    <col min="14601" max="14848" width="9.42578125" style="241"/>
    <col min="14849" max="14850" width="6.42578125" style="241" customWidth="1"/>
    <col min="14851" max="14851" width="44.42578125" style="241" customWidth="1"/>
    <col min="14852" max="14852" width="9.42578125" style="241"/>
    <col min="14853" max="14853" width="3.5703125" style="241" customWidth="1"/>
    <col min="14854" max="14854" width="9.42578125" style="241"/>
    <col min="14855" max="14855" width="3" style="241" customWidth="1"/>
    <col min="14856" max="14856" width="3.42578125" style="241" customWidth="1"/>
    <col min="14857" max="15104" width="9.42578125" style="241"/>
    <col min="15105" max="15106" width="6.42578125" style="241" customWidth="1"/>
    <col min="15107" max="15107" width="44.42578125" style="241" customWidth="1"/>
    <col min="15108" max="15108" width="9.42578125" style="241"/>
    <col min="15109" max="15109" width="3.5703125" style="241" customWidth="1"/>
    <col min="15110" max="15110" width="9.42578125" style="241"/>
    <col min="15111" max="15111" width="3" style="241" customWidth="1"/>
    <col min="15112" max="15112" width="3.42578125" style="241" customWidth="1"/>
    <col min="15113" max="15360" width="9.42578125" style="241"/>
    <col min="15361" max="15362" width="6.42578125" style="241" customWidth="1"/>
    <col min="15363" max="15363" width="44.42578125" style="241" customWidth="1"/>
    <col min="15364" max="15364" width="9.42578125" style="241"/>
    <col min="15365" max="15365" width="3.5703125" style="241" customWidth="1"/>
    <col min="15366" max="15366" width="9.42578125" style="241"/>
    <col min="15367" max="15367" width="3" style="241" customWidth="1"/>
    <col min="15368" max="15368" width="3.42578125" style="241" customWidth="1"/>
    <col min="15369" max="15616" width="9.42578125" style="241"/>
    <col min="15617" max="15618" width="6.42578125" style="241" customWidth="1"/>
    <col min="15619" max="15619" width="44.42578125" style="241" customWidth="1"/>
    <col min="15620" max="15620" width="9.42578125" style="241"/>
    <col min="15621" max="15621" width="3.5703125" style="241" customWidth="1"/>
    <col min="15622" max="15622" width="9.42578125" style="241"/>
    <col min="15623" max="15623" width="3" style="241" customWidth="1"/>
    <col min="15624" max="15624" width="3.42578125" style="241" customWidth="1"/>
    <col min="15625" max="15872" width="9.42578125" style="241"/>
    <col min="15873" max="15874" width="6.42578125" style="241" customWidth="1"/>
    <col min="15875" max="15875" width="44.42578125" style="241" customWidth="1"/>
    <col min="15876" max="15876" width="9.42578125" style="241"/>
    <col min="15877" max="15877" width="3.5703125" style="241" customWidth="1"/>
    <col min="15878" max="15878" width="9.42578125" style="241"/>
    <col min="15879" max="15879" width="3" style="241" customWidth="1"/>
    <col min="15880" max="15880" width="3.42578125" style="241" customWidth="1"/>
    <col min="15881" max="16128" width="9.42578125" style="241"/>
    <col min="16129" max="16130" width="6.42578125" style="241" customWidth="1"/>
    <col min="16131" max="16131" width="44.42578125" style="241" customWidth="1"/>
    <col min="16132" max="16132" width="9.42578125" style="241"/>
    <col min="16133" max="16133" width="3.5703125" style="241" customWidth="1"/>
    <col min="16134" max="16134" width="9.42578125" style="241"/>
    <col min="16135" max="16135" width="3" style="241" customWidth="1"/>
    <col min="16136" max="16136" width="3.42578125" style="241" customWidth="1"/>
    <col min="16137" max="16384" width="9.42578125" style="241"/>
  </cols>
  <sheetData>
    <row r="3" spans="3:9" ht="13.5" thickBot="1"/>
    <row r="4" spans="3:9" ht="15.75" thickBot="1">
      <c r="C4" s="242" t="s">
        <v>351</v>
      </c>
      <c r="D4" s="243" t="s">
        <v>352</v>
      </c>
      <c r="E4" s="244"/>
      <c r="F4" s="243" t="s">
        <v>353</v>
      </c>
    </row>
    <row r="5" spans="3:9">
      <c r="C5" s="245" t="s">
        <v>354</v>
      </c>
    </row>
    <row r="6" spans="3:9">
      <c r="C6" s="241" t="s">
        <v>355</v>
      </c>
      <c r="I6" s="241" t="s">
        <v>356</v>
      </c>
    </row>
    <row r="7" spans="3:9">
      <c r="C7" s="241" t="s">
        <v>357</v>
      </c>
      <c r="D7" s="246">
        <v>12340</v>
      </c>
      <c r="E7" s="246"/>
      <c r="F7" s="246">
        <v>12340</v>
      </c>
    </row>
    <row r="8" spans="3:9">
      <c r="E8" s="247"/>
    </row>
    <row r="9" spans="3:9" ht="13.5" thickBot="1">
      <c r="C9" s="241" t="s">
        <v>358</v>
      </c>
      <c r="D9" s="248">
        <f>IF(D6&gt;D7,D6-D7,0)</f>
        <v>0</v>
      </c>
      <c r="E9" s="249"/>
      <c r="F9" s="248">
        <f>IF(F6&gt;F7,F6-F7,0)</f>
        <v>0</v>
      </c>
    </row>
    <row r="10" spans="3:9" ht="13.5" thickTop="1">
      <c r="E10" s="247"/>
    </row>
    <row r="11" spans="3:9">
      <c r="C11" s="245" t="s">
        <v>359</v>
      </c>
      <c r="E11" s="247"/>
    </row>
    <row r="12" spans="3:9">
      <c r="C12" s="241" t="s">
        <v>355</v>
      </c>
      <c r="D12" s="246"/>
      <c r="F12" s="246">
        <v>34980</v>
      </c>
    </row>
    <row r="13" spans="3:9">
      <c r="C13" s="241" t="s">
        <v>357</v>
      </c>
      <c r="D13" s="246">
        <f>D7</f>
        <v>12340</v>
      </c>
      <c r="F13" s="246">
        <f>F7</f>
        <v>12340</v>
      </c>
    </row>
    <row r="15" spans="3:9" ht="13.5" thickBot="1">
      <c r="C15" s="241" t="s">
        <v>358</v>
      </c>
      <c r="D15" s="248">
        <f>IF(D12&gt;D13,D12-D13,0)</f>
        <v>0</v>
      </c>
      <c r="F15" s="248">
        <f>IF(F12&gt;F13,F12-F13,0)</f>
        <v>22640</v>
      </c>
    </row>
    <row r="16" spans="3:9" ht="13.5" thickTop="1"/>
    <row r="17" spans="1:10">
      <c r="C17" s="245" t="s">
        <v>360</v>
      </c>
    </row>
    <row r="18" spans="1:10">
      <c r="C18" s="241" t="s">
        <v>355</v>
      </c>
      <c r="D18" s="246"/>
      <c r="F18" s="246">
        <v>14136</v>
      </c>
    </row>
    <row r="19" spans="1:10">
      <c r="C19" s="241" t="s">
        <v>357</v>
      </c>
      <c r="F19" s="250">
        <f>F40</f>
        <v>8424</v>
      </c>
    </row>
    <row r="20" spans="1:10" ht="13.5" thickBot="1">
      <c r="C20" s="241" t="s">
        <v>358</v>
      </c>
      <c r="D20" s="248">
        <f>IF(D18&gt;F40,D18-D40,0)</f>
        <v>0</v>
      </c>
      <c r="E20" s="249"/>
      <c r="F20" s="248">
        <f>IF(F18&gt;F40,F18-F40,0)</f>
        <v>5712</v>
      </c>
    </row>
    <row r="21" spans="1:10" ht="13.5" thickTop="1"/>
    <row r="22" spans="1:10">
      <c r="C22" s="245" t="s">
        <v>361</v>
      </c>
    </row>
    <row r="23" spans="1:10">
      <c r="C23" s="241" t="s">
        <v>355</v>
      </c>
      <c r="D23" s="246"/>
      <c r="F23" s="246">
        <f>F43</f>
        <v>5964</v>
      </c>
    </row>
    <row r="24" spans="1:10">
      <c r="C24" s="241" t="s">
        <v>362</v>
      </c>
      <c r="D24" s="246">
        <f>D48</f>
        <v>3111.3333333333335</v>
      </c>
      <c r="F24" s="246">
        <f>F48</f>
        <v>147.00000000000006</v>
      </c>
    </row>
    <row r="25" spans="1:10" ht="13.5" thickBot="1">
      <c r="C25" s="241" t="s">
        <v>358</v>
      </c>
      <c r="D25" s="248">
        <f>IF(D23&gt;D24,D23-D24,0)</f>
        <v>0</v>
      </c>
      <c r="E25" s="246"/>
      <c r="F25" s="248">
        <f>IF(F23&gt;F24,F23-F24,0)</f>
        <v>5817</v>
      </c>
    </row>
    <row r="26" spans="1:10" ht="13.5" thickTop="1"/>
    <row r="27" spans="1:10" ht="13.5" thickBot="1">
      <c r="C27" s="261" t="s">
        <v>363</v>
      </c>
      <c r="D27" s="248">
        <f>D9+D15+D20+D25</f>
        <v>0</v>
      </c>
      <c r="E27" s="250"/>
      <c r="F27" s="248">
        <f>F9+F15+F20+F25</f>
        <v>34169</v>
      </c>
      <c r="I27" s="248">
        <f>D27+F27</f>
        <v>34169</v>
      </c>
      <c r="J27" s="251" t="s">
        <v>364</v>
      </c>
    </row>
    <row r="28" spans="1:10" ht="13.5" thickTop="1"/>
    <row r="30" spans="1:10">
      <c r="A30" s="245" t="s">
        <v>365</v>
      </c>
    </row>
    <row r="32" spans="1:10">
      <c r="A32" s="252" t="s">
        <v>366</v>
      </c>
    </row>
    <row r="33" spans="1:9">
      <c r="A33" s="252" t="s">
        <v>367</v>
      </c>
    </row>
    <row r="34" spans="1:9">
      <c r="A34" s="252" t="s">
        <v>368</v>
      </c>
    </row>
    <row r="36" spans="1:9">
      <c r="A36" s="253" t="s">
        <v>369</v>
      </c>
    </row>
    <row r="38" spans="1:9">
      <c r="A38" s="252" t="s">
        <v>370</v>
      </c>
      <c r="D38" s="254">
        <v>13500</v>
      </c>
      <c r="F38" s="254">
        <v>15600</v>
      </c>
    </row>
    <row r="39" spans="1:9">
      <c r="A39" s="252" t="s">
        <v>371</v>
      </c>
      <c r="D39" s="255">
        <v>4.4999999999999998E-2</v>
      </c>
      <c r="F39" s="255">
        <v>4.4999999999999998E-2</v>
      </c>
    </row>
    <row r="40" spans="1:9">
      <c r="A40" s="252" t="s">
        <v>372</v>
      </c>
      <c r="D40" s="254">
        <f>D38*12*D39</f>
        <v>7290</v>
      </c>
      <c r="F40" s="254">
        <f>F38*12*F39</f>
        <v>8424</v>
      </c>
    </row>
    <row r="41" spans="1:9" ht="13.5" thickBot="1"/>
    <row r="42" spans="1:9" ht="13.5" thickBot="1">
      <c r="A42" s="245" t="s">
        <v>373</v>
      </c>
      <c r="D42" s="243" t="s">
        <v>352</v>
      </c>
      <c r="F42" s="243" t="s">
        <v>353</v>
      </c>
    </row>
    <row r="43" spans="1:9">
      <c r="A43" s="241" t="s">
        <v>374</v>
      </c>
      <c r="D43" s="256">
        <f>'[22]דוח תמחיר מצטבר 2015'!D3</f>
        <v>3000</v>
      </c>
      <c r="F43" s="256">
        <v>5964</v>
      </c>
      <c r="I43" s="241" t="s">
        <v>375</v>
      </c>
    </row>
    <row r="44" spans="1:9">
      <c r="A44" s="241" t="s">
        <v>376</v>
      </c>
      <c r="D44" s="257">
        <f>'[22]דוח תמחיר מצטבר 2015'!K3-'[22]דוח תמחיר מצטבר 2015'!H3</f>
        <v>139308.38</v>
      </c>
      <c r="F44" s="257">
        <v>81480</v>
      </c>
    </row>
    <row r="45" spans="1:9">
      <c r="A45" s="241" t="s">
        <v>377</v>
      </c>
      <c r="D45" s="258">
        <f>D43/D44</f>
        <v>2.1534957193529922E-2</v>
      </c>
      <c r="F45" s="258">
        <f>F43/F44</f>
        <v>7.3195876288659797E-2</v>
      </c>
    </row>
    <row r="46" spans="1:9">
      <c r="A46" s="241" t="s">
        <v>378</v>
      </c>
      <c r="D46" s="258">
        <f>IF(D45&gt;4%,3.5%-(D45-4%),3.5%)</f>
        <v>3.5000000000000003E-2</v>
      </c>
      <c r="E46" s="259"/>
      <c r="F46" s="258">
        <f>IF(F45&gt;4%,3.5%-(F45-4%),3.5%)</f>
        <v>1.8041237113402067E-3</v>
      </c>
      <c r="I46" s="241" t="s">
        <v>379</v>
      </c>
    </row>
    <row r="47" spans="1:9">
      <c r="A47" s="241" t="s">
        <v>380</v>
      </c>
      <c r="D47" s="258">
        <v>3.5000000000000003E-2</v>
      </c>
      <c r="F47" s="258">
        <v>3.5000000000000003E-2</v>
      </c>
      <c r="I47" s="241" t="s">
        <v>381</v>
      </c>
    </row>
    <row r="48" spans="1:9">
      <c r="A48" s="241" t="s">
        <v>382</v>
      </c>
      <c r="D48" s="260">
        <f>IF(MIN(D46:D47)*D44&gt;D50/3,D50/3,MIN(D46:D47)*D44)</f>
        <v>3111.3333333333335</v>
      </c>
      <c r="E48" s="260"/>
      <c r="F48" s="260">
        <f>IF(MIN(F46:F47)*F44&gt;F50/3,F50/3,MIN(F46:F47)*F44)</f>
        <v>147.00000000000006</v>
      </c>
      <c r="I48" s="241" t="s">
        <v>383</v>
      </c>
    </row>
    <row r="50" spans="1:6">
      <c r="A50" s="241" t="s">
        <v>391</v>
      </c>
      <c r="D50" s="260">
        <v>9334</v>
      </c>
      <c r="F50" s="260">
        <v>9334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Q71"/>
  <sheetViews>
    <sheetView rightToLeft="1" view="pageBreakPreview" zoomScaleNormal="115" zoomScaleSheetLayoutView="100" workbookViewId="0">
      <selection activeCell="G32" sqref="G32:H32"/>
    </sheetView>
  </sheetViews>
  <sheetFormatPr defaultColWidth="9.42578125" defaultRowHeight="15"/>
  <cols>
    <col min="1" max="1" width="9.42578125" style="169" customWidth="1"/>
    <col min="2" max="2" width="42" style="169" customWidth="1"/>
    <col min="3" max="3" width="10.42578125" style="169" customWidth="1"/>
    <col min="4" max="4" width="17" style="169" customWidth="1"/>
    <col min="5" max="8" width="9.42578125" style="169" customWidth="1"/>
    <col min="9" max="9" width="13.5703125" style="169" customWidth="1"/>
    <col min="10" max="10" width="9.42578125" style="169"/>
    <col min="11" max="11" width="11" style="169" bestFit="1" customWidth="1"/>
    <col min="12" max="256" width="9.42578125" style="169"/>
    <col min="257" max="257" width="9.42578125" style="169" customWidth="1"/>
    <col min="258" max="259" width="10.42578125" style="169" customWidth="1"/>
    <col min="260" max="260" width="15.5703125" style="169" customWidth="1"/>
    <col min="261" max="264" width="9.42578125" style="169" customWidth="1"/>
    <col min="265" max="265" width="13.5703125" style="169" customWidth="1"/>
    <col min="266" max="512" width="9.42578125" style="169"/>
    <col min="513" max="513" width="9.42578125" style="169" customWidth="1"/>
    <col min="514" max="515" width="10.42578125" style="169" customWidth="1"/>
    <col min="516" max="516" width="15.5703125" style="169" customWidth="1"/>
    <col min="517" max="520" width="9.42578125" style="169" customWidth="1"/>
    <col min="521" max="521" width="13.5703125" style="169" customWidth="1"/>
    <col min="522" max="768" width="9.42578125" style="169"/>
    <col min="769" max="769" width="9.42578125" style="169" customWidth="1"/>
    <col min="770" max="771" width="10.42578125" style="169" customWidth="1"/>
    <col min="772" max="772" width="15.5703125" style="169" customWidth="1"/>
    <col min="773" max="776" width="9.42578125" style="169" customWidth="1"/>
    <col min="777" max="777" width="13.5703125" style="169" customWidth="1"/>
    <col min="778" max="1024" width="9.42578125" style="169"/>
    <col min="1025" max="1025" width="9.42578125" style="169" customWidth="1"/>
    <col min="1026" max="1027" width="10.42578125" style="169" customWidth="1"/>
    <col min="1028" max="1028" width="15.5703125" style="169" customWidth="1"/>
    <col min="1029" max="1032" width="9.42578125" style="169" customWidth="1"/>
    <col min="1033" max="1033" width="13.5703125" style="169" customWidth="1"/>
    <col min="1034" max="1280" width="9.42578125" style="169"/>
    <col min="1281" max="1281" width="9.42578125" style="169" customWidth="1"/>
    <col min="1282" max="1283" width="10.42578125" style="169" customWidth="1"/>
    <col min="1284" max="1284" width="15.5703125" style="169" customWidth="1"/>
    <col min="1285" max="1288" width="9.42578125" style="169" customWidth="1"/>
    <col min="1289" max="1289" width="13.5703125" style="169" customWidth="1"/>
    <col min="1290" max="1536" width="9.42578125" style="169"/>
    <col min="1537" max="1537" width="9.42578125" style="169" customWidth="1"/>
    <col min="1538" max="1539" width="10.42578125" style="169" customWidth="1"/>
    <col min="1540" max="1540" width="15.5703125" style="169" customWidth="1"/>
    <col min="1541" max="1544" width="9.42578125" style="169" customWidth="1"/>
    <col min="1545" max="1545" width="13.5703125" style="169" customWidth="1"/>
    <col min="1546" max="1792" width="9.42578125" style="169"/>
    <col min="1793" max="1793" width="9.42578125" style="169" customWidth="1"/>
    <col min="1794" max="1795" width="10.42578125" style="169" customWidth="1"/>
    <col min="1796" max="1796" width="15.5703125" style="169" customWidth="1"/>
    <col min="1797" max="1800" width="9.42578125" style="169" customWidth="1"/>
    <col min="1801" max="1801" width="13.5703125" style="169" customWidth="1"/>
    <col min="1802" max="2048" width="9.42578125" style="169"/>
    <col min="2049" max="2049" width="9.42578125" style="169" customWidth="1"/>
    <col min="2050" max="2051" width="10.42578125" style="169" customWidth="1"/>
    <col min="2052" max="2052" width="15.5703125" style="169" customWidth="1"/>
    <col min="2053" max="2056" width="9.42578125" style="169" customWidth="1"/>
    <col min="2057" max="2057" width="13.5703125" style="169" customWidth="1"/>
    <col min="2058" max="2304" width="9.42578125" style="169"/>
    <col min="2305" max="2305" width="9.42578125" style="169" customWidth="1"/>
    <col min="2306" max="2307" width="10.42578125" style="169" customWidth="1"/>
    <col min="2308" max="2308" width="15.5703125" style="169" customWidth="1"/>
    <col min="2309" max="2312" width="9.42578125" style="169" customWidth="1"/>
    <col min="2313" max="2313" width="13.5703125" style="169" customWidth="1"/>
    <col min="2314" max="2560" width="9.42578125" style="169"/>
    <col min="2561" max="2561" width="9.42578125" style="169" customWidth="1"/>
    <col min="2562" max="2563" width="10.42578125" style="169" customWidth="1"/>
    <col min="2564" max="2564" width="15.5703125" style="169" customWidth="1"/>
    <col min="2565" max="2568" width="9.42578125" style="169" customWidth="1"/>
    <col min="2569" max="2569" width="13.5703125" style="169" customWidth="1"/>
    <col min="2570" max="2816" width="9.42578125" style="169"/>
    <col min="2817" max="2817" width="9.42578125" style="169" customWidth="1"/>
    <col min="2818" max="2819" width="10.42578125" style="169" customWidth="1"/>
    <col min="2820" max="2820" width="15.5703125" style="169" customWidth="1"/>
    <col min="2821" max="2824" width="9.42578125" style="169" customWidth="1"/>
    <col min="2825" max="2825" width="13.5703125" style="169" customWidth="1"/>
    <col min="2826" max="3072" width="9.42578125" style="169"/>
    <col min="3073" max="3073" width="9.42578125" style="169" customWidth="1"/>
    <col min="3074" max="3075" width="10.42578125" style="169" customWidth="1"/>
    <col min="3076" max="3076" width="15.5703125" style="169" customWidth="1"/>
    <col min="3077" max="3080" width="9.42578125" style="169" customWidth="1"/>
    <col min="3081" max="3081" width="13.5703125" style="169" customWidth="1"/>
    <col min="3082" max="3328" width="9.42578125" style="169"/>
    <col min="3329" max="3329" width="9.42578125" style="169" customWidth="1"/>
    <col min="3330" max="3331" width="10.42578125" style="169" customWidth="1"/>
    <col min="3332" max="3332" width="15.5703125" style="169" customWidth="1"/>
    <col min="3333" max="3336" width="9.42578125" style="169" customWidth="1"/>
    <col min="3337" max="3337" width="13.5703125" style="169" customWidth="1"/>
    <col min="3338" max="3584" width="9.42578125" style="169"/>
    <col min="3585" max="3585" width="9.42578125" style="169" customWidth="1"/>
    <col min="3586" max="3587" width="10.42578125" style="169" customWidth="1"/>
    <col min="3588" max="3588" width="15.5703125" style="169" customWidth="1"/>
    <col min="3589" max="3592" width="9.42578125" style="169" customWidth="1"/>
    <col min="3593" max="3593" width="13.5703125" style="169" customWidth="1"/>
    <col min="3594" max="3840" width="9.42578125" style="169"/>
    <col min="3841" max="3841" width="9.42578125" style="169" customWidth="1"/>
    <col min="3842" max="3843" width="10.42578125" style="169" customWidth="1"/>
    <col min="3844" max="3844" width="15.5703125" style="169" customWidth="1"/>
    <col min="3845" max="3848" width="9.42578125" style="169" customWidth="1"/>
    <col min="3849" max="3849" width="13.5703125" style="169" customWidth="1"/>
    <col min="3850" max="4096" width="9.42578125" style="169"/>
    <col min="4097" max="4097" width="9.42578125" style="169" customWidth="1"/>
    <col min="4098" max="4099" width="10.42578125" style="169" customWidth="1"/>
    <col min="4100" max="4100" width="15.5703125" style="169" customWidth="1"/>
    <col min="4101" max="4104" width="9.42578125" style="169" customWidth="1"/>
    <col min="4105" max="4105" width="13.5703125" style="169" customWidth="1"/>
    <col min="4106" max="4352" width="9.42578125" style="169"/>
    <col min="4353" max="4353" width="9.42578125" style="169" customWidth="1"/>
    <col min="4354" max="4355" width="10.42578125" style="169" customWidth="1"/>
    <col min="4356" max="4356" width="15.5703125" style="169" customWidth="1"/>
    <col min="4357" max="4360" width="9.42578125" style="169" customWidth="1"/>
    <col min="4361" max="4361" width="13.5703125" style="169" customWidth="1"/>
    <col min="4362" max="4608" width="9.42578125" style="169"/>
    <col min="4609" max="4609" width="9.42578125" style="169" customWidth="1"/>
    <col min="4610" max="4611" width="10.42578125" style="169" customWidth="1"/>
    <col min="4612" max="4612" width="15.5703125" style="169" customWidth="1"/>
    <col min="4613" max="4616" width="9.42578125" style="169" customWidth="1"/>
    <col min="4617" max="4617" width="13.5703125" style="169" customWidth="1"/>
    <col min="4618" max="4864" width="9.42578125" style="169"/>
    <col min="4865" max="4865" width="9.42578125" style="169" customWidth="1"/>
    <col min="4866" max="4867" width="10.42578125" style="169" customWidth="1"/>
    <col min="4868" max="4868" width="15.5703125" style="169" customWidth="1"/>
    <col min="4869" max="4872" width="9.42578125" style="169" customWidth="1"/>
    <col min="4873" max="4873" width="13.5703125" style="169" customWidth="1"/>
    <col min="4874" max="5120" width="9.42578125" style="169"/>
    <col min="5121" max="5121" width="9.42578125" style="169" customWidth="1"/>
    <col min="5122" max="5123" width="10.42578125" style="169" customWidth="1"/>
    <col min="5124" max="5124" width="15.5703125" style="169" customWidth="1"/>
    <col min="5125" max="5128" width="9.42578125" style="169" customWidth="1"/>
    <col min="5129" max="5129" width="13.5703125" style="169" customWidth="1"/>
    <col min="5130" max="5376" width="9.42578125" style="169"/>
    <col min="5377" max="5377" width="9.42578125" style="169" customWidth="1"/>
    <col min="5378" max="5379" width="10.42578125" style="169" customWidth="1"/>
    <col min="5380" max="5380" width="15.5703125" style="169" customWidth="1"/>
    <col min="5381" max="5384" width="9.42578125" style="169" customWidth="1"/>
    <col min="5385" max="5385" width="13.5703125" style="169" customWidth="1"/>
    <col min="5386" max="5632" width="9.42578125" style="169"/>
    <col min="5633" max="5633" width="9.42578125" style="169" customWidth="1"/>
    <col min="5634" max="5635" width="10.42578125" style="169" customWidth="1"/>
    <col min="5636" max="5636" width="15.5703125" style="169" customWidth="1"/>
    <col min="5637" max="5640" width="9.42578125" style="169" customWidth="1"/>
    <col min="5641" max="5641" width="13.5703125" style="169" customWidth="1"/>
    <col min="5642" max="5888" width="9.42578125" style="169"/>
    <col min="5889" max="5889" width="9.42578125" style="169" customWidth="1"/>
    <col min="5890" max="5891" width="10.42578125" style="169" customWidth="1"/>
    <col min="5892" max="5892" width="15.5703125" style="169" customWidth="1"/>
    <col min="5893" max="5896" width="9.42578125" style="169" customWidth="1"/>
    <col min="5897" max="5897" width="13.5703125" style="169" customWidth="1"/>
    <col min="5898" max="6144" width="9.42578125" style="169"/>
    <col min="6145" max="6145" width="9.42578125" style="169" customWidth="1"/>
    <col min="6146" max="6147" width="10.42578125" style="169" customWidth="1"/>
    <col min="6148" max="6148" width="15.5703125" style="169" customWidth="1"/>
    <col min="6149" max="6152" width="9.42578125" style="169" customWidth="1"/>
    <col min="6153" max="6153" width="13.5703125" style="169" customWidth="1"/>
    <col min="6154" max="6400" width="9.42578125" style="169"/>
    <col min="6401" max="6401" width="9.42578125" style="169" customWidth="1"/>
    <col min="6402" max="6403" width="10.42578125" style="169" customWidth="1"/>
    <col min="6404" max="6404" width="15.5703125" style="169" customWidth="1"/>
    <col min="6405" max="6408" width="9.42578125" style="169" customWidth="1"/>
    <col min="6409" max="6409" width="13.5703125" style="169" customWidth="1"/>
    <col min="6410" max="6656" width="9.42578125" style="169"/>
    <col min="6657" max="6657" width="9.42578125" style="169" customWidth="1"/>
    <col min="6658" max="6659" width="10.42578125" style="169" customWidth="1"/>
    <col min="6660" max="6660" width="15.5703125" style="169" customWidth="1"/>
    <col min="6661" max="6664" width="9.42578125" style="169" customWidth="1"/>
    <col min="6665" max="6665" width="13.5703125" style="169" customWidth="1"/>
    <col min="6666" max="6912" width="9.42578125" style="169"/>
    <col min="6913" max="6913" width="9.42578125" style="169" customWidth="1"/>
    <col min="6914" max="6915" width="10.42578125" style="169" customWidth="1"/>
    <col min="6916" max="6916" width="15.5703125" style="169" customWidth="1"/>
    <col min="6917" max="6920" width="9.42578125" style="169" customWidth="1"/>
    <col min="6921" max="6921" width="13.5703125" style="169" customWidth="1"/>
    <col min="6922" max="7168" width="9.42578125" style="169"/>
    <col min="7169" max="7169" width="9.42578125" style="169" customWidth="1"/>
    <col min="7170" max="7171" width="10.42578125" style="169" customWidth="1"/>
    <col min="7172" max="7172" width="15.5703125" style="169" customWidth="1"/>
    <col min="7173" max="7176" width="9.42578125" style="169" customWidth="1"/>
    <col min="7177" max="7177" width="13.5703125" style="169" customWidth="1"/>
    <col min="7178" max="7424" width="9.42578125" style="169"/>
    <col min="7425" max="7425" width="9.42578125" style="169" customWidth="1"/>
    <col min="7426" max="7427" width="10.42578125" style="169" customWidth="1"/>
    <col min="7428" max="7428" width="15.5703125" style="169" customWidth="1"/>
    <col min="7429" max="7432" width="9.42578125" style="169" customWidth="1"/>
    <col min="7433" max="7433" width="13.5703125" style="169" customWidth="1"/>
    <col min="7434" max="7680" width="9.42578125" style="169"/>
    <col min="7681" max="7681" width="9.42578125" style="169" customWidth="1"/>
    <col min="7682" max="7683" width="10.42578125" style="169" customWidth="1"/>
    <col min="7684" max="7684" width="15.5703125" style="169" customWidth="1"/>
    <col min="7685" max="7688" width="9.42578125" style="169" customWidth="1"/>
    <col min="7689" max="7689" width="13.5703125" style="169" customWidth="1"/>
    <col min="7690" max="7936" width="9.42578125" style="169"/>
    <col min="7937" max="7937" width="9.42578125" style="169" customWidth="1"/>
    <col min="7938" max="7939" width="10.42578125" style="169" customWidth="1"/>
    <col min="7940" max="7940" width="15.5703125" style="169" customWidth="1"/>
    <col min="7941" max="7944" width="9.42578125" style="169" customWidth="1"/>
    <col min="7945" max="7945" width="13.5703125" style="169" customWidth="1"/>
    <col min="7946" max="8192" width="9.42578125" style="169"/>
    <col min="8193" max="8193" width="9.42578125" style="169" customWidth="1"/>
    <col min="8194" max="8195" width="10.42578125" style="169" customWidth="1"/>
    <col min="8196" max="8196" width="15.5703125" style="169" customWidth="1"/>
    <col min="8197" max="8200" width="9.42578125" style="169" customWidth="1"/>
    <col min="8201" max="8201" width="13.5703125" style="169" customWidth="1"/>
    <col min="8202" max="8448" width="9.42578125" style="169"/>
    <col min="8449" max="8449" width="9.42578125" style="169" customWidth="1"/>
    <col min="8450" max="8451" width="10.42578125" style="169" customWidth="1"/>
    <col min="8452" max="8452" width="15.5703125" style="169" customWidth="1"/>
    <col min="8453" max="8456" width="9.42578125" style="169" customWidth="1"/>
    <col min="8457" max="8457" width="13.5703125" style="169" customWidth="1"/>
    <col min="8458" max="8704" width="9.42578125" style="169"/>
    <col min="8705" max="8705" width="9.42578125" style="169" customWidth="1"/>
    <col min="8706" max="8707" width="10.42578125" style="169" customWidth="1"/>
    <col min="8708" max="8708" width="15.5703125" style="169" customWidth="1"/>
    <col min="8709" max="8712" width="9.42578125" style="169" customWidth="1"/>
    <col min="8713" max="8713" width="13.5703125" style="169" customWidth="1"/>
    <col min="8714" max="8960" width="9.42578125" style="169"/>
    <col min="8961" max="8961" width="9.42578125" style="169" customWidth="1"/>
    <col min="8962" max="8963" width="10.42578125" style="169" customWidth="1"/>
    <col min="8964" max="8964" width="15.5703125" style="169" customWidth="1"/>
    <col min="8965" max="8968" width="9.42578125" style="169" customWidth="1"/>
    <col min="8969" max="8969" width="13.5703125" style="169" customWidth="1"/>
    <col min="8970" max="9216" width="9.42578125" style="169"/>
    <col min="9217" max="9217" width="9.42578125" style="169" customWidth="1"/>
    <col min="9218" max="9219" width="10.42578125" style="169" customWidth="1"/>
    <col min="9220" max="9220" width="15.5703125" style="169" customWidth="1"/>
    <col min="9221" max="9224" width="9.42578125" style="169" customWidth="1"/>
    <col min="9225" max="9225" width="13.5703125" style="169" customWidth="1"/>
    <col min="9226" max="9472" width="9.42578125" style="169"/>
    <col min="9473" max="9473" width="9.42578125" style="169" customWidth="1"/>
    <col min="9474" max="9475" width="10.42578125" style="169" customWidth="1"/>
    <col min="9476" max="9476" width="15.5703125" style="169" customWidth="1"/>
    <col min="9477" max="9480" width="9.42578125" style="169" customWidth="1"/>
    <col min="9481" max="9481" width="13.5703125" style="169" customWidth="1"/>
    <col min="9482" max="9728" width="9.42578125" style="169"/>
    <col min="9729" max="9729" width="9.42578125" style="169" customWidth="1"/>
    <col min="9730" max="9731" width="10.42578125" style="169" customWidth="1"/>
    <col min="9732" max="9732" width="15.5703125" style="169" customWidth="1"/>
    <col min="9733" max="9736" width="9.42578125" style="169" customWidth="1"/>
    <col min="9737" max="9737" width="13.5703125" style="169" customWidth="1"/>
    <col min="9738" max="9984" width="9.42578125" style="169"/>
    <col min="9985" max="9985" width="9.42578125" style="169" customWidth="1"/>
    <col min="9986" max="9987" width="10.42578125" style="169" customWidth="1"/>
    <col min="9988" max="9988" width="15.5703125" style="169" customWidth="1"/>
    <col min="9989" max="9992" width="9.42578125" style="169" customWidth="1"/>
    <col min="9993" max="9993" width="13.5703125" style="169" customWidth="1"/>
    <col min="9994" max="10240" width="9.42578125" style="169"/>
    <col min="10241" max="10241" width="9.42578125" style="169" customWidth="1"/>
    <col min="10242" max="10243" width="10.42578125" style="169" customWidth="1"/>
    <col min="10244" max="10244" width="15.5703125" style="169" customWidth="1"/>
    <col min="10245" max="10248" width="9.42578125" style="169" customWidth="1"/>
    <col min="10249" max="10249" width="13.5703125" style="169" customWidth="1"/>
    <col min="10250" max="10496" width="9.42578125" style="169"/>
    <col min="10497" max="10497" width="9.42578125" style="169" customWidth="1"/>
    <col min="10498" max="10499" width="10.42578125" style="169" customWidth="1"/>
    <col min="10500" max="10500" width="15.5703125" style="169" customWidth="1"/>
    <col min="10501" max="10504" width="9.42578125" style="169" customWidth="1"/>
    <col min="10505" max="10505" width="13.5703125" style="169" customWidth="1"/>
    <col min="10506" max="10752" width="9.42578125" style="169"/>
    <col min="10753" max="10753" width="9.42578125" style="169" customWidth="1"/>
    <col min="10754" max="10755" width="10.42578125" style="169" customWidth="1"/>
    <col min="10756" max="10756" width="15.5703125" style="169" customWidth="1"/>
    <col min="10757" max="10760" width="9.42578125" style="169" customWidth="1"/>
    <col min="10761" max="10761" width="13.5703125" style="169" customWidth="1"/>
    <col min="10762" max="11008" width="9.42578125" style="169"/>
    <col min="11009" max="11009" width="9.42578125" style="169" customWidth="1"/>
    <col min="11010" max="11011" width="10.42578125" style="169" customWidth="1"/>
    <col min="11012" max="11012" width="15.5703125" style="169" customWidth="1"/>
    <col min="11013" max="11016" width="9.42578125" style="169" customWidth="1"/>
    <col min="11017" max="11017" width="13.5703125" style="169" customWidth="1"/>
    <col min="11018" max="11264" width="9.42578125" style="169"/>
    <col min="11265" max="11265" width="9.42578125" style="169" customWidth="1"/>
    <col min="11266" max="11267" width="10.42578125" style="169" customWidth="1"/>
    <col min="11268" max="11268" width="15.5703125" style="169" customWidth="1"/>
    <col min="11269" max="11272" width="9.42578125" style="169" customWidth="1"/>
    <col min="11273" max="11273" width="13.5703125" style="169" customWidth="1"/>
    <col min="11274" max="11520" width="9.42578125" style="169"/>
    <col min="11521" max="11521" width="9.42578125" style="169" customWidth="1"/>
    <col min="11522" max="11523" width="10.42578125" style="169" customWidth="1"/>
    <col min="11524" max="11524" width="15.5703125" style="169" customWidth="1"/>
    <col min="11525" max="11528" width="9.42578125" style="169" customWidth="1"/>
    <col min="11529" max="11529" width="13.5703125" style="169" customWidth="1"/>
    <col min="11530" max="11776" width="9.42578125" style="169"/>
    <col min="11777" max="11777" width="9.42578125" style="169" customWidth="1"/>
    <col min="11778" max="11779" width="10.42578125" style="169" customWidth="1"/>
    <col min="11780" max="11780" width="15.5703125" style="169" customWidth="1"/>
    <col min="11781" max="11784" width="9.42578125" style="169" customWidth="1"/>
    <col min="11785" max="11785" width="13.5703125" style="169" customWidth="1"/>
    <col min="11786" max="12032" width="9.42578125" style="169"/>
    <col min="12033" max="12033" width="9.42578125" style="169" customWidth="1"/>
    <col min="12034" max="12035" width="10.42578125" style="169" customWidth="1"/>
    <col min="12036" max="12036" width="15.5703125" style="169" customWidth="1"/>
    <col min="12037" max="12040" width="9.42578125" style="169" customWidth="1"/>
    <col min="12041" max="12041" width="13.5703125" style="169" customWidth="1"/>
    <col min="12042" max="12288" width="9.42578125" style="169"/>
    <col min="12289" max="12289" width="9.42578125" style="169" customWidth="1"/>
    <col min="12290" max="12291" width="10.42578125" style="169" customWidth="1"/>
    <col min="12292" max="12292" width="15.5703125" style="169" customWidth="1"/>
    <col min="12293" max="12296" width="9.42578125" style="169" customWidth="1"/>
    <col min="12297" max="12297" width="13.5703125" style="169" customWidth="1"/>
    <col min="12298" max="12544" width="9.42578125" style="169"/>
    <col min="12545" max="12545" width="9.42578125" style="169" customWidth="1"/>
    <col min="12546" max="12547" width="10.42578125" style="169" customWidth="1"/>
    <col min="12548" max="12548" width="15.5703125" style="169" customWidth="1"/>
    <col min="12549" max="12552" width="9.42578125" style="169" customWidth="1"/>
    <col min="12553" max="12553" width="13.5703125" style="169" customWidth="1"/>
    <col min="12554" max="12800" width="9.42578125" style="169"/>
    <col min="12801" max="12801" width="9.42578125" style="169" customWidth="1"/>
    <col min="12802" max="12803" width="10.42578125" style="169" customWidth="1"/>
    <col min="12804" max="12804" width="15.5703125" style="169" customWidth="1"/>
    <col min="12805" max="12808" width="9.42578125" style="169" customWidth="1"/>
    <col min="12809" max="12809" width="13.5703125" style="169" customWidth="1"/>
    <col min="12810" max="13056" width="9.42578125" style="169"/>
    <col min="13057" max="13057" width="9.42578125" style="169" customWidth="1"/>
    <col min="13058" max="13059" width="10.42578125" style="169" customWidth="1"/>
    <col min="13060" max="13060" width="15.5703125" style="169" customWidth="1"/>
    <col min="13061" max="13064" width="9.42578125" style="169" customWidth="1"/>
    <col min="13065" max="13065" width="13.5703125" style="169" customWidth="1"/>
    <col min="13066" max="13312" width="9.42578125" style="169"/>
    <col min="13313" max="13313" width="9.42578125" style="169" customWidth="1"/>
    <col min="13314" max="13315" width="10.42578125" style="169" customWidth="1"/>
    <col min="13316" max="13316" width="15.5703125" style="169" customWidth="1"/>
    <col min="13317" max="13320" width="9.42578125" style="169" customWidth="1"/>
    <col min="13321" max="13321" width="13.5703125" style="169" customWidth="1"/>
    <col min="13322" max="13568" width="9.42578125" style="169"/>
    <col min="13569" max="13569" width="9.42578125" style="169" customWidth="1"/>
    <col min="13570" max="13571" width="10.42578125" style="169" customWidth="1"/>
    <col min="13572" max="13572" width="15.5703125" style="169" customWidth="1"/>
    <col min="13573" max="13576" width="9.42578125" style="169" customWidth="1"/>
    <col min="13577" max="13577" width="13.5703125" style="169" customWidth="1"/>
    <col min="13578" max="13824" width="9.42578125" style="169"/>
    <col min="13825" max="13825" width="9.42578125" style="169" customWidth="1"/>
    <col min="13826" max="13827" width="10.42578125" style="169" customWidth="1"/>
    <col min="13828" max="13828" width="15.5703125" style="169" customWidth="1"/>
    <col min="13829" max="13832" width="9.42578125" style="169" customWidth="1"/>
    <col min="13833" max="13833" width="13.5703125" style="169" customWidth="1"/>
    <col min="13834" max="14080" width="9.42578125" style="169"/>
    <col min="14081" max="14081" width="9.42578125" style="169" customWidth="1"/>
    <col min="14082" max="14083" width="10.42578125" style="169" customWidth="1"/>
    <col min="14084" max="14084" width="15.5703125" style="169" customWidth="1"/>
    <col min="14085" max="14088" width="9.42578125" style="169" customWidth="1"/>
    <col min="14089" max="14089" width="13.5703125" style="169" customWidth="1"/>
    <col min="14090" max="14336" width="9.42578125" style="169"/>
    <col min="14337" max="14337" width="9.42578125" style="169" customWidth="1"/>
    <col min="14338" max="14339" width="10.42578125" style="169" customWidth="1"/>
    <col min="14340" max="14340" width="15.5703125" style="169" customWidth="1"/>
    <col min="14341" max="14344" width="9.42578125" style="169" customWidth="1"/>
    <col min="14345" max="14345" width="13.5703125" style="169" customWidth="1"/>
    <col min="14346" max="14592" width="9.42578125" style="169"/>
    <col min="14593" max="14593" width="9.42578125" style="169" customWidth="1"/>
    <col min="14594" max="14595" width="10.42578125" style="169" customWidth="1"/>
    <col min="14596" max="14596" width="15.5703125" style="169" customWidth="1"/>
    <col min="14597" max="14600" width="9.42578125" style="169" customWidth="1"/>
    <col min="14601" max="14601" width="13.5703125" style="169" customWidth="1"/>
    <col min="14602" max="14848" width="9.42578125" style="169"/>
    <col min="14849" max="14849" width="9.42578125" style="169" customWidth="1"/>
    <col min="14850" max="14851" width="10.42578125" style="169" customWidth="1"/>
    <col min="14852" max="14852" width="15.5703125" style="169" customWidth="1"/>
    <col min="14853" max="14856" width="9.42578125" style="169" customWidth="1"/>
    <col min="14857" max="14857" width="13.5703125" style="169" customWidth="1"/>
    <col min="14858" max="15104" width="9.42578125" style="169"/>
    <col min="15105" max="15105" width="9.42578125" style="169" customWidth="1"/>
    <col min="15106" max="15107" width="10.42578125" style="169" customWidth="1"/>
    <col min="15108" max="15108" width="15.5703125" style="169" customWidth="1"/>
    <col min="15109" max="15112" width="9.42578125" style="169" customWidth="1"/>
    <col min="15113" max="15113" width="13.5703125" style="169" customWidth="1"/>
    <col min="15114" max="15360" width="9.42578125" style="169"/>
    <col min="15361" max="15361" width="9.42578125" style="169" customWidth="1"/>
    <col min="15362" max="15363" width="10.42578125" style="169" customWidth="1"/>
    <col min="15364" max="15364" width="15.5703125" style="169" customWidth="1"/>
    <col min="15365" max="15368" width="9.42578125" style="169" customWidth="1"/>
    <col min="15369" max="15369" width="13.5703125" style="169" customWidth="1"/>
    <col min="15370" max="15616" width="9.42578125" style="169"/>
    <col min="15617" max="15617" width="9.42578125" style="169" customWidth="1"/>
    <col min="15618" max="15619" width="10.42578125" style="169" customWidth="1"/>
    <col min="15620" max="15620" width="15.5703125" style="169" customWidth="1"/>
    <col min="15621" max="15624" width="9.42578125" style="169" customWidth="1"/>
    <col min="15625" max="15625" width="13.5703125" style="169" customWidth="1"/>
    <col min="15626" max="15872" width="9.42578125" style="169"/>
    <col min="15873" max="15873" width="9.42578125" style="169" customWidth="1"/>
    <col min="15874" max="15875" width="10.42578125" style="169" customWidth="1"/>
    <col min="15876" max="15876" width="15.5703125" style="169" customWidth="1"/>
    <col min="15877" max="15880" width="9.42578125" style="169" customWidth="1"/>
    <col min="15881" max="15881" width="13.5703125" style="169" customWidth="1"/>
    <col min="15882" max="16128" width="9.42578125" style="169"/>
    <col min="16129" max="16129" width="9.42578125" style="169" customWidth="1"/>
    <col min="16130" max="16131" width="10.42578125" style="169" customWidth="1"/>
    <col min="16132" max="16132" width="15.5703125" style="169" customWidth="1"/>
    <col min="16133" max="16136" width="9.42578125" style="169" customWidth="1"/>
    <col min="16137" max="16137" width="13.5703125" style="169" customWidth="1"/>
    <col min="16138" max="16384" width="9.42578125" style="169"/>
  </cols>
  <sheetData>
    <row r="1" spans="1:12">
      <c r="C1" s="170"/>
      <c r="I1" s="171">
        <v>1235</v>
      </c>
    </row>
    <row r="2" spans="1:12">
      <c r="A2" s="169" t="s">
        <v>254</v>
      </c>
    </row>
    <row r="3" spans="1:12">
      <c r="A3" s="169" t="s">
        <v>255</v>
      </c>
      <c r="B3" s="169" t="s">
        <v>256</v>
      </c>
    </row>
    <row r="4" spans="1:12" ht="15.75">
      <c r="A4" s="871" t="s">
        <v>257</v>
      </c>
      <c r="B4" s="871"/>
      <c r="C4" s="871"/>
      <c r="D4" s="871"/>
      <c r="E4" s="871"/>
      <c r="F4" s="871"/>
      <c r="G4" s="871"/>
      <c r="H4" s="871"/>
    </row>
    <row r="5" spans="1:12">
      <c r="A5" s="872" t="s">
        <v>386</v>
      </c>
      <c r="B5" s="872"/>
      <c r="C5" s="872"/>
      <c r="D5" s="872"/>
      <c r="E5" s="872"/>
      <c r="F5" s="872"/>
      <c r="G5" s="872"/>
      <c r="H5" s="872"/>
      <c r="K5" s="169">
        <f>'[84]תעודה א'!D4</f>
        <v>0</v>
      </c>
      <c r="L5" s="169">
        <f>'[84]תעודה א'!E4</f>
        <v>0</v>
      </c>
    </row>
    <row r="7" spans="1:12" ht="18" customHeight="1"/>
    <row r="8" spans="1:12">
      <c r="D8" s="873" t="s">
        <v>258</v>
      </c>
      <c r="E8" s="873"/>
      <c r="F8" s="873"/>
    </row>
    <row r="9" spans="1:12">
      <c r="A9" s="172">
        <v>4</v>
      </c>
      <c r="B9" s="173" t="s">
        <v>259</v>
      </c>
      <c r="C9" s="173" t="s">
        <v>260</v>
      </c>
      <c r="D9" s="173" t="s">
        <v>261</v>
      </c>
      <c r="E9" s="173" t="s">
        <v>262</v>
      </c>
    </row>
    <row r="11" spans="1:12">
      <c r="A11" s="874" t="s">
        <v>263</v>
      </c>
      <c r="B11" s="875"/>
      <c r="C11" s="875"/>
      <c r="D11" s="875"/>
      <c r="E11" s="875"/>
      <c r="F11" s="875"/>
      <c r="G11" s="875"/>
      <c r="H11" s="875"/>
      <c r="I11" s="875"/>
    </row>
    <row r="12" spans="1:12">
      <c r="A12" s="174" t="s">
        <v>264</v>
      </c>
      <c r="B12" s="175"/>
      <c r="C12" s="176" t="s">
        <v>265</v>
      </c>
      <c r="D12" s="177" t="s">
        <v>266</v>
      </c>
      <c r="E12" s="876" t="s">
        <v>267</v>
      </c>
      <c r="F12" s="877"/>
      <c r="G12" s="876" t="s">
        <v>268</v>
      </c>
      <c r="H12" s="877"/>
      <c r="I12" s="178" t="s">
        <v>269</v>
      </c>
    </row>
    <row r="13" spans="1:12" hidden="1">
      <c r="A13" s="174" t="s">
        <v>270</v>
      </c>
      <c r="B13" s="175"/>
      <c r="C13" s="179">
        <v>31</v>
      </c>
      <c r="D13" s="178" t="s">
        <v>271</v>
      </c>
      <c r="E13" s="878"/>
      <c r="F13" s="879"/>
      <c r="G13" s="878"/>
      <c r="H13" s="879"/>
      <c r="I13" s="880"/>
    </row>
    <row r="14" spans="1:12">
      <c r="A14" s="180" t="s">
        <v>317</v>
      </c>
      <c r="B14" s="175"/>
      <c r="C14" s="179">
        <v>31</v>
      </c>
      <c r="D14" s="178" t="s">
        <v>272</v>
      </c>
      <c r="E14" s="878" t="e">
        <f>'דוח התאמה'!G7</f>
        <v>#REF!</v>
      </c>
      <c r="F14" s="879"/>
      <c r="G14" s="878" t="e">
        <f>'דוח התאמה'!I7</f>
        <v>#REF!</v>
      </c>
      <c r="H14" s="879"/>
      <c r="I14" s="881"/>
    </row>
    <row r="15" spans="1:12" hidden="1">
      <c r="A15" s="180" t="s">
        <v>273</v>
      </c>
      <c r="B15" s="175"/>
      <c r="C15" s="179">
        <v>31</v>
      </c>
      <c r="D15" s="178" t="s">
        <v>272</v>
      </c>
      <c r="E15" s="878"/>
      <c r="F15" s="879"/>
      <c r="G15" s="878"/>
      <c r="H15" s="879"/>
      <c r="I15" s="881"/>
    </row>
    <row r="16" spans="1:12" hidden="1">
      <c r="A16" s="180" t="s">
        <v>274</v>
      </c>
      <c r="B16" s="175"/>
      <c r="C16" s="179">
        <v>31</v>
      </c>
      <c r="D16" s="178" t="s">
        <v>272</v>
      </c>
      <c r="E16" s="878"/>
      <c r="F16" s="879"/>
      <c r="G16" s="878"/>
      <c r="H16" s="879"/>
      <c r="I16" s="881"/>
    </row>
    <row r="17" spans="1:16" hidden="1">
      <c r="A17" s="180" t="s">
        <v>275</v>
      </c>
      <c r="B17" s="175"/>
      <c r="C17" s="179">
        <v>31</v>
      </c>
      <c r="D17" s="178" t="s">
        <v>272</v>
      </c>
      <c r="E17" s="878"/>
      <c r="F17" s="879"/>
      <c r="G17" s="878"/>
      <c r="H17" s="879"/>
      <c r="I17" s="881"/>
    </row>
    <row r="18" spans="1:16">
      <c r="A18" s="180" t="s">
        <v>242</v>
      </c>
      <c r="B18" s="175"/>
      <c r="C18" s="179">
        <v>31</v>
      </c>
      <c r="D18" s="178" t="s">
        <v>272</v>
      </c>
      <c r="E18" s="878" t="e">
        <f>'דוח התאמה'!G10</f>
        <v>#REF!</v>
      </c>
      <c r="F18" s="879"/>
      <c r="G18" s="878" t="e">
        <f>'דוח התאמה'!I10</f>
        <v>#REF!</v>
      </c>
      <c r="H18" s="879"/>
      <c r="I18" s="881"/>
    </row>
    <row r="19" spans="1:16">
      <c r="A19" s="181" t="s">
        <v>276</v>
      </c>
      <c r="B19" s="176"/>
      <c r="C19" s="179">
        <v>31</v>
      </c>
      <c r="D19" s="178" t="s">
        <v>272</v>
      </c>
      <c r="E19" s="878" t="e">
        <f>'דוח התאמה'!G8+'דוח התאמה'!G9</f>
        <v>#REF!</v>
      </c>
      <c r="F19" s="879"/>
      <c r="G19" s="878" t="e">
        <f>'דוח התאמה'!I8</f>
        <v>#REF!</v>
      </c>
      <c r="H19" s="879"/>
      <c r="I19" s="881"/>
    </row>
    <row r="20" spans="1:16">
      <c r="A20" s="182" t="s">
        <v>330</v>
      </c>
      <c r="B20" s="183"/>
      <c r="C20" s="179">
        <v>31</v>
      </c>
      <c r="D20" s="178" t="s">
        <v>272</v>
      </c>
      <c r="E20" s="878" t="e">
        <f>'דוח התאמה'!G6</f>
        <v>#REF!</v>
      </c>
      <c r="F20" s="879"/>
      <c r="G20" s="878" t="e">
        <f>'דוח התאמה'!I6</f>
        <v>#REF!</v>
      </c>
      <c r="H20" s="879"/>
      <c r="I20" s="881"/>
    </row>
    <row r="21" spans="1:16" hidden="1">
      <c r="A21" s="182" t="s">
        <v>277</v>
      </c>
      <c r="B21" s="183"/>
      <c r="C21" s="179">
        <v>31</v>
      </c>
      <c r="D21" s="178" t="s">
        <v>272</v>
      </c>
      <c r="E21" s="878"/>
      <c r="F21" s="879"/>
      <c r="G21" s="878"/>
      <c r="H21" s="879"/>
      <c r="I21" s="881"/>
    </row>
    <row r="22" spans="1:16" hidden="1">
      <c r="A22" s="184" t="s">
        <v>278</v>
      </c>
      <c r="B22" s="185"/>
      <c r="C22" s="186">
        <v>31</v>
      </c>
      <c r="D22" s="178" t="s">
        <v>272</v>
      </c>
      <c r="E22" s="878"/>
      <c r="F22" s="879"/>
      <c r="G22" s="878"/>
      <c r="H22" s="879"/>
      <c r="I22" s="881"/>
    </row>
    <row r="23" spans="1:16" hidden="1">
      <c r="A23" s="174" t="s">
        <v>279</v>
      </c>
      <c r="B23" s="175"/>
      <c r="C23" s="883" t="s">
        <v>280</v>
      </c>
      <c r="D23" s="885"/>
      <c r="E23" s="887"/>
      <c r="F23" s="888"/>
      <c r="G23" s="887"/>
      <c r="H23" s="888"/>
      <c r="I23" s="881"/>
    </row>
    <row r="24" spans="1:16" hidden="1">
      <c r="A24" s="187" t="s">
        <v>281</v>
      </c>
      <c r="B24" s="183"/>
      <c r="C24" s="884"/>
      <c r="D24" s="886"/>
      <c r="E24" s="889"/>
      <c r="F24" s="890"/>
      <c r="G24" s="889"/>
      <c r="H24" s="890"/>
      <c r="I24" s="882"/>
    </row>
    <row r="25" spans="1:16">
      <c r="A25" s="187" t="s">
        <v>211</v>
      </c>
      <c r="B25" s="183"/>
      <c r="C25" s="188"/>
      <c r="D25" s="188"/>
      <c r="E25" s="878" t="e">
        <f t="shared" ref="E25:G25" si="0">SUM(E14:F24)</f>
        <v>#REF!</v>
      </c>
      <c r="F25" s="879"/>
      <c r="G25" s="878" t="e">
        <f t="shared" si="0"/>
        <v>#REF!</v>
      </c>
      <c r="H25" s="879"/>
      <c r="I25" s="189" t="e">
        <f>G25*0.45</f>
        <v>#REF!</v>
      </c>
    </row>
    <row r="26" spans="1:16">
      <c r="A26" s="173" t="s">
        <v>282</v>
      </c>
    </row>
    <row r="27" spans="1:16" ht="24.75" customHeight="1">
      <c r="A27" s="893" t="s">
        <v>283</v>
      </c>
      <c r="B27" s="894"/>
      <c r="C27" s="895" t="s">
        <v>284</v>
      </c>
      <c r="D27" s="896"/>
      <c r="E27" s="895" t="s">
        <v>285</v>
      </c>
      <c r="F27" s="894"/>
      <c r="G27" s="895" t="s">
        <v>286</v>
      </c>
      <c r="H27" s="894"/>
      <c r="I27" s="190"/>
      <c r="J27" s="173"/>
      <c r="K27" s="191"/>
      <c r="L27" s="191"/>
    </row>
    <row r="28" spans="1:16">
      <c r="A28" s="891" t="s">
        <v>287</v>
      </c>
      <c r="B28" s="892"/>
      <c r="C28" s="878"/>
      <c r="D28" s="879"/>
      <c r="E28" s="878">
        <f>C28*0.45</f>
        <v>0</v>
      </c>
      <c r="F28" s="879"/>
      <c r="G28" s="878"/>
      <c r="H28" s="879"/>
      <c r="I28" s="192"/>
      <c r="K28" s="193"/>
      <c r="M28" s="194"/>
      <c r="N28" s="195"/>
      <c r="P28" s="196"/>
    </row>
    <row r="29" spans="1:16">
      <c r="A29" s="891" t="s">
        <v>288</v>
      </c>
      <c r="B29" s="892"/>
      <c r="C29" s="878"/>
      <c r="D29" s="879"/>
      <c r="E29" s="878">
        <f t="shared" ref="E29:E39" si="1">C29*0.45</f>
        <v>0</v>
      </c>
      <c r="F29" s="879"/>
      <c r="G29" s="878"/>
      <c r="H29" s="879"/>
      <c r="I29" s="192"/>
      <c r="K29" s="193"/>
      <c r="M29" s="194"/>
      <c r="N29" s="195"/>
      <c r="P29" s="196"/>
    </row>
    <row r="30" spans="1:16">
      <c r="A30" s="891" t="s">
        <v>289</v>
      </c>
      <c r="B30" s="892"/>
      <c r="C30" s="878"/>
      <c r="D30" s="879"/>
      <c r="E30" s="878">
        <f t="shared" si="1"/>
        <v>0</v>
      </c>
      <c r="F30" s="879"/>
      <c r="G30" s="878"/>
      <c r="H30" s="879"/>
      <c r="I30" s="192"/>
      <c r="K30" s="193"/>
      <c r="M30" s="194"/>
      <c r="N30" s="195"/>
      <c r="P30" s="196"/>
    </row>
    <row r="31" spans="1:16">
      <c r="A31" s="891" t="s">
        <v>290</v>
      </c>
      <c r="B31" s="892"/>
      <c r="C31" s="878"/>
      <c r="D31" s="879"/>
      <c r="E31" s="878">
        <f t="shared" si="1"/>
        <v>0</v>
      </c>
      <c r="F31" s="879"/>
      <c r="G31" s="878"/>
      <c r="H31" s="879"/>
      <c r="I31" s="192"/>
      <c r="K31" s="193"/>
      <c r="M31" s="194"/>
      <c r="N31" s="195"/>
      <c r="P31" s="196"/>
    </row>
    <row r="32" spans="1:16">
      <c r="A32" s="891" t="s">
        <v>291</v>
      </c>
      <c r="B32" s="892"/>
      <c r="C32" s="878"/>
      <c r="D32" s="879"/>
      <c r="E32" s="878">
        <f t="shared" si="1"/>
        <v>0</v>
      </c>
      <c r="F32" s="879"/>
      <c r="G32" s="878"/>
      <c r="H32" s="879"/>
      <c r="I32" s="192"/>
      <c r="K32" s="193"/>
      <c r="M32" s="194"/>
      <c r="N32" s="195"/>
      <c r="P32" s="196"/>
    </row>
    <row r="33" spans="1:17">
      <c r="A33" s="891" t="s">
        <v>292</v>
      </c>
      <c r="B33" s="892"/>
      <c r="C33" s="878"/>
      <c r="D33" s="879"/>
      <c r="E33" s="878">
        <f t="shared" si="1"/>
        <v>0</v>
      </c>
      <c r="F33" s="879"/>
      <c r="G33" s="878"/>
      <c r="H33" s="879"/>
      <c r="I33" s="192"/>
      <c r="K33" s="193"/>
      <c r="M33" s="194"/>
      <c r="N33" s="195"/>
      <c r="P33" s="196"/>
    </row>
    <row r="34" spans="1:17">
      <c r="A34" s="891" t="s">
        <v>293</v>
      </c>
      <c r="B34" s="892"/>
      <c r="C34" s="878"/>
      <c r="D34" s="879"/>
      <c r="E34" s="878">
        <f t="shared" si="1"/>
        <v>0</v>
      </c>
      <c r="F34" s="879"/>
      <c r="G34" s="878"/>
      <c r="H34" s="879"/>
      <c r="I34" s="192"/>
      <c r="K34" s="193"/>
      <c r="M34" s="194"/>
      <c r="N34" s="195"/>
      <c r="P34" s="196"/>
    </row>
    <row r="35" spans="1:17">
      <c r="A35" s="891" t="s">
        <v>294</v>
      </c>
      <c r="B35" s="892"/>
      <c r="C35" s="878"/>
      <c r="D35" s="879"/>
      <c r="E35" s="878">
        <f t="shared" si="1"/>
        <v>0</v>
      </c>
      <c r="F35" s="879"/>
      <c r="G35" s="878"/>
      <c r="H35" s="879"/>
      <c r="I35" s="192"/>
      <c r="K35" s="193"/>
      <c r="M35" s="194"/>
      <c r="N35" s="195"/>
      <c r="P35" s="196"/>
    </row>
    <row r="36" spans="1:17">
      <c r="A36" s="891" t="s">
        <v>295</v>
      </c>
      <c r="B36" s="892"/>
      <c r="C36" s="878"/>
      <c r="D36" s="879"/>
      <c r="E36" s="878">
        <f t="shared" si="1"/>
        <v>0</v>
      </c>
      <c r="F36" s="879"/>
      <c r="G36" s="878"/>
      <c r="H36" s="879"/>
      <c r="I36" s="192"/>
      <c r="K36" s="193"/>
      <c r="M36" s="194"/>
      <c r="N36" s="195"/>
      <c r="P36" s="196"/>
    </row>
    <row r="37" spans="1:17">
      <c r="A37" s="891" t="s">
        <v>296</v>
      </c>
      <c r="B37" s="892"/>
      <c r="C37" s="878"/>
      <c r="D37" s="879"/>
      <c r="E37" s="878">
        <f t="shared" si="1"/>
        <v>0</v>
      </c>
      <c r="F37" s="879"/>
      <c r="G37" s="878"/>
      <c r="H37" s="879"/>
      <c r="I37" s="192"/>
      <c r="K37" s="193"/>
      <c r="M37" s="194"/>
      <c r="N37" s="195"/>
      <c r="P37" s="196"/>
    </row>
    <row r="38" spans="1:17">
      <c r="A38" s="891" t="s">
        <v>297</v>
      </c>
      <c r="B38" s="892"/>
      <c r="C38" s="878"/>
      <c r="D38" s="879"/>
      <c r="E38" s="878">
        <f t="shared" si="1"/>
        <v>0</v>
      </c>
      <c r="F38" s="879"/>
      <c r="G38" s="878"/>
      <c r="H38" s="879"/>
      <c r="I38" s="192"/>
      <c r="K38" s="193"/>
      <c r="M38" s="194"/>
      <c r="N38" s="195"/>
      <c r="P38" s="196"/>
    </row>
    <row r="39" spans="1:17">
      <c r="A39" s="891" t="s">
        <v>298</v>
      </c>
      <c r="B39" s="892"/>
      <c r="C39" s="878"/>
      <c r="D39" s="879"/>
      <c r="E39" s="878">
        <f t="shared" si="1"/>
        <v>0</v>
      </c>
      <c r="F39" s="879"/>
      <c r="G39" s="878"/>
      <c r="H39" s="879"/>
      <c r="I39" s="192"/>
      <c r="K39" s="193"/>
      <c r="M39" s="194"/>
      <c r="N39" s="195"/>
      <c r="P39" s="196"/>
    </row>
    <row r="40" spans="1:17">
      <c r="A40" s="893" t="s">
        <v>299</v>
      </c>
      <c r="B40" s="894"/>
      <c r="C40" s="878"/>
      <c r="D40" s="879"/>
      <c r="E40" s="878"/>
      <c r="F40" s="879"/>
      <c r="G40" s="878"/>
      <c r="H40" s="879"/>
      <c r="I40" s="192"/>
      <c r="K40" s="197"/>
      <c r="M40" s="194"/>
      <c r="Q40" s="198"/>
    </row>
    <row r="41" spans="1:17">
      <c r="A41" s="893" t="s">
        <v>300</v>
      </c>
      <c r="B41" s="894"/>
      <c r="C41" s="878"/>
      <c r="D41" s="879"/>
      <c r="E41" s="878"/>
      <c r="F41" s="879"/>
      <c r="G41" s="878"/>
      <c r="H41" s="879"/>
      <c r="I41" s="192"/>
      <c r="K41" s="197"/>
    </row>
    <row r="42" spans="1:17">
      <c r="A42" s="893" t="s">
        <v>211</v>
      </c>
      <c r="B42" s="894"/>
      <c r="C42" s="878">
        <f>SUM(C28:D41)</f>
        <v>0</v>
      </c>
      <c r="D42" s="879"/>
      <c r="E42" s="878">
        <f>SUM(E28:F41)</f>
        <v>0</v>
      </c>
      <c r="F42" s="879"/>
      <c r="G42" s="878">
        <f>SUM(G28:H41)</f>
        <v>0</v>
      </c>
      <c r="H42" s="879"/>
      <c r="I42" s="192"/>
      <c r="K42" s="197"/>
      <c r="M42" s="194"/>
    </row>
    <row r="43" spans="1:17">
      <c r="A43" s="199">
        <v>-1</v>
      </c>
      <c r="B43" s="897" t="s">
        <v>301</v>
      </c>
      <c r="C43" s="897"/>
      <c r="D43" s="897"/>
      <c r="E43" s="899"/>
      <c r="F43" s="899"/>
      <c r="G43" s="899"/>
      <c r="H43" s="899"/>
      <c r="I43" s="173"/>
    </row>
    <row r="44" spans="1:17">
      <c r="A44" s="169" t="s">
        <v>302</v>
      </c>
      <c r="B44" s="897" t="s">
        <v>303</v>
      </c>
      <c r="C44" s="897"/>
      <c r="D44" s="897"/>
    </row>
    <row r="46" spans="1:17">
      <c r="A46" s="200" t="s">
        <v>304</v>
      </c>
      <c r="B46" s="169" t="s">
        <v>305</v>
      </c>
      <c r="G46" s="898" t="e">
        <f>G25</f>
        <v>#REF!</v>
      </c>
      <c r="H46" s="898"/>
    </row>
    <row r="47" spans="1:17">
      <c r="G47" s="194"/>
      <c r="H47" s="194"/>
    </row>
    <row r="48" spans="1:17">
      <c r="B48" s="169" t="s">
        <v>306</v>
      </c>
      <c r="G48" s="898">
        <f>C42</f>
        <v>0</v>
      </c>
      <c r="H48" s="898"/>
    </row>
    <row r="50" spans="1:8">
      <c r="B50" s="169" t="s">
        <v>307</v>
      </c>
      <c r="G50" s="898" t="e">
        <f>G46-G48</f>
        <v>#REF!</v>
      </c>
      <c r="H50" s="898"/>
    </row>
    <row r="52" spans="1:8">
      <c r="B52" s="169" t="s">
        <v>308</v>
      </c>
      <c r="C52" s="191" t="s">
        <v>309</v>
      </c>
      <c r="D52" s="201"/>
      <c r="E52" s="201"/>
      <c r="F52" s="201"/>
      <c r="G52" s="201"/>
      <c r="H52" s="201"/>
    </row>
    <row r="53" spans="1:8">
      <c r="C53" s="202"/>
      <c r="D53" s="202"/>
      <c r="E53" s="202"/>
      <c r="F53" s="202"/>
      <c r="G53" s="202"/>
      <c r="H53" s="202"/>
    </row>
    <row r="56" spans="1:8">
      <c r="A56" s="200" t="s">
        <v>310</v>
      </c>
      <c r="B56" s="169" t="s">
        <v>311</v>
      </c>
      <c r="G56" s="898" t="e">
        <f>I25</f>
        <v>#REF!</v>
      </c>
      <c r="H56" s="898"/>
    </row>
    <row r="58" spans="1:8">
      <c r="B58" s="169" t="s">
        <v>312</v>
      </c>
      <c r="G58" s="898">
        <f>E42</f>
        <v>0</v>
      </c>
      <c r="H58" s="898"/>
    </row>
    <row r="60" spans="1:8">
      <c r="B60" s="169" t="s">
        <v>307</v>
      </c>
      <c r="G60" s="898" t="e">
        <f>G56-G58</f>
        <v>#REF!</v>
      </c>
      <c r="H60" s="898"/>
    </row>
    <row r="62" spans="1:8">
      <c r="B62" s="169" t="s">
        <v>308</v>
      </c>
      <c r="C62" s="191" t="s">
        <v>309</v>
      </c>
      <c r="D62" s="201"/>
      <c r="E62" s="201"/>
      <c r="F62" s="201"/>
      <c r="G62" s="201"/>
      <c r="H62" s="201"/>
    </row>
    <row r="63" spans="1:8">
      <c r="C63" s="202"/>
      <c r="D63" s="202"/>
      <c r="E63" s="202"/>
      <c r="F63" s="202"/>
      <c r="G63" s="202"/>
      <c r="H63" s="202"/>
    </row>
    <row r="67" spans="2:9">
      <c r="B67" s="900"/>
      <c r="C67" s="900"/>
      <c r="E67" s="900"/>
      <c r="F67" s="900"/>
      <c r="H67" s="900"/>
      <c r="I67" s="900"/>
    </row>
    <row r="68" spans="2:9">
      <c r="B68" s="901" t="s">
        <v>313</v>
      </c>
      <c r="C68" s="901"/>
      <c r="E68" s="901" t="s">
        <v>314</v>
      </c>
      <c r="F68" s="901"/>
      <c r="H68" s="901" t="s">
        <v>315</v>
      </c>
      <c r="I68" s="901"/>
    </row>
    <row r="70" spans="2:9">
      <c r="B70" s="900"/>
      <c r="C70" s="900"/>
      <c r="E70" s="900"/>
      <c r="F70" s="900"/>
      <c r="H70" s="900"/>
      <c r="I70" s="900"/>
    </row>
    <row r="71" spans="2:9">
      <c r="B71" s="901" t="s">
        <v>313</v>
      </c>
      <c r="C71" s="901"/>
      <c r="E71" s="901" t="s">
        <v>316</v>
      </c>
      <c r="F71" s="901"/>
      <c r="H71" s="901" t="s">
        <v>315</v>
      </c>
      <c r="I71" s="901"/>
    </row>
  </sheetData>
  <mergeCells count="119">
    <mergeCell ref="B70:C70"/>
    <mergeCell ref="E70:F70"/>
    <mergeCell ref="H70:I70"/>
    <mergeCell ref="B71:C71"/>
    <mergeCell ref="E71:F71"/>
    <mergeCell ref="H71:I71"/>
    <mergeCell ref="G60:H60"/>
    <mergeCell ref="B67:C67"/>
    <mergeCell ref="E67:F67"/>
    <mergeCell ref="H67:I67"/>
    <mergeCell ref="B68:C68"/>
    <mergeCell ref="E68:F68"/>
    <mergeCell ref="H68:I68"/>
    <mergeCell ref="B44:D44"/>
    <mergeCell ref="G46:H46"/>
    <mergeCell ref="G48:H48"/>
    <mergeCell ref="G50:H50"/>
    <mergeCell ref="G56:H56"/>
    <mergeCell ref="G58:H58"/>
    <mergeCell ref="A42:B42"/>
    <mergeCell ref="C42:D42"/>
    <mergeCell ref="E42:F42"/>
    <mergeCell ref="G42:H42"/>
    <mergeCell ref="B43:D43"/>
    <mergeCell ref="E43:F43"/>
    <mergeCell ref="G43:H43"/>
    <mergeCell ref="A40:B40"/>
    <mergeCell ref="C40:D40"/>
    <mergeCell ref="E40:F40"/>
    <mergeCell ref="G40:H40"/>
    <mergeCell ref="A41:B41"/>
    <mergeCell ref="C41:D41"/>
    <mergeCell ref="E41:F41"/>
    <mergeCell ref="G41:H41"/>
    <mergeCell ref="A38:B38"/>
    <mergeCell ref="C38:D38"/>
    <mergeCell ref="E38:F38"/>
    <mergeCell ref="G38:H38"/>
    <mergeCell ref="A39:B39"/>
    <mergeCell ref="C39:D39"/>
    <mergeCell ref="E39:F39"/>
    <mergeCell ref="G39:H39"/>
    <mergeCell ref="A36:B36"/>
    <mergeCell ref="C36:D36"/>
    <mergeCell ref="E36:F36"/>
    <mergeCell ref="G36:H36"/>
    <mergeCell ref="A37:B37"/>
    <mergeCell ref="C37:D37"/>
    <mergeCell ref="E37:F37"/>
    <mergeCell ref="G37:H37"/>
    <mergeCell ref="A34:B34"/>
    <mergeCell ref="C34:D34"/>
    <mergeCell ref="E34:F34"/>
    <mergeCell ref="G34:H34"/>
    <mergeCell ref="A35:B35"/>
    <mergeCell ref="C35:D35"/>
    <mergeCell ref="E35:F35"/>
    <mergeCell ref="G35:H35"/>
    <mergeCell ref="A32:B32"/>
    <mergeCell ref="C32:D32"/>
    <mergeCell ref="E32:F32"/>
    <mergeCell ref="G32:H32"/>
    <mergeCell ref="A33:B33"/>
    <mergeCell ref="C33:D33"/>
    <mergeCell ref="E33:F33"/>
    <mergeCell ref="G33:H33"/>
    <mergeCell ref="A30:B30"/>
    <mergeCell ref="C30:D30"/>
    <mergeCell ref="E30:F30"/>
    <mergeCell ref="G30:H30"/>
    <mergeCell ref="A31:B31"/>
    <mergeCell ref="C31:D31"/>
    <mergeCell ref="E31:F31"/>
    <mergeCell ref="G31:H31"/>
    <mergeCell ref="A29:B29"/>
    <mergeCell ref="C29:D29"/>
    <mergeCell ref="E29:F29"/>
    <mergeCell ref="G29:H29"/>
    <mergeCell ref="E25:F25"/>
    <mergeCell ref="G25:H25"/>
    <mergeCell ref="A27:B27"/>
    <mergeCell ref="C27:D27"/>
    <mergeCell ref="E27:F27"/>
    <mergeCell ref="G27:H27"/>
    <mergeCell ref="G17:H17"/>
    <mergeCell ref="E18:F18"/>
    <mergeCell ref="G18:H18"/>
    <mergeCell ref="E19:F19"/>
    <mergeCell ref="G19:H19"/>
    <mergeCell ref="E20:F20"/>
    <mergeCell ref="G20:H20"/>
    <mergeCell ref="A28:B28"/>
    <mergeCell ref="C28:D28"/>
    <mergeCell ref="E28:F28"/>
    <mergeCell ref="G28:H28"/>
    <mergeCell ref="A4:H4"/>
    <mergeCell ref="A5:H5"/>
    <mergeCell ref="D8:F8"/>
    <mergeCell ref="A11:I11"/>
    <mergeCell ref="E12:F12"/>
    <mergeCell ref="G12:H12"/>
    <mergeCell ref="E13:F13"/>
    <mergeCell ref="G13:H13"/>
    <mergeCell ref="I13:I24"/>
    <mergeCell ref="E14:F14"/>
    <mergeCell ref="G14:H14"/>
    <mergeCell ref="E15:F15"/>
    <mergeCell ref="G15:H15"/>
    <mergeCell ref="E16:F16"/>
    <mergeCell ref="G16:H16"/>
    <mergeCell ref="E17:F17"/>
    <mergeCell ref="E21:F21"/>
    <mergeCell ref="G21:H21"/>
    <mergeCell ref="E22:F22"/>
    <mergeCell ref="G22:H22"/>
    <mergeCell ref="C23:C24"/>
    <mergeCell ref="D23:D24"/>
    <mergeCell ref="E23:F24"/>
    <mergeCell ref="G23:H24"/>
  </mergeCells>
  <pageMargins left="0.68" right="1.33" top="0.53" bottom="0.53" header="0.51181102362204722" footer="0.51181102362204722"/>
  <pageSetup paperSize="9" scale="62" orientation="portrait" r:id="rId1"/>
  <headerFooter alignWithMargins="0"/>
  <rowBreaks count="1" manualBreakCount="1">
    <brk id="44" max="16383" man="1"/>
  </rowBreaks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K25"/>
  <sheetViews>
    <sheetView rightToLeft="1" topLeftCell="A4" workbookViewId="0">
      <selection activeCell="J26" sqref="J26"/>
    </sheetView>
  </sheetViews>
  <sheetFormatPr defaultRowHeight="12.75"/>
  <cols>
    <col min="1" max="1" width="11.5703125" style="115" customWidth="1"/>
    <col min="2" max="2" width="10.5703125" style="115" customWidth="1"/>
    <col min="3" max="3" width="10.5703125" style="115" bestFit="1" customWidth="1"/>
    <col min="4" max="4" width="3.42578125" style="115" customWidth="1"/>
    <col min="5" max="5" width="11.5703125" style="115" bestFit="1" customWidth="1"/>
    <col min="6" max="6" width="3.42578125" style="115" customWidth="1"/>
    <col min="7" max="7" width="10.42578125" style="115" bestFit="1" customWidth="1"/>
    <col min="8" max="8" width="3.42578125" style="115" customWidth="1"/>
    <col min="9" max="256" width="9.42578125" style="115"/>
    <col min="257" max="257" width="11.5703125" style="115" customWidth="1"/>
    <col min="258" max="258" width="10.5703125" style="115" customWidth="1"/>
    <col min="259" max="259" width="10.5703125" style="115" bestFit="1" customWidth="1"/>
    <col min="260" max="260" width="3.42578125" style="115" customWidth="1"/>
    <col min="261" max="261" width="11.5703125" style="115" bestFit="1" customWidth="1"/>
    <col min="262" max="262" width="3.42578125" style="115" customWidth="1"/>
    <col min="263" max="263" width="10.42578125" style="115" bestFit="1" customWidth="1"/>
    <col min="264" max="264" width="3.42578125" style="115" customWidth="1"/>
    <col min="265" max="512" width="9.42578125" style="115"/>
    <col min="513" max="513" width="11.5703125" style="115" customWidth="1"/>
    <col min="514" max="514" width="10.5703125" style="115" customWidth="1"/>
    <col min="515" max="515" width="10.5703125" style="115" bestFit="1" customWidth="1"/>
    <col min="516" max="516" width="3.42578125" style="115" customWidth="1"/>
    <col min="517" max="517" width="11.5703125" style="115" bestFit="1" customWidth="1"/>
    <col min="518" max="518" width="3.42578125" style="115" customWidth="1"/>
    <col min="519" max="519" width="10.42578125" style="115" bestFit="1" customWidth="1"/>
    <col min="520" max="520" width="3.42578125" style="115" customWidth="1"/>
    <col min="521" max="768" width="9.42578125" style="115"/>
    <col min="769" max="769" width="11.5703125" style="115" customWidth="1"/>
    <col min="770" max="770" width="10.5703125" style="115" customWidth="1"/>
    <col min="771" max="771" width="10.5703125" style="115" bestFit="1" customWidth="1"/>
    <col min="772" max="772" width="3.42578125" style="115" customWidth="1"/>
    <col min="773" max="773" width="11.5703125" style="115" bestFit="1" customWidth="1"/>
    <col min="774" max="774" width="3.42578125" style="115" customWidth="1"/>
    <col min="775" max="775" width="10.42578125" style="115" bestFit="1" customWidth="1"/>
    <col min="776" max="776" width="3.42578125" style="115" customWidth="1"/>
    <col min="777" max="1024" width="9.42578125" style="115"/>
    <col min="1025" max="1025" width="11.5703125" style="115" customWidth="1"/>
    <col min="1026" max="1026" width="10.5703125" style="115" customWidth="1"/>
    <col min="1027" max="1027" width="10.5703125" style="115" bestFit="1" customWidth="1"/>
    <col min="1028" max="1028" width="3.42578125" style="115" customWidth="1"/>
    <col min="1029" max="1029" width="11.5703125" style="115" bestFit="1" customWidth="1"/>
    <col min="1030" max="1030" width="3.42578125" style="115" customWidth="1"/>
    <col min="1031" max="1031" width="10.42578125" style="115" bestFit="1" customWidth="1"/>
    <col min="1032" max="1032" width="3.42578125" style="115" customWidth="1"/>
    <col min="1033" max="1280" width="9.42578125" style="115"/>
    <col min="1281" max="1281" width="11.5703125" style="115" customWidth="1"/>
    <col min="1282" max="1282" width="10.5703125" style="115" customWidth="1"/>
    <col min="1283" max="1283" width="10.5703125" style="115" bestFit="1" customWidth="1"/>
    <col min="1284" max="1284" width="3.42578125" style="115" customWidth="1"/>
    <col min="1285" max="1285" width="11.5703125" style="115" bestFit="1" customWidth="1"/>
    <col min="1286" max="1286" width="3.42578125" style="115" customWidth="1"/>
    <col min="1287" max="1287" width="10.42578125" style="115" bestFit="1" customWidth="1"/>
    <col min="1288" max="1288" width="3.42578125" style="115" customWidth="1"/>
    <col min="1289" max="1536" width="9.42578125" style="115"/>
    <col min="1537" max="1537" width="11.5703125" style="115" customWidth="1"/>
    <col min="1538" max="1538" width="10.5703125" style="115" customWidth="1"/>
    <col min="1539" max="1539" width="10.5703125" style="115" bestFit="1" customWidth="1"/>
    <col min="1540" max="1540" width="3.42578125" style="115" customWidth="1"/>
    <col min="1541" max="1541" width="11.5703125" style="115" bestFit="1" customWidth="1"/>
    <col min="1542" max="1542" width="3.42578125" style="115" customWidth="1"/>
    <col min="1543" max="1543" width="10.42578125" style="115" bestFit="1" customWidth="1"/>
    <col min="1544" max="1544" width="3.42578125" style="115" customWidth="1"/>
    <col min="1545" max="1792" width="9.42578125" style="115"/>
    <col min="1793" max="1793" width="11.5703125" style="115" customWidth="1"/>
    <col min="1794" max="1794" width="10.5703125" style="115" customWidth="1"/>
    <col min="1795" max="1795" width="10.5703125" style="115" bestFit="1" customWidth="1"/>
    <col min="1796" max="1796" width="3.42578125" style="115" customWidth="1"/>
    <col min="1797" max="1797" width="11.5703125" style="115" bestFit="1" customWidth="1"/>
    <col min="1798" max="1798" width="3.42578125" style="115" customWidth="1"/>
    <col min="1799" max="1799" width="10.42578125" style="115" bestFit="1" customWidth="1"/>
    <col min="1800" max="1800" width="3.42578125" style="115" customWidth="1"/>
    <col min="1801" max="2048" width="9.42578125" style="115"/>
    <col min="2049" max="2049" width="11.5703125" style="115" customWidth="1"/>
    <col min="2050" max="2050" width="10.5703125" style="115" customWidth="1"/>
    <col min="2051" max="2051" width="10.5703125" style="115" bestFit="1" customWidth="1"/>
    <col min="2052" max="2052" width="3.42578125" style="115" customWidth="1"/>
    <col min="2053" max="2053" width="11.5703125" style="115" bestFit="1" customWidth="1"/>
    <col min="2054" max="2054" width="3.42578125" style="115" customWidth="1"/>
    <col min="2055" max="2055" width="10.42578125" style="115" bestFit="1" customWidth="1"/>
    <col min="2056" max="2056" width="3.42578125" style="115" customWidth="1"/>
    <col min="2057" max="2304" width="9.42578125" style="115"/>
    <col min="2305" max="2305" width="11.5703125" style="115" customWidth="1"/>
    <col min="2306" max="2306" width="10.5703125" style="115" customWidth="1"/>
    <col min="2307" max="2307" width="10.5703125" style="115" bestFit="1" customWidth="1"/>
    <col min="2308" max="2308" width="3.42578125" style="115" customWidth="1"/>
    <col min="2309" max="2309" width="11.5703125" style="115" bestFit="1" customWidth="1"/>
    <col min="2310" max="2310" width="3.42578125" style="115" customWidth="1"/>
    <col min="2311" max="2311" width="10.42578125" style="115" bestFit="1" customWidth="1"/>
    <col min="2312" max="2312" width="3.42578125" style="115" customWidth="1"/>
    <col min="2313" max="2560" width="9.42578125" style="115"/>
    <col min="2561" max="2561" width="11.5703125" style="115" customWidth="1"/>
    <col min="2562" max="2562" width="10.5703125" style="115" customWidth="1"/>
    <col min="2563" max="2563" width="10.5703125" style="115" bestFit="1" customWidth="1"/>
    <col min="2564" max="2564" width="3.42578125" style="115" customWidth="1"/>
    <col min="2565" max="2565" width="11.5703125" style="115" bestFit="1" customWidth="1"/>
    <col min="2566" max="2566" width="3.42578125" style="115" customWidth="1"/>
    <col min="2567" max="2567" width="10.42578125" style="115" bestFit="1" customWidth="1"/>
    <col min="2568" max="2568" width="3.42578125" style="115" customWidth="1"/>
    <col min="2569" max="2816" width="9.42578125" style="115"/>
    <col min="2817" max="2817" width="11.5703125" style="115" customWidth="1"/>
    <col min="2818" max="2818" width="10.5703125" style="115" customWidth="1"/>
    <col min="2819" max="2819" width="10.5703125" style="115" bestFit="1" customWidth="1"/>
    <col min="2820" max="2820" width="3.42578125" style="115" customWidth="1"/>
    <col min="2821" max="2821" width="11.5703125" style="115" bestFit="1" customWidth="1"/>
    <col min="2822" max="2822" width="3.42578125" style="115" customWidth="1"/>
    <col min="2823" max="2823" width="10.42578125" style="115" bestFit="1" customWidth="1"/>
    <col min="2824" max="2824" width="3.42578125" style="115" customWidth="1"/>
    <col min="2825" max="3072" width="9.42578125" style="115"/>
    <col min="3073" max="3073" width="11.5703125" style="115" customWidth="1"/>
    <col min="3074" max="3074" width="10.5703125" style="115" customWidth="1"/>
    <col min="3075" max="3075" width="10.5703125" style="115" bestFit="1" customWidth="1"/>
    <col min="3076" max="3076" width="3.42578125" style="115" customWidth="1"/>
    <col min="3077" max="3077" width="11.5703125" style="115" bestFit="1" customWidth="1"/>
    <col min="3078" max="3078" width="3.42578125" style="115" customWidth="1"/>
    <col min="3079" max="3079" width="10.42578125" style="115" bestFit="1" customWidth="1"/>
    <col min="3080" max="3080" width="3.42578125" style="115" customWidth="1"/>
    <col min="3081" max="3328" width="9.42578125" style="115"/>
    <col min="3329" max="3329" width="11.5703125" style="115" customWidth="1"/>
    <col min="3330" max="3330" width="10.5703125" style="115" customWidth="1"/>
    <col min="3331" max="3331" width="10.5703125" style="115" bestFit="1" customWidth="1"/>
    <col min="3332" max="3332" width="3.42578125" style="115" customWidth="1"/>
    <col min="3333" max="3333" width="11.5703125" style="115" bestFit="1" customWidth="1"/>
    <col min="3334" max="3334" width="3.42578125" style="115" customWidth="1"/>
    <col min="3335" max="3335" width="10.42578125" style="115" bestFit="1" customWidth="1"/>
    <col min="3336" max="3336" width="3.42578125" style="115" customWidth="1"/>
    <col min="3337" max="3584" width="9.42578125" style="115"/>
    <col min="3585" max="3585" width="11.5703125" style="115" customWidth="1"/>
    <col min="3586" max="3586" width="10.5703125" style="115" customWidth="1"/>
    <col min="3587" max="3587" width="10.5703125" style="115" bestFit="1" customWidth="1"/>
    <col min="3588" max="3588" width="3.42578125" style="115" customWidth="1"/>
    <col min="3589" max="3589" width="11.5703125" style="115" bestFit="1" customWidth="1"/>
    <col min="3590" max="3590" width="3.42578125" style="115" customWidth="1"/>
    <col min="3591" max="3591" width="10.42578125" style="115" bestFit="1" customWidth="1"/>
    <col min="3592" max="3592" width="3.42578125" style="115" customWidth="1"/>
    <col min="3593" max="3840" width="9.42578125" style="115"/>
    <col min="3841" max="3841" width="11.5703125" style="115" customWidth="1"/>
    <col min="3842" max="3842" width="10.5703125" style="115" customWidth="1"/>
    <col min="3843" max="3843" width="10.5703125" style="115" bestFit="1" customWidth="1"/>
    <col min="3844" max="3844" width="3.42578125" style="115" customWidth="1"/>
    <col min="3845" max="3845" width="11.5703125" style="115" bestFit="1" customWidth="1"/>
    <col min="3846" max="3846" width="3.42578125" style="115" customWidth="1"/>
    <col min="3847" max="3847" width="10.42578125" style="115" bestFit="1" customWidth="1"/>
    <col min="3848" max="3848" width="3.42578125" style="115" customWidth="1"/>
    <col min="3849" max="4096" width="9.42578125" style="115"/>
    <col min="4097" max="4097" width="11.5703125" style="115" customWidth="1"/>
    <col min="4098" max="4098" width="10.5703125" style="115" customWidth="1"/>
    <col min="4099" max="4099" width="10.5703125" style="115" bestFit="1" customWidth="1"/>
    <col min="4100" max="4100" width="3.42578125" style="115" customWidth="1"/>
    <col min="4101" max="4101" width="11.5703125" style="115" bestFit="1" customWidth="1"/>
    <col min="4102" max="4102" width="3.42578125" style="115" customWidth="1"/>
    <col min="4103" max="4103" width="10.42578125" style="115" bestFit="1" customWidth="1"/>
    <col min="4104" max="4104" width="3.42578125" style="115" customWidth="1"/>
    <col min="4105" max="4352" width="9.42578125" style="115"/>
    <col min="4353" max="4353" width="11.5703125" style="115" customWidth="1"/>
    <col min="4354" max="4354" width="10.5703125" style="115" customWidth="1"/>
    <col min="4355" max="4355" width="10.5703125" style="115" bestFit="1" customWidth="1"/>
    <col min="4356" max="4356" width="3.42578125" style="115" customWidth="1"/>
    <col min="4357" max="4357" width="11.5703125" style="115" bestFit="1" customWidth="1"/>
    <col min="4358" max="4358" width="3.42578125" style="115" customWidth="1"/>
    <col min="4359" max="4359" width="10.42578125" style="115" bestFit="1" customWidth="1"/>
    <col min="4360" max="4360" width="3.42578125" style="115" customWidth="1"/>
    <col min="4361" max="4608" width="9.42578125" style="115"/>
    <col min="4609" max="4609" width="11.5703125" style="115" customWidth="1"/>
    <col min="4610" max="4610" width="10.5703125" style="115" customWidth="1"/>
    <col min="4611" max="4611" width="10.5703125" style="115" bestFit="1" customWidth="1"/>
    <col min="4612" max="4612" width="3.42578125" style="115" customWidth="1"/>
    <col min="4613" max="4613" width="11.5703125" style="115" bestFit="1" customWidth="1"/>
    <col min="4614" max="4614" width="3.42578125" style="115" customWidth="1"/>
    <col min="4615" max="4615" width="10.42578125" style="115" bestFit="1" customWidth="1"/>
    <col min="4616" max="4616" width="3.42578125" style="115" customWidth="1"/>
    <col min="4617" max="4864" width="9.42578125" style="115"/>
    <col min="4865" max="4865" width="11.5703125" style="115" customWidth="1"/>
    <col min="4866" max="4866" width="10.5703125" style="115" customWidth="1"/>
    <col min="4867" max="4867" width="10.5703125" style="115" bestFit="1" customWidth="1"/>
    <col min="4868" max="4868" width="3.42578125" style="115" customWidth="1"/>
    <col min="4869" max="4869" width="11.5703125" style="115" bestFit="1" customWidth="1"/>
    <col min="4870" max="4870" width="3.42578125" style="115" customWidth="1"/>
    <col min="4871" max="4871" width="10.42578125" style="115" bestFit="1" customWidth="1"/>
    <col min="4872" max="4872" width="3.42578125" style="115" customWidth="1"/>
    <col min="4873" max="5120" width="9.42578125" style="115"/>
    <col min="5121" max="5121" width="11.5703125" style="115" customWidth="1"/>
    <col min="5122" max="5122" width="10.5703125" style="115" customWidth="1"/>
    <col min="5123" max="5123" width="10.5703125" style="115" bestFit="1" customWidth="1"/>
    <col min="5124" max="5124" width="3.42578125" style="115" customWidth="1"/>
    <col min="5125" max="5125" width="11.5703125" style="115" bestFit="1" customWidth="1"/>
    <col min="5126" max="5126" width="3.42578125" style="115" customWidth="1"/>
    <col min="5127" max="5127" width="10.42578125" style="115" bestFit="1" customWidth="1"/>
    <col min="5128" max="5128" width="3.42578125" style="115" customWidth="1"/>
    <col min="5129" max="5376" width="9.42578125" style="115"/>
    <col min="5377" max="5377" width="11.5703125" style="115" customWidth="1"/>
    <col min="5378" max="5378" width="10.5703125" style="115" customWidth="1"/>
    <col min="5379" max="5379" width="10.5703125" style="115" bestFit="1" customWidth="1"/>
    <col min="5380" max="5380" width="3.42578125" style="115" customWidth="1"/>
    <col min="5381" max="5381" width="11.5703125" style="115" bestFit="1" customWidth="1"/>
    <col min="5382" max="5382" width="3.42578125" style="115" customWidth="1"/>
    <col min="5383" max="5383" width="10.42578125" style="115" bestFit="1" customWidth="1"/>
    <col min="5384" max="5384" width="3.42578125" style="115" customWidth="1"/>
    <col min="5385" max="5632" width="9.42578125" style="115"/>
    <col min="5633" max="5633" width="11.5703125" style="115" customWidth="1"/>
    <col min="5634" max="5634" width="10.5703125" style="115" customWidth="1"/>
    <col min="5635" max="5635" width="10.5703125" style="115" bestFit="1" customWidth="1"/>
    <col min="5636" max="5636" width="3.42578125" style="115" customWidth="1"/>
    <col min="5637" max="5637" width="11.5703125" style="115" bestFit="1" customWidth="1"/>
    <col min="5638" max="5638" width="3.42578125" style="115" customWidth="1"/>
    <col min="5639" max="5639" width="10.42578125" style="115" bestFit="1" customWidth="1"/>
    <col min="5640" max="5640" width="3.42578125" style="115" customWidth="1"/>
    <col min="5641" max="5888" width="9.42578125" style="115"/>
    <col min="5889" max="5889" width="11.5703125" style="115" customWidth="1"/>
    <col min="5890" max="5890" width="10.5703125" style="115" customWidth="1"/>
    <col min="5891" max="5891" width="10.5703125" style="115" bestFit="1" customWidth="1"/>
    <col min="5892" max="5892" width="3.42578125" style="115" customWidth="1"/>
    <col min="5893" max="5893" width="11.5703125" style="115" bestFit="1" customWidth="1"/>
    <col min="5894" max="5894" width="3.42578125" style="115" customWidth="1"/>
    <col min="5895" max="5895" width="10.42578125" style="115" bestFit="1" customWidth="1"/>
    <col min="5896" max="5896" width="3.42578125" style="115" customWidth="1"/>
    <col min="5897" max="6144" width="9.42578125" style="115"/>
    <col min="6145" max="6145" width="11.5703125" style="115" customWidth="1"/>
    <col min="6146" max="6146" width="10.5703125" style="115" customWidth="1"/>
    <col min="6147" max="6147" width="10.5703125" style="115" bestFit="1" customWidth="1"/>
    <col min="6148" max="6148" width="3.42578125" style="115" customWidth="1"/>
    <col min="6149" max="6149" width="11.5703125" style="115" bestFit="1" customWidth="1"/>
    <col min="6150" max="6150" width="3.42578125" style="115" customWidth="1"/>
    <col min="6151" max="6151" width="10.42578125" style="115" bestFit="1" customWidth="1"/>
    <col min="6152" max="6152" width="3.42578125" style="115" customWidth="1"/>
    <col min="6153" max="6400" width="9.42578125" style="115"/>
    <col min="6401" max="6401" width="11.5703125" style="115" customWidth="1"/>
    <col min="6402" max="6402" width="10.5703125" style="115" customWidth="1"/>
    <col min="6403" max="6403" width="10.5703125" style="115" bestFit="1" customWidth="1"/>
    <col min="6404" max="6404" width="3.42578125" style="115" customWidth="1"/>
    <col min="6405" max="6405" width="11.5703125" style="115" bestFit="1" customWidth="1"/>
    <col min="6406" max="6406" width="3.42578125" style="115" customWidth="1"/>
    <col min="6407" max="6407" width="10.42578125" style="115" bestFit="1" customWidth="1"/>
    <col min="6408" max="6408" width="3.42578125" style="115" customWidth="1"/>
    <col min="6409" max="6656" width="9.42578125" style="115"/>
    <col min="6657" max="6657" width="11.5703125" style="115" customWidth="1"/>
    <col min="6658" max="6658" width="10.5703125" style="115" customWidth="1"/>
    <col min="6659" max="6659" width="10.5703125" style="115" bestFit="1" customWidth="1"/>
    <col min="6660" max="6660" width="3.42578125" style="115" customWidth="1"/>
    <col min="6661" max="6661" width="11.5703125" style="115" bestFit="1" customWidth="1"/>
    <col min="6662" max="6662" width="3.42578125" style="115" customWidth="1"/>
    <col min="6663" max="6663" width="10.42578125" style="115" bestFit="1" customWidth="1"/>
    <col min="6664" max="6664" width="3.42578125" style="115" customWidth="1"/>
    <col min="6665" max="6912" width="9.42578125" style="115"/>
    <col min="6913" max="6913" width="11.5703125" style="115" customWidth="1"/>
    <col min="6914" max="6914" width="10.5703125" style="115" customWidth="1"/>
    <col min="6915" max="6915" width="10.5703125" style="115" bestFit="1" customWidth="1"/>
    <col min="6916" max="6916" width="3.42578125" style="115" customWidth="1"/>
    <col min="6917" max="6917" width="11.5703125" style="115" bestFit="1" customWidth="1"/>
    <col min="6918" max="6918" width="3.42578125" style="115" customWidth="1"/>
    <col min="6919" max="6919" width="10.42578125" style="115" bestFit="1" customWidth="1"/>
    <col min="6920" max="6920" width="3.42578125" style="115" customWidth="1"/>
    <col min="6921" max="7168" width="9.42578125" style="115"/>
    <col min="7169" max="7169" width="11.5703125" style="115" customWidth="1"/>
    <col min="7170" max="7170" width="10.5703125" style="115" customWidth="1"/>
    <col min="7171" max="7171" width="10.5703125" style="115" bestFit="1" customWidth="1"/>
    <col min="7172" max="7172" width="3.42578125" style="115" customWidth="1"/>
    <col min="7173" max="7173" width="11.5703125" style="115" bestFit="1" customWidth="1"/>
    <col min="7174" max="7174" width="3.42578125" style="115" customWidth="1"/>
    <col min="7175" max="7175" width="10.42578125" style="115" bestFit="1" customWidth="1"/>
    <col min="7176" max="7176" width="3.42578125" style="115" customWidth="1"/>
    <col min="7177" max="7424" width="9.42578125" style="115"/>
    <col min="7425" max="7425" width="11.5703125" style="115" customWidth="1"/>
    <col min="7426" max="7426" width="10.5703125" style="115" customWidth="1"/>
    <col min="7427" max="7427" width="10.5703125" style="115" bestFit="1" customWidth="1"/>
    <col min="7428" max="7428" width="3.42578125" style="115" customWidth="1"/>
    <col min="7429" max="7429" width="11.5703125" style="115" bestFit="1" customWidth="1"/>
    <col min="7430" max="7430" width="3.42578125" style="115" customWidth="1"/>
    <col min="7431" max="7431" width="10.42578125" style="115" bestFit="1" customWidth="1"/>
    <col min="7432" max="7432" width="3.42578125" style="115" customWidth="1"/>
    <col min="7433" max="7680" width="9.42578125" style="115"/>
    <col min="7681" max="7681" width="11.5703125" style="115" customWidth="1"/>
    <col min="7682" max="7682" width="10.5703125" style="115" customWidth="1"/>
    <col min="7683" max="7683" width="10.5703125" style="115" bestFit="1" customWidth="1"/>
    <col min="7684" max="7684" width="3.42578125" style="115" customWidth="1"/>
    <col min="7685" max="7685" width="11.5703125" style="115" bestFit="1" customWidth="1"/>
    <col min="7686" max="7686" width="3.42578125" style="115" customWidth="1"/>
    <col min="7687" max="7687" width="10.42578125" style="115" bestFit="1" customWidth="1"/>
    <col min="7688" max="7688" width="3.42578125" style="115" customWidth="1"/>
    <col min="7689" max="7936" width="9.42578125" style="115"/>
    <col min="7937" max="7937" width="11.5703125" style="115" customWidth="1"/>
    <col min="7938" max="7938" width="10.5703125" style="115" customWidth="1"/>
    <col min="7939" max="7939" width="10.5703125" style="115" bestFit="1" customWidth="1"/>
    <col min="7940" max="7940" width="3.42578125" style="115" customWidth="1"/>
    <col min="7941" max="7941" width="11.5703125" style="115" bestFit="1" customWidth="1"/>
    <col min="7942" max="7942" width="3.42578125" style="115" customWidth="1"/>
    <col min="7943" max="7943" width="10.42578125" style="115" bestFit="1" customWidth="1"/>
    <col min="7944" max="7944" width="3.42578125" style="115" customWidth="1"/>
    <col min="7945" max="8192" width="9.42578125" style="115"/>
    <col min="8193" max="8193" width="11.5703125" style="115" customWidth="1"/>
    <col min="8194" max="8194" width="10.5703125" style="115" customWidth="1"/>
    <col min="8195" max="8195" width="10.5703125" style="115" bestFit="1" customWidth="1"/>
    <col min="8196" max="8196" width="3.42578125" style="115" customWidth="1"/>
    <col min="8197" max="8197" width="11.5703125" style="115" bestFit="1" customWidth="1"/>
    <col min="8198" max="8198" width="3.42578125" style="115" customWidth="1"/>
    <col min="8199" max="8199" width="10.42578125" style="115" bestFit="1" customWidth="1"/>
    <col min="8200" max="8200" width="3.42578125" style="115" customWidth="1"/>
    <col min="8201" max="8448" width="9.42578125" style="115"/>
    <col min="8449" max="8449" width="11.5703125" style="115" customWidth="1"/>
    <col min="8450" max="8450" width="10.5703125" style="115" customWidth="1"/>
    <col min="8451" max="8451" width="10.5703125" style="115" bestFit="1" customWidth="1"/>
    <col min="8452" max="8452" width="3.42578125" style="115" customWidth="1"/>
    <col min="8453" max="8453" width="11.5703125" style="115" bestFit="1" customWidth="1"/>
    <col min="8454" max="8454" width="3.42578125" style="115" customWidth="1"/>
    <col min="8455" max="8455" width="10.42578125" style="115" bestFit="1" customWidth="1"/>
    <col min="8456" max="8456" width="3.42578125" style="115" customWidth="1"/>
    <col min="8457" max="8704" width="9.42578125" style="115"/>
    <col min="8705" max="8705" width="11.5703125" style="115" customWidth="1"/>
    <col min="8706" max="8706" width="10.5703125" style="115" customWidth="1"/>
    <col min="8707" max="8707" width="10.5703125" style="115" bestFit="1" customWidth="1"/>
    <col min="8708" max="8708" width="3.42578125" style="115" customWidth="1"/>
    <col min="8709" max="8709" width="11.5703125" style="115" bestFit="1" customWidth="1"/>
    <col min="8710" max="8710" width="3.42578125" style="115" customWidth="1"/>
    <col min="8711" max="8711" width="10.42578125" style="115" bestFit="1" customWidth="1"/>
    <col min="8712" max="8712" width="3.42578125" style="115" customWidth="1"/>
    <col min="8713" max="8960" width="9.42578125" style="115"/>
    <col min="8961" max="8961" width="11.5703125" style="115" customWidth="1"/>
    <col min="8962" max="8962" width="10.5703125" style="115" customWidth="1"/>
    <col min="8963" max="8963" width="10.5703125" style="115" bestFit="1" customWidth="1"/>
    <col min="8964" max="8964" width="3.42578125" style="115" customWidth="1"/>
    <col min="8965" max="8965" width="11.5703125" style="115" bestFit="1" customWidth="1"/>
    <col min="8966" max="8966" width="3.42578125" style="115" customWidth="1"/>
    <col min="8967" max="8967" width="10.42578125" style="115" bestFit="1" customWidth="1"/>
    <col min="8968" max="8968" width="3.42578125" style="115" customWidth="1"/>
    <col min="8969" max="9216" width="9.42578125" style="115"/>
    <col min="9217" max="9217" width="11.5703125" style="115" customWidth="1"/>
    <col min="9218" max="9218" width="10.5703125" style="115" customWidth="1"/>
    <col min="9219" max="9219" width="10.5703125" style="115" bestFit="1" customWidth="1"/>
    <col min="9220" max="9220" width="3.42578125" style="115" customWidth="1"/>
    <col min="9221" max="9221" width="11.5703125" style="115" bestFit="1" customWidth="1"/>
    <col min="9222" max="9222" width="3.42578125" style="115" customWidth="1"/>
    <col min="9223" max="9223" width="10.42578125" style="115" bestFit="1" customWidth="1"/>
    <col min="9224" max="9224" width="3.42578125" style="115" customWidth="1"/>
    <col min="9225" max="9472" width="9.42578125" style="115"/>
    <col min="9473" max="9473" width="11.5703125" style="115" customWidth="1"/>
    <col min="9474" max="9474" width="10.5703125" style="115" customWidth="1"/>
    <col min="9475" max="9475" width="10.5703125" style="115" bestFit="1" customWidth="1"/>
    <col min="9476" max="9476" width="3.42578125" style="115" customWidth="1"/>
    <col min="9477" max="9477" width="11.5703125" style="115" bestFit="1" customWidth="1"/>
    <col min="9478" max="9478" width="3.42578125" style="115" customWidth="1"/>
    <col min="9479" max="9479" width="10.42578125" style="115" bestFit="1" customWidth="1"/>
    <col min="9480" max="9480" width="3.42578125" style="115" customWidth="1"/>
    <col min="9481" max="9728" width="9.42578125" style="115"/>
    <col min="9729" max="9729" width="11.5703125" style="115" customWidth="1"/>
    <col min="9730" max="9730" width="10.5703125" style="115" customWidth="1"/>
    <col min="9731" max="9731" width="10.5703125" style="115" bestFit="1" customWidth="1"/>
    <col min="9732" max="9732" width="3.42578125" style="115" customWidth="1"/>
    <col min="9733" max="9733" width="11.5703125" style="115" bestFit="1" customWidth="1"/>
    <col min="9734" max="9734" width="3.42578125" style="115" customWidth="1"/>
    <col min="9735" max="9735" width="10.42578125" style="115" bestFit="1" customWidth="1"/>
    <col min="9736" max="9736" width="3.42578125" style="115" customWidth="1"/>
    <col min="9737" max="9984" width="9.42578125" style="115"/>
    <col min="9985" max="9985" width="11.5703125" style="115" customWidth="1"/>
    <col min="9986" max="9986" width="10.5703125" style="115" customWidth="1"/>
    <col min="9987" max="9987" width="10.5703125" style="115" bestFit="1" customWidth="1"/>
    <col min="9988" max="9988" width="3.42578125" style="115" customWidth="1"/>
    <col min="9989" max="9989" width="11.5703125" style="115" bestFit="1" customWidth="1"/>
    <col min="9990" max="9990" width="3.42578125" style="115" customWidth="1"/>
    <col min="9991" max="9991" width="10.42578125" style="115" bestFit="1" customWidth="1"/>
    <col min="9992" max="9992" width="3.42578125" style="115" customWidth="1"/>
    <col min="9993" max="10240" width="9.42578125" style="115"/>
    <col min="10241" max="10241" width="11.5703125" style="115" customWidth="1"/>
    <col min="10242" max="10242" width="10.5703125" style="115" customWidth="1"/>
    <col min="10243" max="10243" width="10.5703125" style="115" bestFit="1" customWidth="1"/>
    <col min="10244" max="10244" width="3.42578125" style="115" customWidth="1"/>
    <col min="10245" max="10245" width="11.5703125" style="115" bestFit="1" customWidth="1"/>
    <col min="10246" max="10246" width="3.42578125" style="115" customWidth="1"/>
    <col min="10247" max="10247" width="10.42578125" style="115" bestFit="1" customWidth="1"/>
    <col min="10248" max="10248" width="3.42578125" style="115" customWidth="1"/>
    <col min="10249" max="10496" width="9.42578125" style="115"/>
    <col min="10497" max="10497" width="11.5703125" style="115" customWidth="1"/>
    <col min="10498" max="10498" width="10.5703125" style="115" customWidth="1"/>
    <col min="10499" max="10499" width="10.5703125" style="115" bestFit="1" customWidth="1"/>
    <col min="10500" max="10500" width="3.42578125" style="115" customWidth="1"/>
    <col min="10501" max="10501" width="11.5703125" style="115" bestFit="1" customWidth="1"/>
    <col min="10502" max="10502" width="3.42578125" style="115" customWidth="1"/>
    <col min="10503" max="10503" width="10.42578125" style="115" bestFit="1" customWidth="1"/>
    <col min="10504" max="10504" width="3.42578125" style="115" customWidth="1"/>
    <col min="10505" max="10752" width="9.42578125" style="115"/>
    <col min="10753" max="10753" width="11.5703125" style="115" customWidth="1"/>
    <col min="10754" max="10754" width="10.5703125" style="115" customWidth="1"/>
    <col min="10755" max="10755" width="10.5703125" style="115" bestFit="1" customWidth="1"/>
    <col min="10756" max="10756" width="3.42578125" style="115" customWidth="1"/>
    <col min="10757" max="10757" width="11.5703125" style="115" bestFit="1" customWidth="1"/>
    <col min="10758" max="10758" width="3.42578125" style="115" customWidth="1"/>
    <col min="10759" max="10759" width="10.42578125" style="115" bestFit="1" customWidth="1"/>
    <col min="10760" max="10760" width="3.42578125" style="115" customWidth="1"/>
    <col min="10761" max="11008" width="9.42578125" style="115"/>
    <col min="11009" max="11009" width="11.5703125" style="115" customWidth="1"/>
    <col min="11010" max="11010" width="10.5703125" style="115" customWidth="1"/>
    <col min="11011" max="11011" width="10.5703125" style="115" bestFit="1" customWidth="1"/>
    <col min="11012" max="11012" width="3.42578125" style="115" customWidth="1"/>
    <col min="11013" max="11013" width="11.5703125" style="115" bestFit="1" customWidth="1"/>
    <col min="11014" max="11014" width="3.42578125" style="115" customWidth="1"/>
    <col min="11015" max="11015" width="10.42578125" style="115" bestFit="1" customWidth="1"/>
    <col min="11016" max="11016" width="3.42578125" style="115" customWidth="1"/>
    <col min="11017" max="11264" width="9.42578125" style="115"/>
    <col min="11265" max="11265" width="11.5703125" style="115" customWidth="1"/>
    <col min="11266" max="11266" width="10.5703125" style="115" customWidth="1"/>
    <col min="11267" max="11267" width="10.5703125" style="115" bestFit="1" customWidth="1"/>
    <col min="11268" max="11268" width="3.42578125" style="115" customWidth="1"/>
    <col min="11269" max="11269" width="11.5703125" style="115" bestFit="1" customWidth="1"/>
    <col min="11270" max="11270" width="3.42578125" style="115" customWidth="1"/>
    <col min="11271" max="11271" width="10.42578125" style="115" bestFit="1" customWidth="1"/>
    <col min="11272" max="11272" width="3.42578125" style="115" customWidth="1"/>
    <col min="11273" max="11520" width="9.42578125" style="115"/>
    <col min="11521" max="11521" width="11.5703125" style="115" customWidth="1"/>
    <col min="11522" max="11522" width="10.5703125" style="115" customWidth="1"/>
    <col min="11523" max="11523" width="10.5703125" style="115" bestFit="1" customWidth="1"/>
    <col min="11524" max="11524" width="3.42578125" style="115" customWidth="1"/>
    <col min="11525" max="11525" width="11.5703125" style="115" bestFit="1" customWidth="1"/>
    <col min="11526" max="11526" width="3.42578125" style="115" customWidth="1"/>
    <col min="11527" max="11527" width="10.42578125" style="115" bestFit="1" customWidth="1"/>
    <col min="11528" max="11528" width="3.42578125" style="115" customWidth="1"/>
    <col min="11529" max="11776" width="9.42578125" style="115"/>
    <col min="11777" max="11777" width="11.5703125" style="115" customWidth="1"/>
    <col min="11778" max="11778" width="10.5703125" style="115" customWidth="1"/>
    <col min="11779" max="11779" width="10.5703125" style="115" bestFit="1" customWidth="1"/>
    <col min="11780" max="11780" width="3.42578125" style="115" customWidth="1"/>
    <col min="11781" max="11781" width="11.5703125" style="115" bestFit="1" customWidth="1"/>
    <col min="11782" max="11782" width="3.42578125" style="115" customWidth="1"/>
    <col min="11783" max="11783" width="10.42578125" style="115" bestFit="1" customWidth="1"/>
    <col min="11784" max="11784" width="3.42578125" style="115" customWidth="1"/>
    <col min="11785" max="12032" width="9.42578125" style="115"/>
    <col min="12033" max="12033" width="11.5703125" style="115" customWidth="1"/>
    <col min="12034" max="12034" width="10.5703125" style="115" customWidth="1"/>
    <col min="12035" max="12035" width="10.5703125" style="115" bestFit="1" customWidth="1"/>
    <col min="12036" max="12036" width="3.42578125" style="115" customWidth="1"/>
    <col min="12037" max="12037" width="11.5703125" style="115" bestFit="1" customWidth="1"/>
    <col min="12038" max="12038" width="3.42578125" style="115" customWidth="1"/>
    <col min="12039" max="12039" width="10.42578125" style="115" bestFit="1" customWidth="1"/>
    <col min="12040" max="12040" width="3.42578125" style="115" customWidth="1"/>
    <col min="12041" max="12288" width="9.42578125" style="115"/>
    <col min="12289" max="12289" width="11.5703125" style="115" customWidth="1"/>
    <col min="12290" max="12290" width="10.5703125" style="115" customWidth="1"/>
    <col min="12291" max="12291" width="10.5703125" style="115" bestFit="1" customWidth="1"/>
    <col min="12292" max="12292" width="3.42578125" style="115" customWidth="1"/>
    <col min="12293" max="12293" width="11.5703125" style="115" bestFit="1" customWidth="1"/>
    <col min="12294" max="12294" width="3.42578125" style="115" customWidth="1"/>
    <col min="12295" max="12295" width="10.42578125" style="115" bestFit="1" customWidth="1"/>
    <col min="12296" max="12296" width="3.42578125" style="115" customWidth="1"/>
    <col min="12297" max="12544" width="9.42578125" style="115"/>
    <col min="12545" max="12545" width="11.5703125" style="115" customWidth="1"/>
    <col min="12546" max="12546" width="10.5703125" style="115" customWidth="1"/>
    <col min="12547" max="12547" width="10.5703125" style="115" bestFit="1" customWidth="1"/>
    <col min="12548" max="12548" width="3.42578125" style="115" customWidth="1"/>
    <col min="12549" max="12549" width="11.5703125" style="115" bestFit="1" customWidth="1"/>
    <col min="12550" max="12550" width="3.42578125" style="115" customWidth="1"/>
    <col min="12551" max="12551" width="10.42578125" style="115" bestFit="1" customWidth="1"/>
    <col min="12552" max="12552" width="3.42578125" style="115" customWidth="1"/>
    <col min="12553" max="12800" width="9.42578125" style="115"/>
    <col min="12801" max="12801" width="11.5703125" style="115" customWidth="1"/>
    <col min="12802" max="12802" width="10.5703125" style="115" customWidth="1"/>
    <col min="12803" max="12803" width="10.5703125" style="115" bestFit="1" customWidth="1"/>
    <col min="12804" max="12804" width="3.42578125" style="115" customWidth="1"/>
    <col min="12805" max="12805" width="11.5703125" style="115" bestFit="1" customWidth="1"/>
    <col min="12806" max="12806" width="3.42578125" style="115" customWidth="1"/>
    <col min="12807" max="12807" width="10.42578125" style="115" bestFit="1" customWidth="1"/>
    <col min="12808" max="12808" width="3.42578125" style="115" customWidth="1"/>
    <col min="12809" max="13056" width="9.42578125" style="115"/>
    <col min="13057" max="13057" width="11.5703125" style="115" customWidth="1"/>
    <col min="13058" max="13058" width="10.5703125" style="115" customWidth="1"/>
    <col min="13059" max="13059" width="10.5703125" style="115" bestFit="1" customWidth="1"/>
    <col min="13060" max="13060" width="3.42578125" style="115" customWidth="1"/>
    <col min="13061" max="13061" width="11.5703125" style="115" bestFit="1" customWidth="1"/>
    <col min="13062" max="13062" width="3.42578125" style="115" customWidth="1"/>
    <col min="13063" max="13063" width="10.42578125" style="115" bestFit="1" customWidth="1"/>
    <col min="13064" max="13064" width="3.42578125" style="115" customWidth="1"/>
    <col min="13065" max="13312" width="9.42578125" style="115"/>
    <col min="13313" max="13313" width="11.5703125" style="115" customWidth="1"/>
    <col min="13314" max="13314" width="10.5703125" style="115" customWidth="1"/>
    <col min="13315" max="13315" width="10.5703125" style="115" bestFit="1" customWidth="1"/>
    <col min="13316" max="13316" width="3.42578125" style="115" customWidth="1"/>
    <col min="13317" max="13317" width="11.5703125" style="115" bestFit="1" customWidth="1"/>
    <col min="13318" max="13318" width="3.42578125" style="115" customWidth="1"/>
    <col min="13319" max="13319" width="10.42578125" style="115" bestFit="1" customWidth="1"/>
    <col min="13320" max="13320" width="3.42578125" style="115" customWidth="1"/>
    <col min="13321" max="13568" width="9.42578125" style="115"/>
    <col min="13569" max="13569" width="11.5703125" style="115" customWidth="1"/>
    <col min="13570" max="13570" width="10.5703125" style="115" customWidth="1"/>
    <col min="13571" max="13571" width="10.5703125" style="115" bestFit="1" customWidth="1"/>
    <col min="13572" max="13572" width="3.42578125" style="115" customWidth="1"/>
    <col min="13573" max="13573" width="11.5703125" style="115" bestFit="1" customWidth="1"/>
    <col min="13574" max="13574" width="3.42578125" style="115" customWidth="1"/>
    <col min="13575" max="13575" width="10.42578125" style="115" bestFit="1" customWidth="1"/>
    <col min="13576" max="13576" width="3.42578125" style="115" customWidth="1"/>
    <col min="13577" max="13824" width="9.42578125" style="115"/>
    <col min="13825" max="13825" width="11.5703125" style="115" customWidth="1"/>
    <col min="13826" max="13826" width="10.5703125" style="115" customWidth="1"/>
    <col min="13827" max="13827" width="10.5703125" style="115" bestFit="1" customWidth="1"/>
    <col min="13828" max="13828" width="3.42578125" style="115" customWidth="1"/>
    <col min="13829" max="13829" width="11.5703125" style="115" bestFit="1" customWidth="1"/>
    <col min="13830" max="13830" width="3.42578125" style="115" customWidth="1"/>
    <col min="13831" max="13831" width="10.42578125" style="115" bestFit="1" customWidth="1"/>
    <col min="13832" max="13832" width="3.42578125" style="115" customWidth="1"/>
    <col min="13833" max="14080" width="9.42578125" style="115"/>
    <col min="14081" max="14081" width="11.5703125" style="115" customWidth="1"/>
    <col min="14082" max="14082" width="10.5703125" style="115" customWidth="1"/>
    <col min="14083" max="14083" width="10.5703125" style="115" bestFit="1" customWidth="1"/>
    <col min="14084" max="14084" width="3.42578125" style="115" customWidth="1"/>
    <col min="14085" max="14085" width="11.5703125" style="115" bestFit="1" customWidth="1"/>
    <col min="14086" max="14086" width="3.42578125" style="115" customWidth="1"/>
    <col min="14087" max="14087" width="10.42578125" style="115" bestFit="1" customWidth="1"/>
    <col min="14088" max="14088" width="3.42578125" style="115" customWidth="1"/>
    <col min="14089" max="14336" width="9.42578125" style="115"/>
    <col min="14337" max="14337" width="11.5703125" style="115" customWidth="1"/>
    <col min="14338" max="14338" width="10.5703125" style="115" customWidth="1"/>
    <col min="14339" max="14339" width="10.5703125" style="115" bestFit="1" customWidth="1"/>
    <col min="14340" max="14340" width="3.42578125" style="115" customWidth="1"/>
    <col min="14341" max="14341" width="11.5703125" style="115" bestFit="1" customWidth="1"/>
    <col min="14342" max="14342" width="3.42578125" style="115" customWidth="1"/>
    <col min="14343" max="14343" width="10.42578125" style="115" bestFit="1" customWidth="1"/>
    <col min="14344" max="14344" width="3.42578125" style="115" customWidth="1"/>
    <col min="14345" max="14592" width="9.42578125" style="115"/>
    <col min="14593" max="14593" width="11.5703125" style="115" customWidth="1"/>
    <col min="14594" max="14594" width="10.5703125" style="115" customWidth="1"/>
    <col min="14595" max="14595" width="10.5703125" style="115" bestFit="1" customWidth="1"/>
    <col min="14596" max="14596" width="3.42578125" style="115" customWidth="1"/>
    <col min="14597" max="14597" width="11.5703125" style="115" bestFit="1" customWidth="1"/>
    <col min="14598" max="14598" width="3.42578125" style="115" customWidth="1"/>
    <col min="14599" max="14599" width="10.42578125" style="115" bestFit="1" customWidth="1"/>
    <col min="14600" max="14600" width="3.42578125" style="115" customWidth="1"/>
    <col min="14601" max="14848" width="9.42578125" style="115"/>
    <col min="14849" max="14849" width="11.5703125" style="115" customWidth="1"/>
    <col min="14850" max="14850" width="10.5703125" style="115" customWidth="1"/>
    <col min="14851" max="14851" width="10.5703125" style="115" bestFit="1" customWidth="1"/>
    <col min="14852" max="14852" width="3.42578125" style="115" customWidth="1"/>
    <col min="14853" max="14853" width="11.5703125" style="115" bestFit="1" customWidth="1"/>
    <col min="14854" max="14854" width="3.42578125" style="115" customWidth="1"/>
    <col min="14855" max="14855" width="10.42578125" style="115" bestFit="1" customWidth="1"/>
    <col min="14856" max="14856" width="3.42578125" style="115" customWidth="1"/>
    <col min="14857" max="15104" width="9.42578125" style="115"/>
    <col min="15105" max="15105" width="11.5703125" style="115" customWidth="1"/>
    <col min="15106" max="15106" width="10.5703125" style="115" customWidth="1"/>
    <col min="15107" max="15107" width="10.5703125" style="115" bestFit="1" customWidth="1"/>
    <col min="15108" max="15108" width="3.42578125" style="115" customWidth="1"/>
    <col min="15109" max="15109" width="11.5703125" style="115" bestFit="1" customWidth="1"/>
    <col min="15110" max="15110" width="3.42578125" style="115" customWidth="1"/>
    <col min="15111" max="15111" width="10.42578125" style="115" bestFit="1" customWidth="1"/>
    <col min="15112" max="15112" width="3.42578125" style="115" customWidth="1"/>
    <col min="15113" max="15360" width="9.42578125" style="115"/>
    <col min="15361" max="15361" width="11.5703125" style="115" customWidth="1"/>
    <col min="15362" max="15362" width="10.5703125" style="115" customWidth="1"/>
    <col min="15363" max="15363" width="10.5703125" style="115" bestFit="1" customWidth="1"/>
    <col min="15364" max="15364" width="3.42578125" style="115" customWidth="1"/>
    <col min="15365" max="15365" width="11.5703125" style="115" bestFit="1" customWidth="1"/>
    <col min="15366" max="15366" width="3.42578125" style="115" customWidth="1"/>
    <col min="15367" max="15367" width="10.42578125" style="115" bestFit="1" customWidth="1"/>
    <col min="15368" max="15368" width="3.42578125" style="115" customWidth="1"/>
    <col min="15369" max="15616" width="9.42578125" style="115"/>
    <col min="15617" max="15617" width="11.5703125" style="115" customWidth="1"/>
    <col min="15618" max="15618" width="10.5703125" style="115" customWidth="1"/>
    <col min="15619" max="15619" width="10.5703125" style="115" bestFit="1" customWidth="1"/>
    <col min="15620" max="15620" width="3.42578125" style="115" customWidth="1"/>
    <col min="15621" max="15621" width="11.5703125" style="115" bestFit="1" customWidth="1"/>
    <col min="15622" max="15622" width="3.42578125" style="115" customWidth="1"/>
    <col min="15623" max="15623" width="10.42578125" style="115" bestFit="1" customWidth="1"/>
    <col min="15624" max="15624" width="3.42578125" style="115" customWidth="1"/>
    <col min="15625" max="15872" width="9.42578125" style="115"/>
    <col min="15873" max="15873" width="11.5703125" style="115" customWidth="1"/>
    <col min="15874" max="15874" width="10.5703125" style="115" customWidth="1"/>
    <col min="15875" max="15875" width="10.5703125" style="115" bestFit="1" customWidth="1"/>
    <col min="15876" max="15876" width="3.42578125" style="115" customWidth="1"/>
    <col min="15877" max="15877" width="11.5703125" style="115" bestFit="1" customWidth="1"/>
    <col min="15878" max="15878" width="3.42578125" style="115" customWidth="1"/>
    <col min="15879" max="15879" width="10.42578125" style="115" bestFit="1" customWidth="1"/>
    <col min="15880" max="15880" width="3.42578125" style="115" customWidth="1"/>
    <col min="15881" max="16128" width="9.42578125" style="115"/>
    <col min="16129" max="16129" width="11.5703125" style="115" customWidth="1"/>
    <col min="16130" max="16130" width="10.5703125" style="115" customWidth="1"/>
    <col min="16131" max="16131" width="10.5703125" style="115" bestFit="1" customWidth="1"/>
    <col min="16132" max="16132" width="3.42578125" style="115" customWidth="1"/>
    <col min="16133" max="16133" width="11.5703125" style="115" bestFit="1" customWidth="1"/>
    <col min="16134" max="16134" width="3.42578125" style="115" customWidth="1"/>
    <col min="16135" max="16135" width="10.42578125" style="115" bestFit="1" customWidth="1"/>
    <col min="16136" max="16136" width="3.42578125" style="115" customWidth="1"/>
    <col min="16137" max="16384" width="9.42578125" style="115"/>
  </cols>
  <sheetData>
    <row r="2" spans="1:11" ht="15.75">
      <c r="E2" s="116" t="s">
        <v>227</v>
      </c>
    </row>
    <row r="5" spans="1:11">
      <c r="A5" s="117" t="s">
        <v>180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</row>
    <row r="6" spans="1:11">
      <c r="A6" s="119">
        <v>1</v>
      </c>
      <c r="B6" s="118" t="s">
        <v>221</v>
      </c>
      <c r="C6" s="118"/>
      <c r="D6" s="118"/>
      <c r="E6" s="118"/>
      <c r="F6" s="118"/>
      <c r="G6" s="118"/>
      <c r="H6" s="118"/>
      <c r="I6" s="118"/>
      <c r="J6" s="118"/>
      <c r="K6" s="118"/>
    </row>
    <row r="7" spans="1:11">
      <c r="A7" s="119">
        <v>2</v>
      </c>
      <c r="B7" s="118" t="s">
        <v>182</v>
      </c>
      <c r="C7" s="118"/>
      <c r="D7" s="118"/>
      <c r="E7" s="118"/>
      <c r="F7" s="118"/>
      <c r="G7" s="118"/>
      <c r="H7" s="118"/>
      <c r="I7" s="118"/>
      <c r="J7" s="118"/>
      <c r="K7" s="118"/>
    </row>
    <row r="8" spans="1:11">
      <c r="A8" s="118"/>
      <c r="B8" s="118" t="s">
        <v>183</v>
      </c>
      <c r="C8" s="118"/>
      <c r="D8" s="118"/>
      <c r="E8" s="118"/>
      <c r="F8" s="118"/>
      <c r="G8" s="118"/>
      <c r="H8" s="118"/>
      <c r="I8" s="118"/>
      <c r="J8" s="118"/>
      <c r="K8" s="118"/>
    </row>
    <row r="9" spans="1:11">
      <c r="A9" s="118"/>
      <c r="B9" s="118"/>
      <c r="C9" s="118"/>
      <c r="D9" s="118"/>
      <c r="E9" s="118"/>
      <c r="F9" s="118"/>
      <c r="G9" s="118"/>
      <c r="H9" s="118"/>
      <c r="I9" s="118"/>
      <c r="J9" s="118"/>
      <c r="K9" s="118"/>
    </row>
    <row r="10" spans="1:11">
      <c r="A10" s="118"/>
      <c r="B10" s="118"/>
      <c r="C10" s="119"/>
      <c r="D10" s="119"/>
      <c r="E10" s="120" t="s">
        <v>184</v>
      </c>
      <c r="F10" s="119"/>
      <c r="G10" s="120" t="s">
        <v>185</v>
      </c>
      <c r="H10" s="119"/>
      <c r="I10" s="120" t="s">
        <v>186</v>
      </c>
      <c r="J10" s="118"/>
      <c r="K10" s="118"/>
    </row>
    <row r="11" spans="1:11">
      <c r="A11" s="118"/>
      <c r="B11" s="118"/>
      <c r="C11" s="120" t="s">
        <v>187</v>
      </c>
      <c r="D11" s="119"/>
      <c r="E11" s="120" t="s">
        <v>188</v>
      </c>
      <c r="F11" s="119"/>
      <c r="G11" s="120" t="s">
        <v>189</v>
      </c>
      <c r="H11" s="119"/>
      <c r="I11" s="120" t="s">
        <v>190</v>
      </c>
      <c r="J11" s="118"/>
      <c r="K11" s="118"/>
    </row>
    <row r="12" spans="1:11">
      <c r="A12" s="118"/>
      <c r="B12" s="118"/>
      <c r="C12" s="902" t="s">
        <v>191</v>
      </c>
      <c r="D12" s="902"/>
      <c r="E12" s="902"/>
      <c r="F12" s="902"/>
      <c r="G12" s="902"/>
      <c r="H12" s="902"/>
      <c r="I12" s="902"/>
      <c r="J12" s="118"/>
      <c r="K12" s="118"/>
    </row>
    <row r="13" spans="1:11">
      <c r="A13" s="118"/>
      <c r="B13" s="121" t="s">
        <v>228</v>
      </c>
      <c r="C13" s="122" t="e">
        <f>E22</f>
        <v>#REF!</v>
      </c>
      <c r="D13" s="118"/>
      <c r="E13" s="123">
        <v>0</v>
      </c>
      <c r="F13" s="118"/>
      <c r="G13" s="123" t="e">
        <f>C13*1/3</f>
        <v>#REF!</v>
      </c>
      <c r="H13" s="118"/>
      <c r="I13" s="122" t="e">
        <f>C13-E13-G13</f>
        <v>#REF!</v>
      </c>
      <c r="J13" s="118" t="s">
        <v>192</v>
      </c>
      <c r="K13" s="118" t="s">
        <v>222</v>
      </c>
    </row>
    <row r="14" spans="1:11">
      <c r="A14" s="118"/>
      <c r="B14" s="118"/>
      <c r="C14" s="124" t="e">
        <f>SUM(C13:C13)</f>
        <v>#REF!</v>
      </c>
      <c r="D14" s="118"/>
      <c r="E14" s="124">
        <f>SUM(E13:E13)</f>
        <v>0</v>
      </c>
      <c r="F14" s="118"/>
      <c r="G14" s="124" t="e">
        <f>SUM(G13:G13)</f>
        <v>#REF!</v>
      </c>
      <c r="H14" s="118"/>
      <c r="I14" s="124" t="e">
        <f>SUM(I13:I13)</f>
        <v>#REF!</v>
      </c>
      <c r="J14" s="118"/>
      <c r="K14" s="118"/>
    </row>
    <row r="15" spans="1:11">
      <c r="A15" s="118"/>
      <c r="B15" s="118"/>
      <c r="C15" s="118"/>
      <c r="D15" s="118"/>
      <c r="E15" s="118"/>
      <c r="F15" s="118"/>
      <c r="G15" s="118"/>
      <c r="H15" s="118"/>
      <c r="I15" s="118"/>
      <c r="J15" s="118"/>
    </row>
    <row r="16" spans="1:11">
      <c r="A16" s="118"/>
      <c r="B16" s="118"/>
      <c r="C16" s="118"/>
      <c r="D16" s="118"/>
      <c r="E16" s="118"/>
      <c r="F16" s="118"/>
      <c r="G16" s="118"/>
      <c r="H16" s="118"/>
      <c r="I16" s="118"/>
      <c r="J16" s="118"/>
    </row>
    <row r="17" spans="1:11">
      <c r="A17" s="118"/>
      <c r="C17" s="118"/>
      <c r="D17" s="118"/>
      <c r="E17" s="129" t="s">
        <v>228</v>
      </c>
      <c r="F17" s="118"/>
      <c r="G17" s="118"/>
      <c r="H17" s="118"/>
      <c r="I17" s="118"/>
      <c r="J17" s="118"/>
      <c r="K17" s="118"/>
    </row>
    <row r="18" spans="1:11">
      <c r="A18" s="118"/>
      <c r="C18" s="118"/>
      <c r="D18" s="118"/>
      <c r="E18" s="118"/>
      <c r="F18" s="118"/>
      <c r="G18" s="118"/>
      <c r="H18" s="118"/>
      <c r="I18" s="118"/>
      <c r="J18" s="118"/>
      <c r="K18" s="118"/>
    </row>
    <row r="19" spans="1:11">
      <c r="A19" s="118" t="s">
        <v>223</v>
      </c>
      <c r="C19" s="118"/>
      <c r="D19" s="118"/>
      <c r="E19" s="122" t="e">
        <f>'P&amp;L'!#REF!</f>
        <v>#REF!</v>
      </c>
      <c r="F19" s="118"/>
      <c r="G19" s="118"/>
      <c r="H19" s="118"/>
      <c r="I19" s="118"/>
      <c r="J19" s="118"/>
      <c r="K19" s="118"/>
    </row>
    <row r="20" spans="1:11">
      <c r="A20" s="118" t="s">
        <v>224</v>
      </c>
      <c r="C20" s="118"/>
      <c r="E20" s="125">
        <v>0</v>
      </c>
    </row>
    <row r="21" spans="1:11">
      <c r="A21" s="118" t="s">
        <v>225</v>
      </c>
      <c r="C21" s="118"/>
      <c r="E21" s="126">
        <f>-'דוח התאמה'!H15</f>
        <v>0</v>
      </c>
    </row>
    <row r="22" spans="1:11" s="127" customFormat="1">
      <c r="A22" s="118" t="s">
        <v>226</v>
      </c>
      <c r="C22" s="118"/>
      <c r="E22" s="128" t="e">
        <f>SUM(E19:E21)</f>
        <v>#REF!</v>
      </c>
    </row>
    <row r="23" spans="1:11">
      <c r="C23" s="118"/>
    </row>
    <row r="24" spans="1:11">
      <c r="C24" s="118"/>
    </row>
    <row r="25" spans="1:11">
      <c r="C25" s="118"/>
    </row>
  </sheetData>
  <mergeCells count="1">
    <mergeCell ref="C12:I12"/>
  </mergeCell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I9"/>
  <sheetViews>
    <sheetView rightToLeft="1" workbookViewId="0"/>
  </sheetViews>
  <sheetFormatPr defaultRowHeight="12.75"/>
  <cols>
    <col min="5" max="5" width="11.5703125" bestFit="1" customWidth="1"/>
  </cols>
  <sheetData>
    <row r="2" spans="1:9">
      <c r="C2" s="55" t="s">
        <v>156</v>
      </c>
    </row>
    <row r="4" spans="1:9">
      <c r="A4" s="60" t="s">
        <v>148</v>
      </c>
      <c r="E4" s="60" t="s">
        <v>157</v>
      </c>
      <c r="F4" s="60" t="s">
        <v>158</v>
      </c>
      <c r="G4" s="60"/>
      <c r="H4" s="60" t="s">
        <v>149</v>
      </c>
      <c r="I4" s="60"/>
    </row>
    <row r="6" spans="1:9">
      <c r="A6" t="s">
        <v>146</v>
      </c>
      <c r="E6" s="40">
        <f>100000*145/365*0.04</f>
        <v>1589.041095890411</v>
      </c>
      <c r="F6" s="40">
        <f>E6*1.16</f>
        <v>1843.2876712328766</v>
      </c>
      <c r="H6" s="40">
        <f>E6*0.25</f>
        <v>397.26027397260276</v>
      </c>
    </row>
    <row r="7" spans="1:9">
      <c r="A7" t="s">
        <v>147</v>
      </c>
      <c r="E7" s="40">
        <f>50000*181/365*0.04+50000*54/365*0.04</f>
        <v>1287.6712328767123</v>
      </c>
      <c r="F7" s="40">
        <f>E7*1.16</f>
        <v>1493.6986301369861</v>
      </c>
      <c r="H7" s="40">
        <f>E7*0.25</f>
        <v>321.91780821917808</v>
      </c>
    </row>
    <row r="8" spans="1:9">
      <c r="A8" t="s">
        <v>150</v>
      </c>
      <c r="E8" s="61">
        <f>20000*118/365*0.04</f>
        <v>258.63013698630135</v>
      </c>
      <c r="F8" s="61">
        <f>E8*1.16</f>
        <v>300.01095890410954</v>
      </c>
      <c r="H8" s="61">
        <f>E8*0.25</f>
        <v>64.657534246575338</v>
      </c>
    </row>
    <row r="9" spans="1:9">
      <c r="E9" s="40">
        <f>SUM(E6:E8)</f>
        <v>3135.3424657534247</v>
      </c>
      <c r="F9" s="40">
        <f>SUM(F6:F8)</f>
        <v>3636.9972602739722</v>
      </c>
      <c r="H9" s="40">
        <f>SUM(H6:H8)</f>
        <v>783.83561643835617</v>
      </c>
    </row>
  </sheetData>
  <phoneticPr fontId="49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S42"/>
  <sheetViews>
    <sheetView rightToLeft="1" topLeftCell="A7" zoomScale="70" zoomScaleNormal="70" workbookViewId="0">
      <selection activeCell="B22" sqref="B22"/>
    </sheetView>
  </sheetViews>
  <sheetFormatPr defaultColWidth="47.5703125" defaultRowHeight="15.75"/>
  <cols>
    <col min="1" max="1" width="47.5703125" style="63" customWidth="1"/>
    <col min="2" max="2" width="12.5703125" style="63" bestFit="1" customWidth="1"/>
    <col min="3" max="3" width="13.42578125" style="63" bestFit="1" customWidth="1"/>
    <col min="4" max="4" width="13.42578125" style="63" customWidth="1"/>
    <col min="5" max="6" width="9.42578125" style="63" customWidth="1"/>
    <col min="7" max="7" width="12.5703125" style="63" customWidth="1"/>
    <col min="8" max="8" width="10.42578125" style="63" customWidth="1"/>
    <col min="9" max="10" width="9.42578125" style="63" customWidth="1"/>
    <col min="11" max="11" width="9.42578125" style="63" bestFit="1" customWidth="1"/>
    <col min="12" max="252" width="9.42578125" style="63" customWidth="1"/>
    <col min="253" max="253" width="47.5703125" style="63" customWidth="1"/>
  </cols>
  <sheetData>
    <row r="1" spans="1:11" ht="18.75">
      <c r="A1" s="903" t="s">
        <v>175</v>
      </c>
      <c r="B1" s="903"/>
      <c r="C1" s="903"/>
      <c r="D1" s="903"/>
    </row>
    <row r="3" spans="1:11">
      <c r="A3" s="904" t="s">
        <v>176</v>
      </c>
      <c r="B3" s="904"/>
      <c r="C3" s="904"/>
      <c r="D3" s="904"/>
    </row>
    <row r="5" spans="1:11">
      <c r="A5" s="905" t="s">
        <v>203</v>
      </c>
      <c r="B5" s="905"/>
      <c r="C5" s="905"/>
      <c r="D5" s="905"/>
    </row>
    <row r="7" spans="1:11">
      <c r="B7" s="65" t="s">
        <v>115</v>
      </c>
      <c r="C7" s="65" t="s">
        <v>115</v>
      </c>
      <c r="D7" s="65"/>
    </row>
    <row r="8" spans="1:11">
      <c r="B8" s="65"/>
      <c r="G8" s="906" t="s">
        <v>161</v>
      </c>
      <c r="H8" s="906"/>
      <c r="I8" s="906"/>
      <c r="J8" s="906"/>
      <c r="K8" s="906"/>
    </row>
    <row r="9" spans="1:11">
      <c r="A9" s="63" t="s">
        <v>162</v>
      </c>
      <c r="B9" s="66"/>
      <c r="C9" s="67" t="e">
        <f>'P&amp;L'!#REF!</f>
        <v>#REF!</v>
      </c>
      <c r="D9" s="67"/>
    </row>
    <row r="10" spans="1:11" ht="18.75">
      <c r="B10" s="67"/>
      <c r="C10" s="68"/>
      <c r="D10" s="68"/>
      <c r="G10" s="64"/>
      <c r="J10" s="64"/>
    </row>
    <row r="11" spans="1:11">
      <c r="A11" s="69" t="s">
        <v>163</v>
      </c>
      <c r="B11" s="66"/>
      <c r="C11" s="67"/>
      <c r="D11" s="67"/>
      <c r="G11" s="70" t="s">
        <v>141</v>
      </c>
      <c r="H11" s="70"/>
    </row>
    <row r="12" spans="1:11">
      <c r="A12" s="63" t="s">
        <v>164</v>
      </c>
      <c r="B12" s="67">
        <v>29411</v>
      </c>
      <c r="C12" s="67"/>
      <c r="D12" s="67"/>
      <c r="G12" s="63" t="s">
        <v>165</v>
      </c>
      <c r="H12" s="71">
        <v>101867</v>
      </c>
    </row>
    <row r="13" spans="1:11">
      <c r="A13" s="63" t="s">
        <v>166</v>
      </c>
      <c r="B13" s="67">
        <f>H14</f>
        <v>-101867</v>
      </c>
      <c r="C13" s="67"/>
      <c r="D13" s="67"/>
      <c r="G13" s="63" t="s">
        <v>167</v>
      </c>
      <c r="H13" s="72">
        <f>SUMIF('SAP DRAFT'!B:B,5500,'SAP DRAFT'!J:J)</f>
        <v>0</v>
      </c>
      <c r="J13" s="63" t="s">
        <v>177</v>
      </c>
      <c r="K13" s="63">
        <v>5500</v>
      </c>
    </row>
    <row r="14" spans="1:11" ht="16.5" thickBot="1">
      <c r="A14" s="63" t="s">
        <v>178</v>
      </c>
      <c r="B14" s="76"/>
      <c r="D14" s="67"/>
      <c r="E14" s="63">
        <v>9010</v>
      </c>
      <c r="G14" s="63" t="s">
        <v>168</v>
      </c>
      <c r="H14" s="73">
        <f>H13-H12</f>
        <v>-101867</v>
      </c>
    </row>
    <row r="15" spans="1:11" ht="16.5" thickTop="1">
      <c r="A15" s="63" t="s">
        <v>169</v>
      </c>
      <c r="B15" s="76" t="e">
        <f>AE!#REF!</f>
        <v>#REF!</v>
      </c>
      <c r="C15" s="67"/>
      <c r="D15" s="67"/>
      <c r="H15" s="75"/>
    </row>
    <row r="16" spans="1:11" ht="18">
      <c r="A16" s="63" t="s">
        <v>204</v>
      </c>
      <c r="B16" s="74"/>
      <c r="C16" s="67"/>
      <c r="D16" s="67"/>
      <c r="H16" s="75"/>
    </row>
    <row r="17" spans="1:8" ht="18">
      <c r="A17" s="63" t="s">
        <v>195</v>
      </c>
      <c r="B17" s="74">
        <f>'הוצאות מו"פ'!I13</f>
        <v>834142.66666666663</v>
      </c>
      <c r="C17" s="67"/>
      <c r="D17" s="67"/>
      <c r="H17" s="75"/>
    </row>
    <row r="18" spans="1:8">
      <c r="B18" s="70"/>
      <c r="C18" s="76" t="e">
        <f>SUM(B12:B17)</f>
        <v>#REF!</v>
      </c>
      <c r="D18" s="76"/>
    </row>
    <row r="19" spans="1:8">
      <c r="B19" s="70"/>
      <c r="C19" s="76"/>
      <c r="D19" s="76"/>
    </row>
    <row r="20" spans="1:8">
      <c r="A20" s="69" t="s">
        <v>196</v>
      </c>
      <c r="B20" s="70"/>
      <c r="C20" s="76"/>
      <c r="D20" s="76"/>
    </row>
    <row r="21" spans="1:8">
      <c r="A21" s="63" t="s">
        <v>197</v>
      </c>
      <c r="B21" s="70"/>
      <c r="C21" s="76"/>
      <c r="D21" s="76"/>
    </row>
    <row r="22" spans="1:8" ht="18">
      <c r="A22" s="63" t="s">
        <v>198</v>
      </c>
      <c r="B22" s="74">
        <f>-'הוצאות מו"פ'!G13</f>
        <v>-834142.33333333337</v>
      </c>
      <c r="C22" s="76"/>
      <c r="D22" s="76"/>
    </row>
    <row r="23" spans="1:8">
      <c r="B23" s="70"/>
      <c r="C23" s="76">
        <f>SUM(B22)</f>
        <v>-834142.33333333337</v>
      </c>
      <c r="D23" s="76"/>
    </row>
    <row r="24" spans="1:8" ht="18.75">
      <c r="B24" s="67"/>
      <c r="C24" s="68"/>
      <c r="D24" s="68"/>
      <c r="G24" s="64"/>
    </row>
    <row r="25" spans="1:8" ht="18">
      <c r="A25" s="63" t="s">
        <v>170</v>
      </c>
      <c r="B25" s="78"/>
      <c r="C25" s="76">
        <v>-2169624</v>
      </c>
      <c r="D25" s="76"/>
    </row>
    <row r="26" spans="1:8">
      <c r="B26" s="77"/>
      <c r="C26" s="76"/>
      <c r="D26" s="76"/>
    </row>
    <row r="27" spans="1:8">
      <c r="A27" s="69" t="s">
        <v>171</v>
      </c>
      <c r="B27" s="76"/>
      <c r="C27" s="79" t="e">
        <f>C9+C18+C23+C25</f>
        <v>#REF!</v>
      </c>
      <c r="D27" s="79"/>
    </row>
    <row r="28" spans="1:8">
      <c r="B28" s="67"/>
    </row>
    <row r="29" spans="1:8">
      <c r="A29" s="69"/>
      <c r="B29" s="67"/>
      <c r="C29" s="80"/>
    </row>
    <row r="30" spans="1:8">
      <c r="A30" s="69" t="s">
        <v>179</v>
      </c>
      <c r="C30" s="81" t="e">
        <f>SUM(C27:C28)</f>
        <v>#REF!</v>
      </c>
      <c r="D30" s="81"/>
    </row>
    <row r="31" spans="1:8" ht="18.75">
      <c r="B31" s="67"/>
      <c r="C31" s="82" t="s">
        <v>172</v>
      </c>
      <c r="D31" s="82"/>
    </row>
    <row r="32" spans="1:8" ht="18.75">
      <c r="B32" s="67"/>
      <c r="C32" s="82"/>
      <c r="D32" s="82"/>
    </row>
    <row r="33" spans="1:4" ht="18.75">
      <c r="B33" s="67"/>
      <c r="C33" s="82"/>
      <c r="D33" s="82"/>
    </row>
    <row r="34" spans="1:4">
      <c r="A34" s="63" t="s">
        <v>205</v>
      </c>
    </row>
    <row r="36" spans="1:4">
      <c r="A36" s="83" t="s">
        <v>173</v>
      </c>
    </row>
    <row r="37" spans="1:4">
      <c r="A37" s="64" t="s">
        <v>174</v>
      </c>
    </row>
    <row r="38" spans="1:4">
      <c r="A38" s="83"/>
    </row>
    <row r="40" spans="1:4">
      <c r="A40" s="84"/>
      <c r="B40" s="71"/>
      <c r="C40" s="84"/>
      <c r="D40" s="84"/>
    </row>
    <row r="42" spans="1:4">
      <c r="B42" s="85"/>
    </row>
  </sheetData>
  <mergeCells count="4">
    <mergeCell ref="A1:D1"/>
    <mergeCell ref="A3:D3"/>
    <mergeCell ref="A5:D5"/>
    <mergeCell ref="G8:K8"/>
  </mergeCells>
  <phoneticPr fontId="49" type="noConversion"/>
  <pageMargins left="0.7" right="0.7" top="0.75" bottom="0.75" header="0.3" footer="0.3"/>
  <pageSetup paperSize="9" orientation="portrait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K35"/>
  <sheetViews>
    <sheetView rightToLeft="1" topLeftCell="A4" workbookViewId="0">
      <selection activeCell="T44" sqref="T44"/>
    </sheetView>
  </sheetViews>
  <sheetFormatPr defaultRowHeight="12.75"/>
  <cols>
    <col min="3" max="3" width="10.5703125" bestFit="1" customWidth="1"/>
    <col min="4" max="4" width="3.42578125" customWidth="1"/>
    <col min="5" max="5" width="11.5703125" bestFit="1" customWidth="1"/>
    <col min="6" max="6" width="3.42578125" customWidth="1"/>
    <col min="7" max="7" width="10.42578125" bestFit="1" customWidth="1"/>
    <col min="8" max="8" width="3.42578125" customWidth="1"/>
  </cols>
  <sheetData>
    <row r="2" spans="1:11" ht="15.75">
      <c r="E2" s="86" t="s">
        <v>194</v>
      </c>
    </row>
    <row r="5" spans="1:11">
      <c r="A5" s="87" t="s">
        <v>180</v>
      </c>
      <c r="B5" s="88"/>
      <c r="C5" s="88"/>
      <c r="D5" s="88"/>
      <c r="E5" s="88"/>
      <c r="F5" s="88"/>
      <c r="G5" s="88"/>
      <c r="H5" s="88"/>
      <c r="I5" s="88"/>
      <c r="J5" s="88"/>
      <c r="K5" s="88"/>
    </row>
    <row r="6" spans="1:11">
      <c r="A6" s="89">
        <v>1</v>
      </c>
      <c r="B6" s="88" t="s">
        <v>181</v>
      </c>
      <c r="C6" s="88"/>
      <c r="D6" s="88"/>
      <c r="E6" s="88"/>
      <c r="F6" s="88"/>
      <c r="G6" s="88"/>
      <c r="H6" s="88"/>
      <c r="I6" s="88"/>
      <c r="J6" s="88"/>
      <c r="K6" s="88"/>
    </row>
    <row r="7" spans="1:11">
      <c r="A7" s="89">
        <v>2</v>
      </c>
      <c r="B7" s="88" t="s">
        <v>182</v>
      </c>
      <c r="C7" s="88"/>
      <c r="D7" s="88"/>
      <c r="E7" s="88"/>
      <c r="F7" s="88"/>
      <c r="G7" s="88"/>
      <c r="H7" s="88"/>
      <c r="I7" s="88"/>
      <c r="J7" s="88"/>
      <c r="K7" s="88"/>
    </row>
    <row r="8" spans="1:11">
      <c r="A8" s="88"/>
      <c r="B8" s="88" t="s">
        <v>183</v>
      </c>
      <c r="C8" s="88"/>
      <c r="D8" s="88"/>
      <c r="E8" s="88"/>
      <c r="F8" s="88"/>
      <c r="G8" s="88"/>
      <c r="H8" s="88"/>
      <c r="I8" s="88"/>
      <c r="J8" s="88"/>
      <c r="K8" s="88"/>
    </row>
    <row r="9" spans="1:11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</row>
    <row r="10" spans="1:11">
      <c r="A10" s="88"/>
      <c r="B10" s="88"/>
      <c r="C10" s="89"/>
      <c r="D10" s="89"/>
      <c r="E10" s="90" t="s">
        <v>184</v>
      </c>
      <c r="F10" s="89"/>
      <c r="G10" s="90" t="s">
        <v>185</v>
      </c>
      <c r="H10" s="89"/>
      <c r="I10" s="90" t="s">
        <v>186</v>
      </c>
      <c r="J10" s="88"/>
      <c r="K10" s="88"/>
    </row>
    <row r="11" spans="1:11">
      <c r="A11" s="88"/>
      <c r="B11" s="88"/>
      <c r="C11" s="90" t="s">
        <v>187</v>
      </c>
      <c r="D11" s="89"/>
      <c r="E11" s="90" t="s">
        <v>188</v>
      </c>
      <c r="F11" s="89"/>
      <c r="G11" s="90" t="s">
        <v>189</v>
      </c>
      <c r="H11" s="89"/>
      <c r="I11" s="90" t="s">
        <v>190</v>
      </c>
      <c r="J11" s="88"/>
      <c r="K11" s="88"/>
    </row>
    <row r="12" spans="1:11">
      <c r="A12" s="88"/>
      <c r="B12" s="88"/>
      <c r="C12" s="860" t="s">
        <v>191</v>
      </c>
      <c r="D12" s="860"/>
      <c r="E12" s="860"/>
      <c r="F12" s="860"/>
      <c r="G12" s="860"/>
      <c r="H12" s="860"/>
      <c r="I12" s="860"/>
      <c r="J12" s="88"/>
      <c r="K12" s="88"/>
    </row>
    <row r="13" spans="1:11">
      <c r="A13" s="88"/>
      <c r="B13" s="88">
        <v>2012</v>
      </c>
      <c r="C13" s="91">
        <v>2502427</v>
      </c>
      <c r="D13" s="88"/>
      <c r="E13" s="92">
        <v>834142</v>
      </c>
      <c r="F13" s="88"/>
      <c r="G13" s="92">
        <f>C13*1/3</f>
        <v>834142.33333333337</v>
      </c>
      <c r="H13" s="88"/>
      <c r="I13" s="91">
        <f>C13-E13-G13</f>
        <v>834142.66666666663</v>
      </c>
    </row>
    <row r="14" spans="1:11">
      <c r="A14" s="88"/>
      <c r="B14" s="88">
        <v>2013</v>
      </c>
      <c r="C14" s="91" t="e">
        <f>'P&amp;L'!#REF!</f>
        <v>#REF!</v>
      </c>
      <c r="D14" s="88"/>
      <c r="E14" s="92">
        <v>0</v>
      </c>
      <c r="F14" s="88"/>
      <c r="G14" s="92" t="e">
        <f>C14/3</f>
        <v>#REF!</v>
      </c>
      <c r="H14" s="88"/>
      <c r="I14" s="91" t="e">
        <f>C14-E14-G14</f>
        <v>#REF!</v>
      </c>
      <c r="J14" s="88" t="s">
        <v>192</v>
      </c>
      <c r="K14" s="88" t="s">
        <v>193</v>
      </c>
    </row>
    <row r="15" spans="1:11">
      <c r="A15" s="88"/>
      <c r="B15" s="88"/>
      <c r="C15" s="93">
        <f>SUM(C13:C13)</f>
        <v>2502427</v>
      </c>
      <c r="D15" s="88"/>
      <c r="E15" s="93">
        <f>SUM(E13:E13)</f>
        <v>834142</v>
      </c>
      <c r="F15" s="88"/>
      <c r="G15" s="93">
        <f>SUM(G13:G13)</f>
        <v>834142.33333333337</v>
      </c>
      <c r="H15" s="88"/>
      <c r="I15" s="93">
        <f>SUM(I13:I13)</f>
        <v>834142.66666666663</v>
      </c>
      <c r="J15" s="88"/>
      <c r="K15" s="88"/>
    </row>
    <row r="16" spans="1:11">
      <c r="A16" s="88"/>
      <c r="B16" s="88"/>
      <c r="C16" s="88"/>
      <c r="D16" s="88"/>
      <c r="E16" s="88"/>
      <c r="F16" s="88"/>
      <c r="G16" s="88"/>
      <c r="H16" s="88"/>
      <c r="I16" s="88"/>
      <c r="J16" s="88"/>
      <c r="K16" s="88"/>
    </row>
    <row r="17" spans="1:11">
      <c r="A17" s="88"/>
      <c r="B17" s="88"/>
      <c r="C17" s="88"/>
      <c r="D17" s="88"/>
      <c r="E17" s="88"/>
      <c r="F17" s="88"/>
      <c r="G17" s="88"/>
      <c r="H17" s="88"/>
      <c r="I17" s="88"/>
      <c r="J17" s="88"/>
      <c r="K17" s="88"/>
    </row>
    <row r="18" spans="1:11">
      <c r="A18" s="88"/>
      <c r="B18" t="s">
        <v>206</v>
      </c>
      <c r="F18" s="88"/>
      <c r="G18" s="88"/>
      <c r="H18" s="88"/>
      <c r="I18" s="88"/>
      <c r="J18" s="88"/>
      <c r="K18" s="88"/>
    </row>
    <row r="19" spans="1:11">
      <c r="A19" s="88"/>
      <c r="F19" s="88"/>
      <c r="G19" s="88"/>
      <c r="H19" s="88"/>
      <c r="I19" s="88"/>
      <c r="J19" s="88"/>
      <c r="K19" s="88"/>
    </row>
    <row r="20" spans="1:11">
      <c r="A20" s="88"/>
      <c r="B20" t="s">
        <v>207</v>
      </c>
      <c r="F20" s="88"/>
      <c r="G20" s="91" t="e">
        <f>'P&amp;L'!#REF!</f>
        <v>#REF!</v>
      </c>
      <c r="H20" s="88"/>
      <c r="I20" s="88"/>
      <c r="J20" s="88"/>
      <c r="K20" s="88"/>
    </row>
    <row r="21" spans="1:11">
      <c r="A21" s="88"/>
      <c r="B21" t="s">
        <v>208</v>
      </c>
      <c r="F21" s="88"/>
      <c r="G21" s="98" t="e">
        <f>-'NotesP&amp;L'!#REF!</f>
        <v>#REF!</v>
      </c>
      <c r="H21" s="88"/>
      <c r="I21" s="88"/>
      <c r="J21" s="88"/>
      <c r="K21" s="88"/>
    </row>
    <row r="22" spans="1:11">
      <c r="A22" s="88"/>
      <c r="B22" t="s">
        <v>209</v>
      </c>
      <c r="F22" s="88"/>
      <c r="G22" s="91" t="e">
        <f>SUM(G20:G21)</f>
        <v>#REF!</v>
      </c>
      <c r="H22" s="88"/>
      <c r="I22" s="88"/>
      <c r="J22" s="88"/>
      <c r="K22" s="88"/>
    </row>
    <row r="23" spans="1:11">
      <c r="A23" s="88"/>
      <c r="F23" s="88"/>
      <c r="G23" s="91"/>
      <c r="H23" s="88"/>
      <c r="I23" s="88"/>
      <c r="J23" s="88"/>
      <c r="K23" s="88"/>
    </row>
    <row r="24" spans="1:11">
      <c r="A24" s="88"/>
      <c r="B24" t="s">
        <v>210</v>
      </c>
      <c r="F24" s="88"/>
      <c r="G24" s="91"/>
      <c r="H24" s="88"/>
      <c r="I24" s="88"/>
      <c r="J24" s="88"/>
      <c r="K24" s="88"/>
    </row>
    <row r="25" spans="1:11">
      <c r="B25" s="50" t="s">
        <v>214</v>
      </c>
      <c r="G25" s="91"/>
      <c r="K25" s="88"/>
    </row>
    <row r="26" spans="1:11">
      <c r="B26" s="50" t="s">
        <v>215</v>
      </c>
      <c r="G26" s="98">
        <f>(140920+9862-69725-1855)*-1</f>
        <v>-79202</v>
      </c>
    </row>
    <row r="27" spans="1:11">
      <c r="G27" s="91">
        <f>SUM(G25:G26)</f>
        <v>-79202</v>
      </c>
    </row>
    <row r="28" spans="1:11">
      <c r="G28" s="91"/>
    </row>
    <row r="29" spans="1:11">
      <c r="B29" t="s">
        <v>211</v>
      </c>
      <c r="G29" s="91" t="e">
        <f>G22+G27</f>
        <v>#REF!</v>
      </c>
    </row>
    <row r="30" spans="1:11">
      <c r="B30" t="s">
        <v>212</v>
      </c>
      <c r="G30" s="98">
        <v>3000000</v>
      </c>
    </row>
    <row r="31" spans="1:11">
      <c r="G31" s="91" t="e">
        <f>G29-G30</f>
        <v>#REF!</v>
      </c>
    </row>
    <row r="32" spans="1:11">
      <c r="G32" s="91"/>
    </row>
    <row r="33" spans="2:7">
      <c r="B33" t="s">
        <v>213</v>
      </c>
      <c r="G33" s="91">
        <v>0</v>
      </c>
    </row>
    <row r="34" spans="2:7">
      <c r="E34" s="91"/>
    </row>
    <row r="35" spans="2:7">
      <c r="E35" s="91"/>
    </row>
  </sheetData>
  <mergeCells count="1">
    <mergeCell ref="C12:I12"/>
  </mergeCells>
  <phoneticPr fontId="4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06723a-5385-47dc-a9aa-5283738f3a92">
      <Terms xmlns="http://schemas.microsoft.com/office/infopath/2007/PartnerControls"/>
    </lcf76f155ced4ddcb4097134ff3c332f>
    <TaxCatchAll xmlns="f3551168-7625-438d-b1c6-775724c69ca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4CBC73139CE340A8A775820E65AFC9" ma:contentTypeVersion="15" ma:contentTypeDescription="Create a new document." ma:contentTypeScope="" ma:versionID="7e31f463fca3a0b8c43ea84146c5897d">
  <xsd:schema xmlns:xsd="http://www.w3.org/2001/XMLSchema" xmlns:xs="http://www.w3.org/2001/XMLSchema" xmlns:p="http://schemas.microsoft.com/office/2006/metadata/properties" xmlns:ns2="7d06723a-5385-47dc-a9aa-5283738f3a92" xmlns:ns3="f3551168-7625-438d-b1c6-775724c69cae" targetNamespace="http://schemas.microsoft.com/office/2006/metadata/properties" ma:root="true" ma:fieldsID="249032996a5e06973f636b7d6a2eb61d" ns2:_="" ns3:_="">
    <xsd:import namespace="7d06723a-5385-47dc-a9aa-5283738f3a92"/>
    <xsd:import namespace="f3551168-7625-438d-b1c6-775724c69c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06723a-5385-47dc-a9aa-5283738f3a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51168-7625-438d-b1c6-775724c69ca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d2fbabb-d07a-43f5-9864-c00c40247140}" ma:internalName="TaxCatchAll" ma:showField="CatchAllData" ma:web="f3551168-7625-438d-b1c6-775724c69c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F4C17C-BB3B-47EA-A04B-472F73A57A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E331D2-1254-4623-A9A0-ABE0B8CC7898}">
  <ds:schemaRefs>
    <ds:schemaRef ds:uri="http://schemas.microsoft.com/office/2006/metadata/properties"/>
    <ds:schemaRef ds:uri="http://schemas.microsoft.com/office/infopath/2007/PartnerControls"/>
    <ds:schemaRef ds:uri="7d06723a-5385-47dc-a9aa-5283738f3a92"/>
    <ds:schemaRef ds:uri="f3551168-7625-438d-b1c6-775724c69cae"/>
  </ds:schemaRefs>
</ds:datastoreItem>
</file>

<file path=customXml/itemProps3.xml><?xml version="1.0" encoding="utf-8"?>
<ds:datastoreItem xmlns:ds="http://schemas.openxmlformats.org/officeDocument/2006/customXml" ds:itemID="{4090EAB8-303A-4FFB-9A6A-B6ADEF8CEE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06723a-5385-47dc-a9aa-5283738f3a92"/>
    <ds:schemaRef ds:uri="f3551168-7625-438d-b1c6-775724c69c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48</vt:i4>
      </vt:variant>
      <vt:variant>
        <vt:lpstr>Named Ranges</vt:lpstr>
      </vt:variant>
      <vt:variant>
        <vt:i4>19</vt:i4>
      </vt:variant>
    </vt:vector>
  </HeadingPairs>
  <TitlesOfParts>
    <vt:vector size="67" baseType="lpstr">
      <vt:lpstr>Master Data (do not print)</vt:lpstr>
      <vt:lpstr>COVER NEW</vt:lpstr>
      <vt:lpstr>BS</vt:lpstr>
      <vt:lpstr>P&amp;L</vt:lpstr>
      <vt:lpstr>CF</vt:lpstr>
      <vt:lpstr>NotesBS</vt:lpstr>
      <vt:lpstr>NotesP&amp;L</vt:lpstr>
      <vt:lpstr>Equity</vt:lpstr>
      <vt:lpstr>SAP</vt:lpstr>
      <vt:lpstr>SAP DRAFT</vt:lpstr>
      <vt:lpstr>GMBH BS 31.12.2022</vt:lpstr>
      <vt:lpstr>GMBH P&amp;L 12.2022</vt:lpstr>
      <vt:lpstr>AE</vt:lpstr>
      <vt:lpstr>GMBH BS 31.12.2022 (2)</vt:lpstr>
      <vt:lpstr>GMBH P&amp;L 12.2022 (2)</vt:lpstr>
      <vt:lpstr>Prepaid expenses</vt:lpstr>
      <vt:lpstr>Kontennachweis zur Bilanz</vt:lpstr>
      <vt:lpstr>GMBH BS 31.08.2020</vt:lpstr>
      <vt:lpstr>GMBH P&amp;L 31.08.2020</vt:lpstr>
      <vt:lpstr>GMBH BS 31.10.2020</vt:lpstr>
      <vt:lpstr>GMBH P&amp;L 31.10.2020</vt:lpstr>
      <vt:lpstr>GMBH BS 30.06.2020</vt:lpstr>
      <vt:lpstr>GMBH P&amp;L 30.06.2020</vt:lpstr>
      <vt:lpstr>GMBH BS 31.07.2020</vt:lpstr>
      <vt:lpstr>GMBH P&amp;L 31.07.2020</vt:lpstr>
      <vt:lpstr>GMBH BS 31.03.2020</vt:lpstr>
      <vt:lpstr>GMBH P&amp;L 31.03.2020</vt:lpstr>
      <vt:lpstr>GMBH BS 31.05.2020</vt:lpstr>
      <vt:lpstr>GMBH P&amp;L 31.05.2020</vt:lpstr>
      <vt:lpstr>GMBH BS 30.04.2020</vt:lpstr>
      <vt:lpstr>GMBH P&amp;L 30.04.2020</vt:lpstr>
      <vt:lpstr>GMBH BS 29.02.2020</vt:lpstr>
      <vt:lpstr>GMBH P&amp;L 29.02.2020</vt:lpstr>
      <vt:lpstr>GMBH BS 31.12.19</vt:lpstr>
      <vt:lpstr>GMBH P&amp;L 2019</vt:lpstr>
      <vt:lpstr>GMBH BS</vt:lpstr>
      <vt:lpstr>GMBH P&amp;L</vt:lpstr>
      <vt:lpstr>Index</vt:lpstr>
      <vt:lpstr>הערות</vt:lpstr>
      <vt:lpstr>התאמת יתרות קופות 2016</vt:lpstr>
      <vt:lpstr>דוח התאמה</vt:lpstr>
      <vt:lpstr>מו"פ - נספח</vt:lpstr>
      <vt:lpstr>סיעף 32 (9)</vt:lpstr>
      <vt:lpstr>1235</vt:lpstr>
      <vt:lpstr>הוצאות מו"פ </vt:lpstr>
      <vt:lpstr>נייר עזר חשבוניות עצמיות</vt:lpstr>
      <vt:lpstr>דוח התאמה למס</vt:lpstr>
      <vt:lpstr>הוצאות מו"פ</vt:lpstr>
      <vt:lpstr>Companyname</vt:lpstr>
      <vt:lpstr>CompareDATE</vt:lpstr>
      <vt:lpstr>DATE</vt:lpstr>
      <vt:lpstr>'1235'!Print_Area</vt:lpstr>
      <vt:lpstr>AE!Print_Area</vt:lpstr>
      <vt:lpstr>BS!Print_Area</vt:lpstr>
      <vt:lpstr>CF!Print_Area</vt:lpstr>
      <vt:lpstr>Equity!Print_Area</vt:lpstr>
      <vt:lpstr>'GMBH P&amp;L 12.2022'!Print_Area</vt:lpstr>
      <vt:lpstr>'GMBH P&amp;L 12.2022 (2)'!Print_Area</vt:lpstr>
      <vt:lpstr>'Master Data (do not print)'!Print_Area</vt:lpstr>
      <vt:lpstr>NotesBS!Print_Area</vt:lpstr>
      <vt:lpstr>'NotesP&amp;L'!Print_Area</vt:lpstr>
      <vt:lpstr>'P&amp;L'!Print_Area</vt:lpstr>
      <vt:lpstr>SAP!Print_Area</vt:lpstr>
      <vt:lpstr>'SAP DRAFT'!Print_Area</vt:lpstr>
      <vt:lpstr>'מו"פ - נספח'!Print_Area</vt:lpstr>
      <vt:lpstr>NotesBS!Print_Titles</vt:lpstr>
      <vt:lpstr>'NotesP&amp;L'!Print_Titles</vt:lpstr>
    </vt:vector>
  </TitlesOfParts>
  <Company>guberman stefan c.p.a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guberman</dc:creator>
  <cp:lastModifiedBy>Misha Bar</cp:lastModifiedBy>
  <cp:lastPrinted>2023-03-23T13:38:04Z</cp:lastPrinted>
  <dcterms:created xsi:type="dcterms:W3CDTF">2003-08-31T12:37:40Z</dcterms:created>
  <dcterms:modified xsi:type="dcterms:W3CDTF">2024-09-01T09:34:06Z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26000</vt:r8>
  </property>
  <property fmtid="{D5CDD505-2E9C-101B-9397-08002B2CF9AE}" pid="3" name="ContentTypeId">
    <vt:lpwstr>0x010100A54CBC73139CE340A8A775820E65AFC9</vt:lpwstr>
  </property>
</Properties>
</file>