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chase/_HCC/_git/MBauer-HCC25/01-input/"/>
    </mc:Choice>
  </mc:AlternateContent>
  <xr:revisionPtr revIDLastSave="0" documentId="13_ncr:1_{C262E758-5CB7-4544-A6D6-5F5B03FB6C64}" xr6:coauthVersionLast="47" xr6:coauthVersionMax="47" xr10:uidLastSave="{00000000-0000-0000-0000-000000000000}"/>
  <bookViews>
    <workbookView xWindow="560" yWindow="2880" windowWidth="31000" windowHeight="20960" xr2:uid="{00000000-000D-0000-FFFF-FFFF00000000}"/>
  </bookViews>
  <sheets>
    <sheet name="88Tw24h" sheetId="4" r:id="rId1"/>
    <sheet name="Check" sheetId="3" r:id="rId2"/>
    <sheet name="PMC" sheetId="2" r:id="rId3"/>
    <sheet name="cosHR2d" sheetId="1" r:id="rId4"/>
  </sheets>
  <definedNames>
    <definedName name="Cbb" comment="C22">'88Tw24h'!$Q$120</definedName>
    <definedName name="Cbc" comment="C23">'88Tw24h'!$Q$121</definedName>
    <definedName name="Ccc" comment="C33">'88Tw24h'!$Q$122</definedName>
    <definedName name="F">'88Tw24h'!$Q$115</definedName>
    <definedName name="GC_Paren">'88Tw24h'!$Q$113</definedName>
    <definedName name="Kit_R" comment="Kit's r value">'88Tw24h'!$Q$112</definedName>
    <definedName name="mult">'88Tw24h'!$Q$114</definedName>
    <definedName name="N" comment="Number of Participants">'88Tw24h'!$I$102</definedName>
    <definedName name="PopA">'88Tw24h'!$L$107</definedName>
    <definedName name="PopA_CI">'88Tw24h'!$N$122</definedName>
    <definedName name="PopBeta">'88Tw24h'!$L$105</definedName>
    <definedName name="PopGamma">'88Tw24h'!$M$106</definedName>
    <definedName name="PopMeasor">'88Tw24h'!$K$104</definedName>
    <definedName name="PopPhiDegrees">'88Tw24h'!$M$112</definedName>
    <definedName name="PopPhiRadians">'88Tw24h'!$M$111</definedName>
    <definedName name="PopPR" comment="Population Percent Rhythm">'88Tw24h'!$J$103</definedName>
    <definedName name="s_beta_gamma">'88Tw24h'!$P$103</definedName>
    <definedName name="S_Matrix">'88Tw24h'!$O$106:$P$107</definedName>
    <definedName name="Saa" comment="S11">'88Tw24h'!$O$106</definedName>
    <definedName name="Sab" comment="S12">'88Tw24h'!$P$106</definedName>
    <definedName name="Sba" comment="S21">'88Tw24h'!$O$107</definedName>
    <definedName name="Sbb" comment="S22">'88Tw24h'!$P$107</definedName>
    <definedName name="SD_Mesor">'88Tw24h'!$N$115</definedName>
    <definedName name="SI_Matrix">'88Tw24h'!$O$109:$P$110</definedName>
    <definedName name="SIaa" comment="Si11">'88Tw24h'!$O$109</definedName>
    <definedName name="SIab" comment="Si12">'88Tw24h'!$P$109</definedName>
    <definedName name="SIba" comment="Si21">'88Tw24h'!$O$110</definedName>
    <definedName name="SIbb" comment="Si22">'88Tw24h'!$P$110</definedName>
    <definedName name="ss_beta">'88Tw24h'!$O$102</definedName>
    <definedName name="ss_gamma">'88Tw24h'!$Q$104</definedName>
    <definedName name="SS_Mesor">'88Tw24h'!$N$114</definedName>
    <definedName name="tVal">'88Tw24h'!$N$116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2" i="4" l="1"/>
  <c r="Q121" i="4"/>
  <c r="Q120" i="4"/>
  <c r="Q116" i="4"/>
  <c r="Q115" i="4"/>
  <c r="Q114" i="4"/>
  <c r="Q113" i="4"/>
  <c r="Q112" i="4"/>
  <c r="P107" i="4"/>
  <c r="O107" i="4"/>
  <c r="P106" i="4"/>
  <c r="O106" i="4"/>
  <c r="O102" i="4"/>
  <c r="N119" i="4"/>
  <c r="N117" i="4"/>
  <c r="N116" i="4"/>
  <c r="N115" i="4"/>
  <c r="N114" i="4"/>
  <c r="I102" i="4"/>
  <c r="F89" i="4"/>
  <c r="M89" i="4" s="1"/>
  <c r="F88" i="4"/>
  <c r="M88" i="4" s="1"/>
  <c r="F87" i="4"/>
  <c r="M87" i="4" s="1"/>
  <c r="F86" i="4"/>
  <c r="M86" i="4" s="1"/>
  <c r="F85" i="4"/>
  <c r="M85" i="4" s="1"/>
  <c r="F84" i="4"/>
  <c r="F83" i="4"/>
  <c r="M83" i="4" s="1"/>
  <c r="F82" i="4"/>
  <c r="L82" i="4" s="1"/>
  <c r="F81" i="4"/>
  <c r="M81" i="4" s="1"/>
  <c r="F80" i="4"/>
  <c r="F79" i="4"/>
  <c r="M79" i="4" s="1"/>
  <c r="F78" i="4"/>
  <c r="L78" i="4" s="1"/>
  <c r="F77" i="4"/>
  <c r="F76" i="4"/>
  <c r="F75" i="4"/>
  <c r="M75" i="4" s="1"/>
  <c r="F74" i="4"/>
  <c r="M74" i="4" s="1"/>
  <c r="F73" i="4"/>
  <c r="M73" i="4" s="1"/>
  <c r="F72" i="4"/>
  <c r="F71" i="4"/>
  <c r="L71" i="4" s="1"/>
  <c r="F70" i="4"/>
  <c r="F69" i="4"/>
  <c r="M69" i="4" s="1"/>
  <c r="F68" i="4"/>
  <c r="F67" i="4"/>
  <c r="M67" i="4" s="1"/>
  <c r="F66" i="4"/>
  <c r="M66" i="4" s="1"/>
  <c r="F65" i="4"/>
  <c r="M65" i="4" s="1"/>
  <c r="F64" i="4"/>
  <c r="F63" i="4"/>
  <c r="L63" i="4" s="1"/>
  <c r="F62" i="4"/>
  <c r="F61" i="4"/>
  <c r="M61" i="4" s="1"/>
  <c r="F60" i="4"/>
  <c r="M60" i="4" s="1"/>
  <c r="F59" i="4"/>
  <c r="M59" i="4" s="1"/>
  <c r="F58" i="4"/>
  <c r="M58" i="4" s="1"/>
  <c r="M57" i="4"/>
  <c r="F57" i="4"/>
  <c r="L57" i="4" s="1"/>
  <c r="F56" i="4"/>
  <c r="M56" i="4" s="1"/>
  <c r="F55" i="4"/>
  <c r="M55" i="4" s="1"/>
  <c r="F54" i="4"/>
  <c r="M54" i="4" s="1"/>
  <c r="F53" i="4"/>
  <c r="M53" i="4" s="1"/>
  <c r="F52" i="4"/>
  <c r="F51" i="4"/>
  <c r="M51" i="4" s="1"/>
  <c r="F50" i="4"/>
  <c r="M50" i="4" s="1"/>
  <c r="F49" i="4"/>
  <c r="M49" i="4" s="1"/>
  <c r="F48" i="4"/>
  <c r="F47" i="4"/>
  <c r="L47" i="4" s="1"/>
  <c r="F46" i="4"/>
  <c r="M46" i="4" s="1"/>
  <c r="F45" i="4"/>
  <c r="F44" i="4"/>
  <c r="F43" i="4"/>
  <c r="M43" i="4" s="1"/>
  <c r="F42" i="4"/>
  <c r="M42" i="4" s="1"/>
  <c r="F41" i="4"/>
  <c r="M41" i="4" s="1"/>
  <c r="F40" i="4"/>
  <c r="M40" i="4" s="1"/>
  <c r="F39" i="4"/>
  <c r="M39" i="4" s="1"/>
  <c r="F38" i="4"/>
  <c r="F37" i="4"/>
  <c r="M37" i="4" s="1"/>
  <c r="F36" i="4"/>
  <c r="M36" i="4" s="1"/>
  <c r="F35" i="4"/>
  <c r="L35" i="4" s="1"/>
  <c r="F34" i="4"/>
  <c r="M34" i="4" s="1"/>
  <c r="F33" i="4"/>
  <c r="L33" i="4" s="1"/>
  <c r="F32" i="4"/>
  <c r="L32" i="4" s="1"/>
  <c r="F31" i="4"/>
  <c r="F30" i="4"/>
  <c r="L30" i="4" s="1"/>
  <c r="M29" i="4"/>
  <c r="F29" i="4"/>
  <c r="L29" i="4" s="1"/>
  <c r="F28" i="4"/>
  <c r="M28" i="4" s="1"/>
  <c r="F27" i="4"/>
  <c r="M27" i="4" s="1"/>
  <c r="F26" i="4"/>
  <c r="M26" i="4" s="1"/>
  <c r="F25" i="4"/>
  <c r="L25" i="4" s="1"/>
  <c r="F24" i="4"/>
  <c r="M24" i="4" s="1"/>
  <c r="F23" i="4"/>
  <c r="M23" i="4" s="1"/>
  <c r="F22" i="4"/>
  <c r="M22" i="4" s="1"/>
  <c r="F21" i="4"/>
  <c r="F20" i="4"/>
  <c r="M20" i="4" s="1"/>
  <c r="F19" i="4"/>
  <c r="L19" i="4" s="1"/>
  <c r="F18" i="4"/>
  <c r="M18" i="4" s="1"/>
  <c r="F17" i="4"/>
  <c r="M17" i="4" s="1"/>
  <c r="F16" i="4"/>
  <c r="M16" i="4" s="1"/>
  <c r="F15" i="4"/>
  <c r="L15" i="4" s="1"/>
  <c r="F14" i="4"/>
  <c r="M14" i="4" s="1"/>
  <c r="F13" i="4"/>
  <c r="F12" i="4"/>
  <c r="M12" i="4" s="1"/>
  <c r="F11" i="4"/>
  <c r="M11" i="4" s="1"/>
  <c r="M10" i="4"/>
  <c r="F10" i="4"/>
  <c r="L10" i="4" s="1"/>
  <c r="F9" i="4"/>
  <c r="M9" i="4" s="1"/>
  <c r="F8" i="4"/>
  <c r="L8" i="4" s="1"/>
  <c r="F7" i="4"/>
  <c r="M7" i="4" s="1"/>
  <c r="F6" i="4"/>
  <c r="F5" i="4"/>
  <c r="M5" i="4" s="1"/>
  <c r="F4" i="4"/>
  <c r="M4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F3" i="4"/>
  <c r="M3" i="4" s="1"/>
  <c r="M2" i="4"/>
  <c r="L2" i="4"/>
  <c r="K2" i="4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F2" i="4"/>
  <c r="I102" i="3"/>
  <c r="F89" i="3"/>
  <c r="F88" i="3"/>
  <c r="M88" i="3" s="1"/>
  <c r="L87" i="3"/>
  <c r="F87" i="3"/>
  <c r="M87" i="3" s="1"/>
  <c r="L86" i="3"/>
  <c r="F86" i="3"/>
  <c r="M86" i="3" s="1"/>
  <c r="F85" i="3"/>
  <c r="M85" i="3" s="1"/>
  <c r="F84" i="3"/>
  <c r="M84" i="3" s="1"/>
  <c r="L83" i="3"/>
  <c r="F83" i="3"/>
  <c r="M83" i="3" s="1"/>
  <c r="L82" i="3"/>
  <c r="F82" i="3"/>
  <c r="M82" i="3" s="1"/>
  <c r="F81" i="3"/>
  <c r="M81" i="3" s="1"/>
  <c r="F80" i="3"/>
  <c r="M80" i="3" s="1"/>
  <c r="F79" i="3"/>
  <c r="M79" i="3" s="1"/>
  <c r="F78" i="3"/>
  <c r="M78" i="3" s="1"/>
  <c r="F77" i="3"/>
  <c r="M77" i="3" s="1"/>
  <c r="F76" i="3"/>
  <c r="M76" i="3" s="1"/>
  <c r="F75" i="3"/>
  <c r="M75" i="3" s="1"/>
  <c r="M74" i="3"/>
  <c r="F74" i="3"/>
  <c r="L74" i="3" s="1"/>
  <c r="F73" i="3"/>
  <c r="M73" i="3" s="1"/>
  <c r="M72" i="3"/>
  <c r="L72" i="3"/>
  <c r="F72" i="3"/>
  <c r="F71" i="3"/>
  <c r="M71" i="3" s="1"/>
  <c r="M70" i="3"/>
  <c r="L70" i="3"/>
  <c r="F70" i="3"/>
  <c r="F69" i="3"/>
  <c r="M69" i="3" s="1"/>
  <c r="L68" i="3"/>
  <c r="F68" i="3"/>
  <c r="M68" i="3" s="1"/>
  <c r="F67" i="3"/>
  <c r="M67" i="3" s="1"/>
  <c r="M66" i="3"/>
  <c r="F66" i="3"/>
  <c r="L66" i="3" s="1"/>
  <c r="F65" i="3"/>
  <c r="L65" i="3" s="1"/>
  <c r="L64" i="3"/>
  <c r="F64" i="3"/>
  <c r="M64" i="3" s="1"/>
  <c r="L63" i="3"/>
  <c r="F63" i="3"/>
  <c r="M63" i="3" s="1"/>
  <c r="L62" i="3"/>
  <c r="F62" i="3"/>
  <c r="M62" i="3" s="1"/>
  <c r="F61" i="3"/>
  <c r="M61" i="3" s="1"/>
  <c r="F60" i="3"/>
  <c r="M60" i="3" s="1"/>
  <c r="M59" i="3"/>
  <c r="F59" i="3"/>
  <c r="L59" i="3" s="1"/>
  <c r="F58" i="3"/>
  <c r="M58" i="3" s="1"/>
  <c r="F57" i="3"/>
  <c r="M57" i="3" s="1"/>
  <c r="F56" i="3"/>
  <c r="M55" i="3"/>
  <c r="L55" i="3"/>
  <c r="F55" i="3"/>
  <c r="M54" i="3"/>
  <c r="L54" i="3"/>
  <c r="F54" i="3"/>
  <c r="M53" i="3"/>
  <c r="F53" i="3"/>
  <c r="L53" i="3" s="1"/>
  <c r="F52" i="3"/>
  <c r="M52" i="3" s="1"/>
  <c r="F51" i="3"/>
  <c r="L51" i="3" s="1"/>
  <c r="M50" i="3"/>
  <c r="F50" i="3"/>
  <c r="L50" i="3" s="1"/>
  <c r="F49" i="3"/>
  <c r="L49" i="3" s="1"/>
  <c r="L48" i="3"/>
  <c r="F48" i="3"/>
  <c r="M48" i="3" s="1"/>
  <c r="F47" i="3"/>
  <c r="L47" i="3" s="1"/>
  <c r="L46" i="3"/>
  <c r="F46" i="3"/>
  <c r="M46" i="3" s="1"/>
  <c r="M45" i="3"/>
  <c r="L45" i="3"/>
  <c r="F45" i="3"/>
  <c r="F44" i="3"/>
  <c r="M44" i="3" s="1"/>
  <c r="M43" i="3"/>
  <c r="F43" i="3"/>
  <c r="L43" i="3" s="1"/>
  <c r="F42" i="3"/>
  <c r="L42" i="3" s="1"/>
  <c r="F41" i="3"/>
  <c r="M41" i="3" s="1"/>
  <c r="F40" i="3"/>
  <c r="F39" i="3"/>
  <c r="M39" i="3" s="1"/>
  <c r="M38" i="3"/>
  <c r="L38" i="3"/>
  <c r="F38" i="3"/>
  <c r="M37" i="3"/>
  <c r="F37" i="3"/>
  <c r="L37" i="3" s="1"/>
  <c r="M36" i="3"/>
  <c r="L36" i="3"/>
  <c r="F36" i="3"/>
  <c r="F35" i="3"/>
  <c r="L35" i="3" s="1"/>
  <c r="F34" i="3"/>
  <c r="L34" i="3" s="1"/>
  <c r="F33" i="3"/>
  <c r="L33" i="3" s="1"/>
  <c r="L32" i="3"/>
  <c r="F32" i="3"/>
  <c r="M32" i="3" s="1"/>
  <c r="F31" i="3"/>
  <c r="F30" i="3"/>
  <c r="M30" i="3" s="1"/>
  <c r="M29" i="3"/>
  <c r="L29" i="3"/>
  <c r="F29" i="3"/>
  <c r="F28" i="3"/>
  <c r="M28" i="3" s="1"/>
  <c r="F27" i="3"/>
  <c r="L27" i="3" s="1"/>
  <c r="F26" i="3"/>
  <c r="L26" i="3" s="1"/>
  <c r="F25" i="3"/>
  <c r="M25" i="3" s="1"/>
  <c r="F24" i="3"/>
  <c r="M23" i="3"/>
  <c r="L23" i="3"/>
  <c r="F23" i="3"/>
  <c r="L22" i="3"/>
  <c r="F22" i="3"/>
  <c r="M22" i="3" s="1"/>
  <c r="M21" i="3"/>
  <c r="F21" i="3"/>
  <c r="L21" i="3" s="1"/>
  <c r="F20" i="3"/>
  <c r="M20" i="3" s="1"/>
  <c r="F19" i="3"/>
  <c r="L19" i="3" s="1"/>
  <c r="M18" i="3"/>
  <c r="F18" i="3"/>
  <c r="L18" i="3" s="1"/>
  <c r="F17" i="3"/>
  <c r="M17" i="3" s="1"/>
  <c r="F16" i="3"/>
  <c r="M16" i="3" s="1"/>
  <c r="F15" i="3"/>
  <c r="L14" i="3"/>
  <c r="F14" i="3"/>
  <c r="M14" i="3" s="1"/>
  <c r="M13" i="3"/>
  <c r="L13" i="3"/>
  <c r="F13" i="3"/>
  <c r="F12" i="3"/>
  <c r="M12" i="3" s="1"/>
  <c r="M11" i="3"/>
  <c r="F11" i="3"/>
  <c r="L11" i="3" s="1"/>
  <c r="F10" i="3"/>
  <c r="L10" i="3" s="1"/>
  <c r="F9" i="3"/>
  <c r="M9" i="3" s="1"/>
  <c r="F8" i="3"/>
  <c r="F7" i="3"/>
  <c r="M7" i="3" s="1"/>
  <c r="F6" i="3"/>
  <c r="L6" i="3" s="1"/>
  <c r="F5" i="3"/>
  <c r="M5" i="3" s="1"/>
  <c r="L4" i="3"/>
  <c r="F4" i="3"/>
  <c r="M4" i="3" s="1"/>
  <c r="M3" i="3"/>
  <c r="L3" i="3"/>
  <c r="F3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F2" i="3"/>
  <c r="M2" i="3" s="1"/>
  <c r="I102" i="2"/>
  <c r="L20" i="2"/>
  <c r="M21" i="2"/>
  <c r="L22" i="2"/>
  <c r="L23" i="2"/>
  <c r="M24" i="2"/>
  <c r="L25" i="2"/>
  <c r="M26" i="2"/>
  <c r="M27" i="2"/>
  <c r="M32" i="2"/>
  <c r="M33" i="2"/>
  <c r="L34" i="2"/>
  <c r="M34" i="2"/>
  <c r="L35" i="2"/>
  <c r="M35" i="2"/>
  <c r="L36" i="2"/>
  <c r="M36" i="2"/>
  <c r="L37" i="2"/>
  <c r="M43" i="2"/>
  <c r="M47" i="2"/>
  <c r="L48" i="2"/>
  <c r="M48" i="2"/>
  <c r="L49" i="2"/>
  <c r="M49" i="2"/>
  <c r="L50" i="2"/>
  <c r="M50" i="2"/>
  <c r="L51" i="2"/>
  <c r="M51" i="2"/>
  <c r="L52" i="2"/>
  <c r="M52" i="2"/>
  <c r="L53" i="2"/>
  <c r="L54" i="2"/>
  <c r="L55" i="2"/>
  <c r="M55" i="2"/>
  <c r="L56" i="2"/>
  <c r="M56" i="2"/>
  <c r="L57" i="2"/>
  <c r="M58" i="2"/>
  <c r="M59" i="2"/>
  <c r="M64" i="2"/>
  <c r="L65" i="2"/>
  <c r="M65" i="2"/>
  <c r="L66" i="2"/>
  <c r="M66" i="2"/>
  <c r="L67" i="2"/>
  <c r="M67" i="2"/>
  <c r="L68" i="2"/>
  <c r="M68" i="2"/>
  <c r="L69" i="2"/>
  <c r="L75" i="2"/>
  <c r="M75" i="2"/>
  <c r="M79" i="2"/>
  <c r="L80" i="2"/>
  <c r="M80" i="2"/>
  <c r="L81" i="2"/>
  <c r="M81" i="2"/>
  <c r="L82" i="2"/>
  <c r="M82" i="2"/>
  <c r="L83" i="2"/>
  <c r="M83" i="2"/>
  <c r="L84" i="2"/>
  <c r="M84" i="2"/>
  <c r="L85" i="2"/>
  <c r="L86" i="2"/>
  <c r="L87" i="2"/>
  <c r="M87" i="2"/>
  <c r="L88" i="2"/>
  <c r="M88" i="2"/>
  <c r="L89" i="2"/>
  <c r="M89" i="2"/>
  <c r="F20" i="2"/>
  <c r="M20" i="2" s="1"/>
  <c r="F21" i="2"/>
  <c r="L21" i="2" s="1"/>
  <c r="F22" i="2"/>
  <c r="M22" i="2" s="1"/>
  <c r="F23" i="2"/>
  <c r="M23" i="2" s="1"/>
  <c r="F24" i="2"/>
  <c r="L24" i="2" s="1"/>
  <c r="F25" i="2"/>
  <c r="M25" i="2" s="1"/>
  <c r="F26" i="2"/>
  <c r="L26" i="2" s="1"/>
  <c r="F27" i="2"/>
  <c r="L27" i="2" s="1"/>
  <c r="F28" i="2"/>
  <c r="L28" i="2" s="1"/>
  <c r="F29" i="2"/>
  <c r="L29" i="2" s="1"/>
  <c r="F30" i="2"/>
  <c r="M30" i="2" s="1"/>
  <c r="F31" i="2"/>
  <c r="L31" i="2" s="1"/>
  <c r="F32" i="2"/>
  <c r="L32" i="2" s="1"/>
  <c r="F33" i="2"/>
  <c r="L33" i="2" s="1"/>
  <c r="F34" i="2"/>
  <c r="F35" i="2"/>
  <c r="F36" i="2"/>
  <c r="F37" i="2"/>
  <c r="M37" i="2" s="1"/>
  <c r="F38" i="2"/>
  <c r="L38" i="2" s="1"/>
  <c r="F39" i="2"/>
  <c r="L39" i="2" s="1"/>
  <c r="F40" i="2"/>
  <c r="L40" i="2" s="1"/>
  <c r="F41" i="2"/>
  <c r="L41" i="2" s="1"/>
  <c r="F42" i="2"/>
  <c r="M42" i="2" s="1"/>
  <c r="F43" i="2"/>
  <c r="L43" i="2" s="1"/>
  <c r="F44" i="2"/>
  <c r="L44" i="2" s="1"/>
  <c r="F45" i="2"/>
  <c r="L45" i="2" s="1"/>
  <c r="F46" i="2"/>
  <c r="M46" i="2" s="1"/>
  <c r="F47" i="2"/>
  <c r="L47" i="2" s="1"/>
  <c r="F48" i="2"/>
  <c r="F49" i="2"/>
  <c r="F50" i="2"/>
  <c r="F51" i="2"/>
  <c r="F52" i="2"/>
  <c r="F53" i="2"/>
  <c r="M53" i="2" s="1"/>
  <c r="F54" i="2"/>
  <c r="M54" i="2" s="1"/>
  <c r="F55" i="2"/>
  <c r="F56" i="2"/>
  <c r="F57" i="2"/>
  <c r="M57" i="2" s="1"/>
  <c r="F58" i="2"/>
  <c r="L58" i="2" s="1"/>
  <c r="F59" i="2"/>
  <c r="L59" i="2" s="1"/>
  <c r="F60" i="2"/>
  <c r="L60" i="2" s="1"/>
  <c r="F61" i="2"/>
  <c r="L61" i="2" s="1"/>
  <c r="F62" i="2"/>
  <c r="M62" i="2" s="1"/>
  <c r="F63" i="2"/>
  <c r="L63" i="2" s="1"/>
  <c r="F64" i="2"/>
  <c r="L64" i="2" s="1"/>
  <c r="F65" i="2"/>
  <c r="F66" i="2"/>
  <c r="F67" i="2"/>
  <c r="F68" i="2"/>
  <c r="F69" i="2"/>
  <c r="M69" i="2" s="1"/>
  <c r="F70" i="2"/>
  <c r="L70" i="2" s="1"/>
  <c r="F71" i="2"/>
  <c r="L71" i="2" s="1"/>
  <c r="F72" i="2"/>
  <c r="L72" i="2" s="1"/>
  <c r="F73" i="2"/>
  <c r="L73" i="2" s="1"/>
  <c r="F74" i="2"/>
  <c r="M74" i="2" s="1"/>
  <c r="F75" i="2"/>
  <c r="F76" i="2"/>
  <c r="L76" i="2" s="1"/>
  <c r="F77" i="2"/>
  <c r="L77" i="2" s="1"/>
  <c r="F78" i="2"/>
  <c r="L78" i="2" s="1"/>
  <c r="F79" i="2"/>
  <c r="L79" i="2" s="1"/>
  <c r="F80" i="2"/>
  <c r="F81" i="2"/>
  <c r="F82" i="2"/>
  <c r="F83" i="2"/>
  <c r="F84" i="2"/>
  <c r="F85" i="2"/>
  <c r="M85" i="2" s="1"/>
  <c r="F86" i="2"/>
  <c r="M86" i="2" s="1"/>
  <c r="F87" i="2"/>
  <c r="F88" i="2"/>
  <c r="F89" i="2"/>
  <c r="F19" i="2"/>
  <c r="L19" i="2" s="1"/>
  <c r="F18" i="2"/>
  <c r="L18" i="2" s="1"/>
  <c r="F17" i="2"/>
  <c r="M17" i="2" s="1"/>
  <c r="F16" i="2"/>
  <c r="L16" i="2" s="1"/>
  <c r="F15" i="2"/>
  <c r="M15" i="2" s="1"/>
  <c r="F14" i="2"/>
  <c r="L14" i="2" s="1"/>
  <c r="F13" i="2"/>
  <c r="M13" i="2" s="1"/>
  <c r="F12" i="2"/>
  <c r="M12" i="2" s="1"/>
  <c r="F11" i="2"/>
  <c r="L11" i="2" s="1"/>
  <c r="F10" i="2"/>
  <c r="M10" i="2" s="1"/>
  <c r="F9" i="2"/>
  <c r="M9" i="2" s="1"/>
  <c r="F8" i="2"/>
  <c r="M8" i="2" s="1"/>
  <c r="F7" i="2"/>
  <c r="L7" i="2" s="1"/>
  <c r="F6" i="2"/>
  <c r="M6" i="2" s="1"/>
  <c r="F5" i="2"/>
  <c r="M5" i="2" s="1"/>
  <c r="F4" i="2"/>
  <c r="L4" i="2" s="1"/>
  <c r="F3" i="2"/>
  <c r="L3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F2" i="2"/>
  <c r="M2" i="2" s="1"/>
  <c r="L11" i="4" l="1"/>
  <c r="L49" i="4"/>
  <c r="M32" i="4"/>
  <c r="L73" i="4"/>
  <c r="M33" i="4"/>
  <c r="L74" i="4"/>
  <c r="M15" i="4"/>
  <c r="L51" i="4"/>
  <c r="L34" i="4"/>
  <c r="L17" i="4"/>
  <c r="L37" i="4"/>
  <c r="M19" i="4"/>
  <c r="L56" i="4"/>
  <c r="L81" i="4"/>
  <c r="L50" i="4"/>
  <c r="M82" i="4"/>
  <c r="L41" i="4"/>
  <c r="L24" i="4"/>
  <c r="L42" i="4"/>
  <c r="M25" i="4"/>
  <c r="M63" i="4"/>
  <c r="L7" i="4"/>
  <c r="L88" i="4"/>
  <c r="L28" i="4"/>
  <c r="L46" i="4"/>
  <c r="L89" i="4"/>
  <c r="L65" i="4"/>
  <c r="L18" i="4"/>
  <c r="M35" i="4"/>
  <c r="L59" i="4"/>
  <c r="M78" i="4"/>
  <c r="M47" i="4"/>
  <c r="L53" i="4"/>
  <c r="L3" i="4"/>
  <c r="M30" i="4"/>
  <c r="L60" i="4"/>
  <c r="L79" i="4"/>
  <c r="L83" i="4"/>
  <c r="M52" i="4"/>
  <c r="L52" i="4"/>
  <c r="K104" i="4"/>
  <c r="J103" i="4"/>
  <c r="M84" i="4"/>
  <c r="L84" i="4"/>
  <c r="M13" i="4"/>
  <c r="L13" i="4"/>
  <c r="M8" i="4"/>
  <c r="L66" i="4"/>
  <c r="L20" i="4"/>
  <c r="L61" i="4"/>
  <c r="L55" i="4"/>
  <c r="L4" i="4"/>
  <c r="L9" i="4"/>
  <c r="L26" i="4"/>
  <c r="M38" i="4"/>
  <c r="L38" i="4"/>
  <c r="L43" i="4"/>
  <c r="M21" i="4"/>
  <c r="L21" i="4"/>
  <c r="M80" i="4"/>
  <c r="L80" i="4"/>
  <c r="L87" i="4"/>
  <c r="M62" i="4"/>
  <c r="L62" i="4"/>
  <c r="L16" i="4"/>
  <c r="M44" i="4"/>
  <c r="L44" i="4"/>
  <c r="L69" i="4"/>
  <c r="L75" i="4"/>
  <c r="L5" i="4"/>
  <c r="L22" i="4"/>
  <c r="L39" i="4"/>
  <c r="M64" i="4"/>
  <c r="L64" i="4"/>
  <c r="M70" i="4"/>
  <c r="L70" i="4"/>
  <c r="L12" i="4"/>
  <c r="M71" i="4"/>
  <c r="L85" i="4"/>
  <c r="M48" i="4"/>
  <c r="L48" i="4"/>
  <c r="L14" i="4"/>
  <c r="L31" i="4"/>
  <c r="M31" i="4"/>
  <c r="M76" i="4"/>
  <c r="L76" i="4"/>
  <c r="M6" i="4"/>
  <c r="L6" i="4"/>
  <c r="L67" i="4"/>
  <c r="M72" i="4"/>
  <c r="L72" i="4"/>
  <c r="L86" i="4"/>
  <c r="L27" i="4"/>
  <c r="L40" i="4"/>
  <c r="M45" i="4"/>
  <c r="L45" i="4"/>
  <c r="L58" i="4"/>
  <c r="M77" i="4"/>
  <c r="L77" i="4"/>
  <c r="L23" i="4"/>
  <c r="L36" i="4"/>
  <c r="L54" i="4"/>
  <c r="M68" i="4"/>
  <c r="L68" i="4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K21" i="2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104" i="2"/>
  <c r="L52" i="3"/>
  <c r="M28" i="2"/>
  <c r="L16" i="3"/>
  <c r="M78" i="2"/>
  <c r="L62" i="2"/>
  <c r="L46" i="2"/>
  <c r="L30" i="2"/>
  <c r="M77" i="2"/>
  <c r="M61" i="2"/>
  <c r="M45" i="2"/>
  <c r="M29" i="2"/>
  <c r="M76" i="2"/>
  <c r="M60" i="2"/>
  <c r="M44" i="2"/>
  <c r="L20" i="3"/>
  <c r="M63" i="2"/>
  <c r="M31" i="2"/>
  <c r="M34" i="3"/>
  <c r="L74" i="2"/>
  <c r="L42" i="2"/>
  <c r="L39" i="3"/>
  <c r="M73" i="2"/>
  <c r="M41" i="2"/>
  <c r="M72" i="2"/>
  <c r="M40" i="2"/>
  <c r="L61" i="3"/>
  <c r="M71" i="2"/>
  <c r="M39" i="2"/>
  <c r="M70" i="2"/>
  <c r="M38" i="2"/>
  <c r="M27" i="3"/>
  <c r="L30" i="3"/>
  <c r="M6" i="3"/>
  <c r="L8" i="3"/>
  <c r="M8" i="3"/>
  <c r="L15" i="3"/>
  <c r="M15" i="3"/>
  <c r="L24" i="3"/>
  <c r="M24" i="3"/>
  <c r="M56" i="3"/>
  <c r="L56" i="3"/>
  <c r="L40" i="3"/>
  <c r="M40" i="3"/>
  <c r="M31" i="3"/>
  <c r="L31" i="3"/>
  <c r="L77" i="3"/>
  <c r="L5" i="3"/>
  <c r="L17" i="3"/>
  <c r="M33" i="3"/>
  <c r="M49" i="3"/>
  <c r="L58" i="3"/>
  <c r="M65" i="3"/>
  <c r="L67" i="3"/>
  <c r="L81" i="3"/>
  <c r="L2" i="3"/>
  <c r="M10" i="3"/>
  <c r="L12" i="3"/>
  <c r="M19" i="3"/>
  <c r="M26" i="3"/>
  <c r="L28" i="3"/>
  <c r="M35" i="3"/>
  <c r="M42" i="3"/>
  <c r="L44" i="3"/>
  <c r="M51" i="3"/>
  <c r="L60" i="3"/>
  <c r="L71" i="3"/>
  <c r="L73" i="3"/>
  <c r="L75" i="3"/>
  <c r="L85" i="3"/>
  <c r="L7" i="3"/>
  <c r="L69" i="3"/>
  <c r="L78" i="3"/>
  <c r="M89" i="3"/>
  <c r="L89" i="3"/>
  <c r="M47" i="3"/>
  <c r="L76" i="3"/>
  <c r="L9" i="3"/>
  <c r="L25" i="3"/>
  <c r="L41" i="3"/>
  <c r="L57" i="3"/>
  <c r="L79" i="3"/>
  <c r="L80" i="3"/>
  <c r="L84" i="3"/>
  <c r="K104" i="3"/>
  <c r="N116" i="3"/>
  <c r="L88" i="3"/>
  <c r="J103" i="3"/>
  <c r="N5" i="2"/>
  <c r="M7" i="2"/>
  <c r="M14" i="2"/>
  <c r="L2" i="2"/>
  <c r="M18" i="2"/>
  <c r="M11" i="2"/>
  <c r="M19" i="2"/>
  <c r="L6" i="2"/>
  <c r="L10" i="2"/>
  <c r="M3" i="2"/>
  <c r="L8" i="2"/>
  <c r="L12" i="2"/>
  <c r="M4" i="2"/>
  <c r="M16" i="2"/>
  <c r="N116" i="2"/>
  <c r="L5" i="2"/>
  <c r="L9" i="2"/>
  <c r="L13" i="2"/>
  <c r="L17" i="2"/>
  <c r="L15" i="2"/>
  <c r="L105" i="4" l="1"/>
  <c r="N77" i="4"/>
  <c r="N45" i="4"/>
  <c r="N13" i="4"/>
  <c r="N84" i="4"/>
  <c r="N52" i="4"/>
  <c r="N20" i="4"/>
  <c r="N59" i="4"/>
  <c r="N27" i="4"/>
  <c r="N66" i="4"/>
  <c r="N80" i="4"/>
  <c r="N76" i="4"/>
  <c r="N48" i="4"/>
  <c r="N21" i="4"/>
  <c r="N72" i="4"/>
  <c r="N68" i="4"/>
  <c r="N64" i="4"/>
  <c r="N44" i="4"/>
  <c r="N17" i="4"/>
  <c r="N88" i="4"/>
  <c r="N60" i="4"/>
  <c r="N56" i="4"/>
  <c r="N9" i="4"/>
  <c r="N40" i="4"/>
  <c r="N63" i="4"/>
  <c r="N54" i="4"/>
  <c r="N36" i="4"/>
  <c r="N23" i="4"/>
  <c r="N58" i="4"/>
  <c r="N86" i="4"/>
  <c r="N67" i="4"/>
  <c r="N10" i="4"/>
  <c r="N6" i="4"/>
  <c r="N49" i="4"/>
  <c r="N62" i="4"/>
  <c r="N81" i="4"/>
  <c r="N31" i="4"/>
  <c r="N18" i="4"/>
  <c r="N14" i="4"/>
  <c r="N5" i="4"/>
  <c r="N71" i="4"/>
  <c r="N53" i="4"/>
  <c r="N8" i="4"/>
  <c r="N19" i="4"/>
  <c r="N78" i="4"/>
  <c r="N65" i="4"/>
  <c r="N35" i="4"/>
  <c r="N12" i="4"/>
  <c r="N2" i="4"/>
  <c r="N41" i="4"/>
  <c r="N89" i="4"/>
  <c r="N7" i="4"/>
  <c r="N34" i="4"/>
  <c r="N57" i="4"/>
  <c r="N39" i="4"/>
  <c r="N22" i="4"/>
  <c r="N82" i="4"/>
  <c r="N75" i="4"/>
  <c r="N28" i="4"/>
  <c r="N11" i="4"/>
  <c r="N69" i="4"/>
  <c r="N16" i="4"/>
  <c r="N33" i="4"/>
  <c r="N50" i="4"/>
  <c r="N87" i="4"/>
  <c r="N74" i="4"/>
  <c r="N43" i="4"/>
  <c r="N38" i="4"/>
  <c r="N26" i="4"/>
  <c r="N4" i="4"/>
  <c r="N55" i="4"/>
  <c r="N61" i="4"/>
  <c r="N32" i="4"/>
  <c r="N15" i="4"/>
  <c r="N79" i="4"/>
  <c r="N73" i="4"/>
  <c r="N37" i="4"/>
  <c r="N30" i="4"/>
  <c r="N47" i="4"/>
  <c r="N83" i="4"/>
  <c r="N29" i="4"/>
  <c r="N85" i="4"/>
  <c r="N42" i="4"/>
  <c r="N25" i="4"/>
  <c r="N3" i="4"/>
  <c r="N24" i="4"/>
  <c r="N70" i="4"/>
  <c r="N51" i="4"/>
  <c r="N46" i="4"/>
  <c r="M106" i="4"/>
  <c r="Q80" i="4" s="1"/>
  <c r="M106" i="2"/>
  <c r="L105" i="2"/>
  <c r="J103" i="2"/>
  <c r="M106" i="3"/>
  <c r="Q33" i="3" s="1"/>
  <c r="L105" i="3"/>
  <c r="O79" i="3" s="1"/>
  <c r="N87" i="3"/>
  <c r="N83" i="3"/>
  <c r="N79" i="3"/>
  <c r="N75" i="3"/>
  <c r="N88" i="3"/>
  <c r="N84" i="3"/>
  <c r="N80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10" i="3"/>
  <c r="N6" i="3"/>
  <c r="N2" i="3"/>
  <c r="N55" i="3"/>
  <c r="N39" i="3"/>
  <c r="N23" i="3"/>
  <c r="N4" i="3"/>
  <c r="N7" i="3"/>
  <c r="N71" i="3"/>
  <c r="N67" i="3"/>
  <c r="N51" i="3"/>
  <c r="N35" i="3"/>
  <c r="N19" i="3"/>
  <c r="N15" i="3"/>
  <c r="N63" i="3"/>
  <c r="N47" i="3"/>
  <c r="N31" i="3"/>
  <c r="N8" i="3"/>
  <c r="N3" i="3"/>
  <c r="N43" i="3"/>
  <c r="N59" i="3"/>
  <c r="N27" i="3"/>
  <c r="N11" i="3"/>
  <c r="N18" i="2"/>
  <c r="N20" i="2"/>
  <c r="N21" i="2"/>
  <c r="N24" i="2"/>
  <c r="N27" i="2"/>
  <c r="N30" i="2"/>
  <c r="N33" i="2"/>
  <c r="N36" i="2"/>
  <c r="N39" i="2"/>
  <c r="N42" i="2"/>
  <c r="N45" i="2"/>
  <c r="N48" i="2"/>
  <c r="N51" i="2"/>
  <c r="N54" i="2"/>
  <c r="N57" i="2"/>
  <c r="N60" i="2"/>
  <c r="N63" i="2"/>
  <c r="N66" i="2"/>
  <c r="N69" i="2"/>
  <c r="N72" i="2"/>
  <c r="N75" i="2"/>
  <c r="N78" i="2"/>
  <c r="N81" i="2"/>
  <c r="N84" i="2"/>
  <c r="N87" i="2"/>
  <c r="N28" i="2"/>
  <c r="N40" i="2"/>
  <c r="N52" i="2"/>
  <c r="N64" i="2"/>
  <c r="N76" i="2"/>
  <c r="N88" i="2"/>
  <c r="N32" i="2"/>
  <c r="N44" i="2"/>
  <c r="N56" i="2"/>
  <c r="N68" i="2"/>
  <c r="N80" i="2"/>
  <c r="N25" i="2"/>
  <c r="N37" i="2"/>
  <c r="N49" i="2"/>
  <c r="N61" i="2"/>
  <c r="N73" i="2"/>
  <c r="N85" i="2"/>
  <c r="N29" i="2"/>
  <c r="N41" i="2"/>
  <c r="N53" i="2"/>
  <c r="N65" i="2"/>
  <c r="N77" i="2"/>
  <c r="N89" i="2"/>
  <c r="N23" i="2"/>
  <c r="N35" i="2"/>
  <c r="N47" i="2"/>
  <c r="N59" i="2"/>
  <c r="N71" i="2"/>
  <c r="N83" i="2"/>
  <c r="N22" i="2"/>
  <c r="N34" i="2"/>
  <c r="N46" i="2"/>
  <c r="N58" i="2"/>
  <c r="N70" i="2"/>
  <c r="N82" i="2"/>
  <c r="N26" i="2"/>
  <c r="N38" i="2"/>
  <c r="N50" i="2"/>
  <c r="N62" i="2"/>
  <c r="N74" i="2"/>
  <c r="N86" i="2"/>
  <c r="N31" i="2"/>
  <c r="N43" i="2"/>
  <c r="N55" i="2"/>
  <c r="N67" i="2"/>
  <c r="N79" i="2"/>
  <c r="N9" i="2"/>
  <c r="N13" i="2"/>
  <c r="N3" i="2"/>
  <c r="N2" i="2"/>
  <c r="N10" i="2"/>
  <c r="N4" i="2"/>
  <c r="N17" i="2"/>
  <c r="N8" i="2"/>
  <c r="N11" i="2"/>
  <c r="N12" i="2"/>
  <c r="N15" i="2"/>
  <c r="N16" i="2"/>
  <c r="N19" i="2"/>
  <c r="N6" i="2"/>
  <c r="N7" i="2"/>
  <c r="N14" i="2"/>
  <c r="M110" i="2"/>
  <c r="Q62" i="4" l="1"/>
  <c r="M109" i="4"/>
  <c r="L107" i="4"/>
  <c r="P82" i="4"/>
  <c r="P28" i="4"/>
  <c r="P11" i="4"/>
  <c r="P51" i="4"/>
  <c r="O51" i="4"/>
  <c r="P17" i="4"/>
  <c r="P63" i="4"/>
  <c r="O63" i="4"/>
  <c r="M110" i="4"/>
  <c r="P46" i="4"/>
  <c r="O46" i="4"/>
  <c r="P8" i="4"/>
  <c r="O25" i="4"/>
  <c r="O8" i="4"/>
  <c r="P42" i="4"/>
  <c r="P49" i="4"/>
  <c r="O47" i="4"/>
  <c r="O28" i="4"/>
  <c r="P88" i="4"/>
  <c r="O11" i="4"/>
  <c r="O15" i="4"/>
  <c r="O88" i="4"/>
  <c r="O49" i="4"/>
  <c r="P30" i="4"/>
  <c r="P89" i="4"/>
  <c r="P15" i="4"/>
  <c r="P7" i="4"/>
  <c r="O10" i="4"/>
  <c r="P74" i="4"/>
  <c r="O34" i="4"/>
  <c r="O89" i="4"/>
  <c r="O32" i="4"/>
  <c r="O2" i="4"/>
  <c r="O35" i="4"/>
  <c r="O24" i="4"/>
  <c r="P78" i="4"/>
  <c r="P19" i="4"/>
  <c r="P24" i="4"/>
  <c r="P73" i="4"/>
  <c r="O73" i="4"/>
  <c r="O56" i="4"/>
  <c r="P57" i="4"/>
  <c r="O57" i="4"/>
  <c r="O7" i="4"/>
  <c r="O37" i="4"/>
  <c r="P81" i="4"/>
  <c r="P47" i="4"/>
  <c r="P50" i="4"/>
  <c r="O29" i="4"/>
  <c r="P29" i="4"/>
  <c r="P71" i="4"/>
  <c r="O78" i="4"/>
  <c r="O71" i="4"/>
  <c r="P10" i="4"/>
  <c r="P37" i="4"/>
  <c r="O74" i="4"/>
  <c r="P56" i="4"/>
  <c r="P25" i="4"/>
  <c r="O42" i="4"/>
  <c r="O81" i="4"/>
  <c r="P32" i="4"/>
  <c r="O33" i="4"/>
  <c r="O30" i="4"/>
  <c r="P33" i="4"/>
  <c r="P34" i="4"/>
  <c r="P41" i="4"/>
  <c r="P2" i="4"/>
  <c r="P35" i="4"/>
  <c r="O17" i="4"/>
  <c r="O41" i="4"/>
  <c r="O82" i="4"/>
  <c r="O19" i="4"/>
  <c r="O50" i="4"/>
  <c r="M108" i="4"/>
  <c r="Q82" i="4"/>
  <c r="Q88" i="4"/>
  <c r="Q63" i="4"/>
  <c r="Q56" i="4"/>
  <c r="Q17" i="4"/>
  <c r="Q11" i="4"/>
  <c r="Q25" i="4"/>
  <c r="Q32" i="4"/>
  <c r="Q42" i="4"/>
  <c r="Q29" i="4"/>
  <c r="Q9" i="4"/>
  <c r="Q67" i="4"/>
  <c r="Q86" i="4"/>
  <c r="Q65" i="4"/>
  <c r="Q69" i="4"/>
  <c r="Q66" i="4"/>
  <c r="Q40" i="4"/>
  <c r="Q41" i="4"/>
  <c r="Q50" i="4"/>
  <c r="Q15" i="4"/>
  <c r="Q49" i="4"/>
  <c r="Q74" i="4"/>
  <c r="Q23" i="4"/>
  <c r="Q19" i="4"/>
  <c r="Q20" i="4"/>
  <c r="Q27" i="4"/>
  <c r="Q3" i="4"/>
  <c r="Q39" i="4"/>
  <c r="Q73" i="4"/>
  <c r="Q5" i="4"/>
  <c r="Q58" i="4"/>
  <c r="Q83" i="4"/>
  <c r="Q14" i="4"/>
  <c r="Q43" i="4"/>
  <c r="Q81" i="4"/>
  <c r="Q46" i="4"/>
  <c r="Q89" i="4"/>
  <c r="Q34" i="4"/>
  <c r="Q16" i="4"/>
  <c r="Q75" i="4"/>
  <c r="Q18" i="4"/>
  <c r="Q51" i="4"/>
  <c r="Q55" i="4"/>
  <c r="Q22" i="4"/>
  <c r="Q4" i="4"/>
  <c r="Q37" i="4"/>
  <c r="Q57" i="4"/>
  <c r="Q85" i="4"/>
  <c r="Q26" i="4"/>
  <c r="Q7" i="4"/>
  <c r="Q61" i="4"/>
  <c r="Q12" i="4"/>
  <c r="Q28" i="4"/>
  <c r="Q33" i="4"/>
  <c r="Q2" i="4"/>
  <c r="Q53" i="4"/>
  <c r="Q54" i="4"/>
  <c r="Q79" i="4"/>
  <c r="Q10" i="4"/>
  <c r="Q59" i="4"/>
  <c r="Q24" i="4"/>
  <c r="Q36" i="4"/>
  <c r="Q87" i="4"/>
  <c r="Q60" i="4"/>
  <c r="P21" i="4"/>
  <c r="P13" i="4"/>
  <c r="O12" i="4"/>
  <c r="O6" i="4"/>
  <c r="P87" i="4"/>
  <c r="P12" i="4"/>
  <c r="P6" i="4"/>
  <c r="P68" i="4"/>
  <c r="O80" i="4"/>
  <c r="O69" i="4"/>
  <c r="O66" i="4"/>
  <c r="O68" i="4"/>
  <c r="P80" i="4"/>
  <c r="P69" i="4"/>
  <c r="P66" i="4"/>
  <c r="Q48" i="4"/>
  <c r="Q68" i="4"/>
  <c r="O27" i="4"/>
  <c r="P20" i="4"/>
  <c r="Q84" i="4"/>
  <c r="O85" i="4"/>
  <c r="P27" i="4"/>
  <c r="O20" i="4"/>
  <c r="O18" i="4"/>
  <c r="P85" i="4"/>
  <c r="O40" i="4"/>
  <c r="Q72" i="4"/>
  <c r="P18" i="4"/>
  <c r="Q35" i="4"/>
  <c r="P40" i="4"/>
  <c r="O61" i="4"/>
  <c r="O14" i="4"/>
  <c r="O31" i="4"/>
  <c r="O79" i="4"/>
  <c r="P61" i="4"/>
  <c r="P14" i="4"/>
  <c r="P31" i="4"/>
  <c r="P79" i="4"/>
  <c r="O86" i="4"/>
  <c r="Q13" i="4"/>
  <c r="O59" i="4"/>
  <c r="O55" i="4"/>
  <c r="P86" i="4"/>
  <c r="Q31" i="4"/>
  <c r="P59" i="4"/>
  <c r="P55" i="4"/>
  <c r="O4" i="4"/>
  <c r="Q78" i="4"/>
  <c r="O62" i="4"/>
  <c r="O75" i="4"/>
  <c r="P4" i="4"/>
  <c r="Q6" i="4"/>
  <c r="P62" i="4"/>
  <c r="P75" i="4"/>
  <c r="O22" i="4"/>
  <c r="O16" i="4"/>
  <c r="Q8" i="4"/>
  <c r="Q45" i="4"/>
  <c r="P22" i="4"/>
  <c r="P16" i="4"/>
  <c r="Q76" i="4"/>
  <c r="O45" i="4"/>
  <c r="Q38" i="4"/>
  <c r="P3" i="4"/>
  <c r="O76" i="4"/>
  <c r="P45" i="4"/>
  <c r="P39" i="4"/>
  <c r="O3" i="4"/>
  <c r="P76" i="4"/>
  <c r="O9" i="4"/>
  <c r="O39" i="4"/>
  <c r="Q44" i="4"/>
  <c r="Q47" i="4"/>
  <c r="P9" i="4"/>
  <c r="Q52" i="4"/>
  <c r="Q30" i="4"/>
  <c r="O53" i="4"/>
  <c r="O58" i="4"/>
  <c r="P23" i="4"/>
  <c r="O5" i="4"/>
  <c r="P53" i="4"/>
  <c r="P58" i="4"/>
  <c r="O23" i="4"/>
  <c r="P5" i="4"/>
  <c r="O67" i="4"/>
  <c r="O26" i="4"/>
  <c r="P52" i="4"/>
  <c r="O83" i="4"/>
  <c r="P67" i="4"/>
  <c r="P26" i="4"/>
  <c r="O52" i="4"/>
  <c r="P83" i="4"/>
  <c r="P44" i="4"/>
  <c r="Q77" i="4"/>
  <c r="O65" i="4"/>
  <c r="O36" i="4"/>
  <c r="O38" i="4"/>
  <c r="O44" i="4"/>
  <c r="O77" i="4"/>
  <c r="P65" i="4"/>
  <c r="P36" i="4"/>
  <c r="P38" i="4"/>
  <c r="P72" i="4"/>
  <c r="P77" i="4"/>
  <c r="O48" i="4"/>
  <c r="Q70" i="4"/>
  <c r="O43" i="4"/>
  <c r="O72" i="4"/>
  <c r="Q64" i="4"/>
  <c r="P48" i="4"/>
  <c r="O70" i="4"/>
  <c r="P43" i="4"/>
  <c r="O60" i="4"/>
  <c r="O54" i="4"/>
  <c r="O84" i="4"/>
  <c r="O64" i="4"/>
  <c r="P54" i="4"/>
  <c r="O21" i="4"/>
  <c r="O13" i="4"/>
  <c r="Q71" i="4"/>
  <c r="O87" i="4"/>
  <c r="Q21" i="4"/>
  <c r="P84" i="4"/>
  <c r="P70" i="4"/>
  <c r="P64" i="4"/>
  <c r="P60" i="4"/>
  <c r="N114" i="2"/>
  <c r="O8" i="3"/>
  <c r="O75" i="3"/>
  <c r="O84" i="3"/>
  <c r="O24" i="3"/>
  <c r="O7" i="3"/>
  <c r="O17" i="3"/>
  <c r="P15" i="3"/>
  <c r="O44" i="3"/>
  <c r="O15" i="3"/>
  <c r="O28" i="3"/>
  <c r="O56" i="3"/>
  <c r="O85" i="3"/>
  <c r="O89" i="3"/>
  <c r="O69" i="3"/>
  <c r="O58" i="3"/>
  <c r="O71" i="3"/>
  <c r="Q24" i="3"/>
  <c r="P79" i="3"/>
  <c r="P8" i="3"/>
  <c r="P28" i="3"/>
  <c r="P44" i="3"/>
  <c r="Q19" i="3"/>
  <c r="P75" i="3"/>
  <c r="P40" i="3"/>
  <c r="P89" i="3"/>
  <c r="P56" i="3"/>
  <c r="Q15" i="3"/>
  <c r="Q10" i="3"/>
  <c r="P7" i="3"/>
  <c r="Q31" i="3"/>
  <c r="Q47" i="3"/>
  <c r="P57" i="3"/>
  <c r="O25" i="3"/>
  <c r="O57" i="3"/>
  <c r="O2" i="3"/>
  <c r="P25" i="3"/>
  <c r="P2" i="3"/>
  <c r="Q89" i="3"/>
  <c r="M109" i="3"/>
  <c r="L107" i="3"/>
  <c r="M110" i="3"/>
  <c r="O87" i="3"/>
  <c r="O83" i="3"/>
  <c r="P64" i="3"/>
  <c r="P55" i="3"/>
  <c r="P48" i="3"/>
  <c r="P39" i="3"/>
  <c r="P16" i="3"/>
  <c r="O34" i="3"/>
  <c r="P4" i="3"/>
  <c r="P23" i="3"/>
  <c r="P32" i="3"/>
  <c r="O13" i="3"/>
  <c r="P34" i="3"/>
  <c r="O45" i="3"/>
  <c r="O11" i="3"/>
  <c r="O36" i="3"/>
  <c r="O37" i="3"/>
  <c r="O54" i="3"/>
  <c r="O70" i="3"/>
  <c r="O61" i="3"/>
  <c r="P42" i="3"/>
  <c r="O16" i="3"/>
  <c r="O53" i="3"/>
  <c r="P52" i="3"/>
  <c r="O19" i="3"/>
  <c r="P61" i="3"/>
  <c r="O55" i="3"/>
  <c r="O42" i="3"/>
  <c r="P21" i="3"/>
  <c r="P30" i="3"/>
  <c r="O47" i="3"/>
  <c r="P53" i="3"/>
  <c r="O86" i="3"/>
  <c r="O72" i="3"/>
  <c r="O18" i="3"/>
  <c r="P49" i="3"/>
  <c r="P33" i="3"/>
  <c r="P10" i="3"/>
  <c r="P35" i="3"/>
  <c r="P63" i="3"/>
  <c r="O14" i="3"/>
  <c r="P72" i="3"/>
  <c r="O32" i="3"/>
  <c r="O49" i="3"/>
  <c r="O33" i="3"/>
  <c r="P18" i="3"/>
  <c r="O10" i="3"/>
  <c r="O35" i="3"/>
  <c r="P46" i="3"/>
  <c r="P82" i="3"/>
  <c r="P65" i="3"/>
  <c r="P87" i="3"/>
  <c r="P3" i="3"/>
  <c r="P62" i="3"/>
  <c r="P86" i="3"/>
  <c r="P74" i="3"/>
  <c r="P26" i="3"/>
  <c r="O48" i="3"/>
  <c r="P54" i="3"/>
  <c r="P38" i="3"/>
  <c r="O20" i="3"/>
  <c r="O52" i="3"/>
  <c r="P27" i="3"/>
  <c r="O63" i="3"/>
  <c r="O30" i="3"/>
  <c r="O82" i="3"/>
  <c r="P50" i="3"/>
  <c r="P29" i="3"/>
  <c r="P51" i="3"/>
  <c r="P6" i="3"/>
  <c r="P59" i="3"/>
  <c r="P66" i="3"/>
  <c r="O29" i="3"/>
  <c r="O51" i="3"/>
  <c r="O68" i="3"/>
  <c r="O59" i="3"/>
  <c r="O4" i="3"/>
  <c r="P43" i="3"/>
  <c r="P47" i="3"/>
  <c r="O64" i="3"/>
  <c r="P20" i="3"/>
  <c r="O39" i="3"/>
  <c r="O6" i="3"/>
  <c r="O27" i="3"/>
  <c r="P36" i="3"/>
  <c r="P83" i="3"/>
  <c r="O3" i="3"/>
  <c r="O46" i="3"/>
  <c r="O65" i="3"/>
  <c r="O62" i="3"/>
  <c r="O23" i="3"/>
  <c r="P14" i="3"/>
  <c r="P45" i="3"/>
  <c r="O74" i="3"/>
  <c r="P11" i="3"/>
  <c r="O26" i="3"/>
  <c r="O43" i="3"/>
  <c r="O38" i="3"/>
  <c r="P13" i="3"/>
  <c r="P19" i="3"/>
  <c r="O50" i="3"/>
  <c r="O21" i="3"/>
  <c r="P37" i="3"/>
  <c r="O22" i="3"/>
  <c r="P68" i="3"/>
  <c r="P70" i="3"/>
  <c r="O66" i="3"/>
  <c r="P22" i="3"/>
  <c r="P24" i="3"/>
  <c r="P17" i="3"/>
  <c r="P85" i="3"/>
  <c r="P71" i="3"/>
  <c r="P84" i="3"/>
  <c r="O77" i="3"/>
  <c r="Q42" i="3"/>
  <c r="O78" i="3"/>
  <c r="P41" i="3"/>
  <c r="P12" i="3"/>
  <c r="P77" i="3"/>
  <c r="M108" i="3"/>
  <c r="Q4" i="3"/>
  <c r="Q64" i="3"/>
  <c r="Q14" i="3"/>
  <c r="Q6" i="3"/>
  <c r="Q11" i="3"/>
  <c r="Q36" i="3"/>
  <c r="Q29" i="3"/>
  <c r="Q86" i="3"/>
  <c r="Q55" i="3"/>
  <c r="Q83" i="3"/>
  <c r="Q66" i="3"/>
  <c r="Q32" i="3"/>
  <c r="Q73" i="3"/>
  <c r="Q13" i="3"/>
  <c r="Q87" i="3"/>
  <c r="Q74" i="3"/>
  <c r="Q61" i="3"/>
  <c r="Q79" i="3"/>
  <c r="Q7" i="3"/>
  <c r="Q27" i="3"/>
  <c r="Q17" i="3"/>
  <c r="Q52" i="3"/>
  <c r="Q18" i="3"/>
  <c r="Q81" i="3"/>
  <c r="Q77" i="3"/>
  <c r="Q68" i="3"/>
  <c r="Q76" i="3"/>
  <c r="Q3" i="3"/>
  <c r="Q85" i="3"/>
  <c r="Q80" i="3"/>
  <c r="Q63" i="3"/>
  <c r="Q53" i="3"/>
  <c r="Q23" i="3"/>
  <c r="Q50" i="3"/>
  <c r="Q20" i="3"/>
  <c r="Q46" i="3"/>
  <c r="Q75" i="3"/>
  <c r="Q22" i="3"/>
  <c r="Q69" i="3"/>
  <c r="Q21" i="3"/>
  <c r="Q84" i="3"/>
  <c r="Q62" i="3"/>
  <c r="Q45" i="3"/>
  <c r="Q34" i="3"/>
  <c r="Q2" i="3"/>
  <c r="Q28" i="3"/>
  <c r="Q60" i="3"/>
  <c r="Q44" i="3"/>
  <c r="Q57" i="3"/>
  <c r="Q37" i="3"/>
  <c r="Q88" i="3"/>
  <c r="Q25" i="3"/>
  <c r="Q12" i="3"/>
  <c r="Q78" i="3"/>
  <c r="Q43" i="3"/>
  <c r="Q70" i="3"/>
  <c r="Q71" i="3"/>
  <c r="Q67" i="3"/>
  <c r="Q72" i="3"/>
  <c r="Q9" i="3"/>
  <c r="Q5" i="3"/>
  <c r="Q82" i="3"/>
  <c r="Q39" i="3"/>
  <c r="Q59" i="3"/>
  <c r="Q41" i="3"/>
  <c r="Q48" i="3"/>
  <c r="Q38" i="3"/>
  <c r="Q16" i="3"/>
  <c r="Q30" i="3"/>
  <c r="Q58" i="3"/>
  <c r="Q54" i="3"/>
  <c r="P78" i="3"/>
  <c r="O41" i="3"/>
  <c r="Q8" i="3"/>
  <c r="O12" i="3"/>
  <c r="O9" i="3"/>
  <c r="O5" i="3"/>
  <c r="O67" i="3"/>
  <c r="O80" i="3"/>
  <c r="O88" i="3"/>
  <c r="P31" i="3"/>
  <c r="O76" i="3"/>
  <c r="P9" i="3"/>
  <c r="P5" i="3"/>
  <c r="P67" i="3"/>
  <c r="P80" i="3"/>
  <c r="P88" i="3"/>
  <c r="O31" i="3"/>
  <c r="P76" i="3"/>
  <c r="Q40" i="3"/>
  <c r="P58" i="3"/>
  <c r="O81" i="3"/>
  <c r="P60" i="3"/>
  <c r="Q56" i="3"/>
  <c r="Q51" i="3"/>
  <c r="O73" i="3"/>
  <c r="O40" i="3"/>
  <c r="N114" i="3"/>
  <c r="N115" i="3" s="1"/>
  <c r="N117" i="3" s="1"/>
  <c r="Q49" i="3"/>
  <c r="Q35" i="3"/>
  <c r="P81" i="3"/>
  <c r="O60" i="3"/>
  <c r="Q65" i="3"/>
  <c r="P69" i="3"/>
  <c r="P73" i="3"/>
  <c r="Q26" i="3"/>
  <c r="O6" i="2"/>
  <c r="Q6" i="2"/>
  <c r="Q22" i="2"/>
  <c r="Q25" i="2"/>
  <c r="Q28" i="2"/>
  <c r="Q31" i="2"/>
  <c r="Q34" i="2"/>
  <c r="Q37" i="2"/>
  <c r="Q40" i="2"/>
  <c r="Q43" i="2"/>
  <c r="Q46" i="2"/>
  <c r="Q49" i="2"/>
  <c r="Q52" i="2"/>
  <c r="Q55" i="2"/>
  <c r="Q58" i="2"/>
  <c r="Q61" i="2"/>
  <c r="Q64" i="2"/>
  <c r="Q67" i="2"/>
  <c r="Q70" i="2"/>
  <c r="Q73" i="2"/>
  <c r="Q76" i="2"/>
  <c r="Q79" i="2"/>
  <c r="Q82" i="2"/>
  <c r="Q85" i="2"/>
  <c r="Q88" i="2"/>
  <c r="Q75" i="2"/>
  <c r="Q56" i="2"/>
  <c r="Q48" i="2"/>
  <c r="Q72" i="2"/>
  <c r="Q47" i="2"/>
  <c r="Q45" i="2"/>
  <c r="Q44" i="2"/>
  <c r="Q42" i="2"/>
  <c r="Q39" i="2"/>
  <c r="Q69" i="2"/>
  <c r="Q63" i="2"/>
  <c r="Q57" i="2"/>
  <c r="Q50" i="2"/>
  <c r="Q32" i="2"/>
  <c r="Q30" i="2"/>
  <c r="Q83" i="2"/>
  <c r="Q24" i="2"/>
  <c r="Q84" i="2"/>
  <c r="Q23" i="2"/>
  <c r="Q20" i="2"/>
  <c r="Q21" i="2"/>
  <c r="Q74" i="2"/>
  <c r="Q54" i="2"/>
  <c r="Q38" i="2"/>
  <c r="Q35" i="2"/>
  <c r="Q80" i="2"/>
  <c r="Q53" i="2"/>
  <c r="Q29" i="2"/>
  <c r="Q27" i="2"/>
  <c r="Q87" i="2"/>
  <c r="Q68" i="2"/>
  <c r="Q26" i="2"/>
  <c r="Q86" i="2"/>
  <c r="Q65" i="2"/>
  <c r="Q89" i="2"/>
  <c r="Q62" i="2"/>
  <c r="Q71" i="2"/>
  <c r="Q81" i="2"/>
  <c r="Q36" i="2"/>
  <c r="Q60" i="2"/>
  <c r="Q33" i="2"/>
  <c r="Q77" i="2"/>
  <c r="Q78" i="2"/>
  <c r="Q59" i="2"/>
  <c r="Q51" i="2"/>
  <c r="Q66" i="2"/>
  <c r="Q41" i="2"/>
  <c r="O10" i="2"/>
  <c r="P22" i="2"/>
  <c r="P25" i="2"/>
  <c r="P28" i="2"/>
  <c r="P31" i="2"/>
  <c r="P34" i="2"/>
  <c r="P37" i="2"/>
  <c r="P40" i="2"/>
  <c r="P43" i="2"/>
  <c r="P46" i="2"/>
  <c r="P49" i="2"/>
  <c r="P52" i="2"/>
  <c r="P55" i="2"/>
  <c r="P58" i="2"/>
  <c r="P61" i="2"/>
  <c r="P64" i="2"/>
  <c r="P67" i="2"/>
  <c r="P70" i="2"/>
  <c r="P73" i="2"/>
  <c r="P76" i="2"/>
  <c r="P79" i="2"/>
  <c r="P82" i="2"/>
  <c r="P85" i="2"/>
  <c r="P88" i="2"/>
  <c r="O28" i="2"/>
  <c r="O40" i="2"/>
  <c r="O52" i="2"/>
  <c r="O64" i="2"/>
  <c r="O76" i="2"/>
  <c r="O88" i="2"/>
  <c r="O25" i="2"/>
  <c r="O37" i="2"/>
  <c r="O49" i="2"/>
  <c r="O61" i="2"/>
  <c r="O73" i="2"/>
  <c r="O85" i="2"/>
  <c r="O22" i="2"/>
  <c r="O34" i="2"/>
  <c r="O46" i="2"/>
  <c r="O58" i="2"/>
  <c r="O70" i="2"/>
  <c r="O82" i="2"/>
  <c r="O31" i="2"/>
  <c r="O43" i="2"/>
  <c r="O55" i="2"/>
  <c r="O67" i="2"/>
  <c r="O79" i="2"/>
  <c r="P84" i="2"/>
  <c r="O66" i="2"/>
  <c r="P81" i="2"/>
  <c r="P39" i="2"/>
  <c r="O83" i="2"/>
  <c r="O47" i="2"/>
  <c r="P83" i="2"/>
  <c r="P47" i="2"/>
  <c r="P57" i="2"/>
  <c r="O48" i="2"/>
  <c r="P69" i="2"/>
  <c r="P36" i="2"/>
  <c r="O44" i="2"/>
  <c r="P80" i="2"/>
  <c r="P60" i="2"/>
  <c r="O20" i="2"/>
  <c r="P77" i="2"/>
  <c r="O30" i="2"/>
  <c r="P30" i="2"/>
  <c r="O74" i="2"/>
  <c r="P74" i="2"/>
  <c r="O57" i="2"/>
  <c r="O41" i="2"/>
  <c r="O45" i="2"/>
  <c r="O81" i="2"/>
  <c r="P24" i="2"/>
  <c r="P32" i="2"/>
  <c r="O51" i="2"/>
  <c r="O36" i="2"/>
  <c r="O21" i="2"/>
  <c r="O65" i="2"/>
  <c r="O29" i="2"/>
  <c r="P65" i="2"/>
  <c r="P29" i="2"/>
  <c r="O75" i="2"/>
  <c r="O23" i="2"/>
  <c r="P45" i="2"/>
  <c r="O89" i="2"/>
  <c r="P89" i="2"/>
  <c r="O33" i="2"/>
  <c r="P71" i="2"/>
  <c r="O60" i="2"/>
  <c r="O78" i="2"/>
  <c r="O39" i="2"/>
  <c r="O24" i="2"/>
  <c r="P54" i="2"/>
  <c r="O62" i="2"/>
  <c r="O26" i="2"/>
  <c r="P62" i="2"/>
  <c r="P26" i="2"/>
  <c r="O72" i="2"/>
  <c r="O27" i="2"/>
  <c r="P51" i="2"/>
  <c r="O59" i="2"/>
  <c r="P59" i="2"/>
  <c r="P23" i="2"/>
  <c r="O69" i="2"/>
  <c r="O56" i="2"/>
  <c r="P20" i="2"/>
  <c r="O53" i="2"/>
  <c r="P53" i="2"/>
  <c r="P66" i="2"/>
  <c r="P75" i="2"/>
  <c r="O35" i="2"/>
  <c r="O63" i="2"/>
  <c r="P68" i="2"/>
  <c r="P48" i="2"/>
  <c r="P56" i="2"/>
  <c r="P27" i="2"/>
  <c r="O32" i="2"/>
  <c r="P78" i="2"/>
  <c r="P42" i="2"/>
  <c r="O86" i="2"/>
  <c r="O50" i="2"/>
  <c r="P86" i="2"/>
  <c r="P50" i="2"/>
  <c r="P63" i="2"/>
  <c r="O54" i="2"/>
  <c r="O80" i="2"/>
  <c r="P44" i="2"/>
  <c r="O42" i="2"/>
  <c r="P33" i="2"/>
  <c r="O77" i="2"/>
  <c r="P41" i="2"/>
  <c r="O87" i="2"/>
  <c r="P87" i="2"/>
  <c r="O38" i="2"/>
  <c r="P38" i="2"/>
  <c r="O84" i="2"/>
  <c r="P72" i="2"/>
  <c r="O71" i="2"/>
  <c r="P35" i="2"/>
  <c r="P21" i="2"/>
  <c r="O68" i="2"/>
  <c r="N115" i="2"/>
  <c r="N117" i="2" s="1"/>
  <c r="Q10" i="2"/>
  <c r="O13" i="2"/>
  <c r="Q2" i="2"/>
  <c r="Q12" i="2"/>
  <c r="O2" i="2"/>
  <c r="O12" i="2"/>
  <c r="P12" i="2"/>
  <c r="Q17" i="2"/>
  <c r="P9" i="2"/>
  <c r="P18" i="2"/>
  <c r="Q18" i="2"/>
  <c r="Q4" i="2"/>
  <c r="Q19" i="2"/>
  <c r="Q3" i="2"/>
  <c r="Q7" i="2"/>
  <c r="Q13" i="2"/>
  <c r="Q11" i="2"/>
  <c r="Q5" i="2"/>
  <c r="L107" i="2"/>
  <c r="Q14" i="2"/>
  <c r="M109" i="2"/>
  <c r="Q15" i="2"/>
  <c r="P14" i="2"/>
  <c r="Q16" i="2"/>
  <c r="Q8" i="2"/>
  <c r="Q9" i="2"/>
  <c r="O9" i="2"/>
  <c r="O5" i="2"/>
  <c r="O7" i="2"/>
  <c r="P10" i="2"/>
  <c r="P15" i="2"/>
  <c r="P5" i="2"/>
  <c r="O16" i="2"/>
  <c r="P19" i="2"/>
  <c r="O14" i="2"/>
  <c r="O19" i="2"/>
  <c r="P7" i="2"/>
  <c r="O8" i="2"/>
  <c r="P11" i="2"/>
  <c r="P2" i="2"/>
  <c r="O15" i="2"/>
  <c r="M108" i="2"/>
  <c r="P8" i="2"/>
  <c r="P6" i="2"/>
  <c r="P4" i="2"/>
  <c r="P3" i="2"/>
  <c r="P17" i="2"/>
  <c r="O3" i="2"/>
  <c r="O18" i="2"/>
  <c r="P13" i="2"/>
  <c r="P16" i="2"/>
  <c r="O4" i="2"/>
  <c r="O17" i="2"/>
  <c r="O11" i="2"/>
  <c r="M111" i="4" l="1"/>
  <c r="M112" i="4" s="1"/>
  <c r="P103" i="4"/>
  <c r="Q104" i="4"/>
  <c r="O102" i="2"/>
  <c r="Q104" i="2"/>
  <c r="P103" i="2"/>
  <c r="O102" i="3"/>
  <c r="O106" i="3" s="1"/>
  <c r="P103" i="3"/>
  <c r="M111" i="3"/>
  <c r="M112" i="3" s="1"/>
  <c r="Q104" i="3"/>
  <c r="P107" i="3" s="1"/>
  <c r="P107" i="2"/>
  <c r="M111" i="2"/>
  <c r="M112" i="2" s="1"/>
  <c r="O106" i="2"/>
  <c r="P106" i="2"/>
  <c r="Q125" i="4" l="1"/>
  <c r="N122" i="4"/>
  <c r="Q120" i="3"/>
  <c r="N122" i="3" s="1"/>
  <c r="N124" i="3" s="1"/>
  <c r="Q122" i="3"/>
  <c r="Q126" i="3" s="1"/>
  <c r="O107" i="3"/>
  <c r="P106" i="3"/>
  <c r="O109" i="3" s="1" a="1"/>
  <c r="O110" i="3" s="1"/>
  <c r="Q121" i="3"/>
  <c r="Q125" i="3" s="1"/>
  <c r="Q112" i="3"/>
  <c r="Q120" i="2"/>
  <c r="N122" i="2" s="1"/>
  <c r="O107" i="2"/>
  <c r="O109" i="2" s="1" a="1"/>
  <c r="P110" i="2" s="1"/>
  <c r="Q112" i="2"/>
  <c r="Q114" i="2" s="1"/>
  <c r="Q122" i="2"/>
  <c r="Q121" i="2"/>
  <c r="Q125" i="2" s="1"/>
  <c r="N124" i="4" l="1"/>
  <c r="N123" i="4"/>
  <c r="Q127" i="4"/>
  <c r="P127" i="4" s="1"/>
  <c r="Q124" i="4"/>
  <c r="Q126" i="4"/>
  <c r="O109" i="4" a="1"/>
  <c r="Q124" i="3"/>
  <c r="N123" i="3"/>
  <c r="Q127" i="3"/>
  <c r="P127" i="3" s="1"/>
  <c r="P110" i="3"/>
  <c r="O109" i="3"/>
  <c r="P109" i="3"/>
  <c r="Q114" i="3"/>
  <c r="Q113" i="3"/>
  <c r="Q113" i="2"/>
  <c r="Q115" i="2" s="1"/>
  <c r="Q117" i="2" s="1"/>
  <c r="Q127" i="2"/>
  <c r="P127" i="2" s="1"/>
  <c r="Q124" i="2"/>
  <c r="Q126" i="2"/>
  <c r="O109" i="2"/>
  <c r="O110" i="2"/>
  <c r="P109" i="2"/>
  <c r="N123" i="2"/>
  <c r="N124" i="2"/>
  <c r="Q129" i="4" l="1"/>
  <c r="Q132" i="4" s="1"/>
  <c r="Q134" i="4" s="1"/>
  <c r="Q117" i="4"/>
  <c r="O109" i="4"/>
  <c r="P109" i="4"/>
  <c r="O110" i="4"/>
  <c r="P110" i="4"/>
  <c r="P128" i="4"/>
  <c r="Q136" i="4" s="1"/>
  <c r="Q128" i="4"/>
  <c r="Q131" i="4" s="1"/>
  <c r="Q133" i="4" s="1"/>
  <c r="P129" i="4"/>
  <c r="Q143" i="4" s="1"/>
  <c r="P129" i="3"/>
  <c r="Q143" i="3" s="1"/>
  <c r="Q128" i="3"/>
  <c r="Q131" i="3" s="1"/>
  <c r="Q133" i="3" s="1"/>
  <c r="P128" i="3"/>
  <c r="Q136" i="3" s="1"/>
  <c r="Q129" i="3"/>
  <c r="Q132" i="3" s="1"/>
  <c r="Q134" i="3" s="1"/>
  <c r="Q115" i="3"/>
  <c r="Q144" i="3"/>
  <c r="Q137" i="3"/>
  <c r="Q138" i="3" s="1"/>
  <c r="Q139" i="3" s="1"/>
  <c r="Q140" i="3" s="1"/>
  <c r="Q141" i="3" s="1"/>
  <c r="Q129" i="2"/>
  <c r="Q132" i="2" s="1"/>
  <c r="Q134" i="2" s="1"/>
  <c r="Q116" i="2"/>
  <c r="Q128" i="2"/>
  <c r="Q131" i="2" s="1"/>
  <c r="Q133" i="2" s="1"/>
  <c r="P129" i="2"/>
  <c r="Q143" i="2" s="1"/>
  <c r="P128" i="2"/>
  <c r="Q136" i="2" s="1"/>
  <c r="Q144" i="4" l="1"/>
  <c r="Q145" i="4" s="1"/>
  <c r="Q146" i="4" s="1"/>
  <c r="Q147" i="4" s="1"/>
  <c r="Q148" i="4" s="1"/>
  <c r="Q137" i="4"/>
  <c r="Q138" i="4" s="1"/>
  <c r="Q139" i="4" s="1"/>
  <c r="Q140" i="4" s="1"/>
  <c r="Q141" i="4" s="1"/>
  <c r="Q145" i="3"/>
  <c r="Q146" i="3" s="1"/>
  <c r="Q147" i="3" s="1"/>
  <c r="Q148" i="3" s="1"/>
  <c r="Q117" i="3"/>
  <c r="Q116" i="3"/>
  <c r="Q144" i="2"/>
  <c r="Q145" i="2" s="1"/>
  <c r="Q146" i="2" s="1"/>
  <c r="Q147" i="2" s="1"/>
  <c r="Q148" i="2" s="1"/>
  <c r="Q137" i="2"/>
  <c r="Q138" i="2" s="1"/>
  <c r="Q139" i="2" s="1"/>
  <c r="Q140" i="2" s="1"/>
  <c r="Q141" i="2" s="1"/>
</calcChain>
</file>

<file path=xl/sharedStrings.xml><?xml version="1.0" encoding="utf-8"?>
<sst xmlns="http://schemas.openxmlformats.org/spreadsheetml/2006/main" count="666" uniqueCount="155">
  <si>
    <t>sID</t>
  </si>
  <si>
    <t>Gp</t>
  </si>
  <si>
    <t>A24h</t>
  </si>
  <si>
    <t>Phi24h</t>
  </si>
  <si>
    <t>HR014a2D</t>
  </si>
  <si>
    <t>1L</t>
  </si>
  <si>
    <t>HR014b2D</t>
  </si>
  <si>
    <t>HR015a2D</t>
  </si>
  <si>
    <t>HR015b2D</t>
  </si>
  <si>
    <t>HR018a2D</t>
  </si>
  <si>
    <t>HR018b2D</t>
  </si>
  <si>
    <t>HR032a2D</t>
  </si>
  <si>
    <t>HR032b2D</t>
  </si>
  <si>
    <t>HR035a2D</t>
  </si>
  <si>
    <t>HR035b2D</t>
  </si>
  <si>
    <t>HR042a2D</t>
  </si>
  <si>
    <t>HR042b2D</t>
  </si>
  <si>
    <t>HR043a2D</t>
  </si>
  <si>
    <t>HR043b2D</t>
  </si>
  <si>
    <t>HR047a2D</t>
  </si>
  <si>
    <t>HR047b2D</t>
  </si>
  <si>
    <t>HR055a2D</t>
  </si>
  <si>
    <t>HR055b2D</t>
  </si>
  <si>
    <t>HR004a2D</t>
  </si>
  <si>
    <t>2M</t>
  </si>
  <si>
    <t>HR004b2D</t>
  </si>
  <si>
    <t>HR011a2D</t>
  </si>
  <si>
    <t>HR011b2D</t>
  </si>
  <si>
    <t>HR016a2D</t>
  </si>
  <si>
    <t>HR016b2D</t>
  </si>
  <si>
    <t>HR024a2D</t>
  </si>
  <si>
    <t>HR024b2D</t>
  </si>
  <si>
    <t>HR026a2D</t>
  </si>
  <si>
    <t>HR026b2D</t>
  </si>
  <si>
    <t>HR027a2D</t>
  </si>
  <si>
    <t>HR027b2D</t>
  </si>
  <si>
    <t>HR029a2D</t>
  </si>
  <si>
    <t>HR029b2D</t>
  </si>
  <si>
    <t>HR030a2D</t>
  </si>
  <si>
    <t>HR030b2D</t>
  </si>
  <si>
    <t>HR031a2D</t>
  </si>
  <si>
    <t>HR031b2D</t>
  </si>
  <si>
    <t>HR033a2D</t>
  </si>
  <si>
    <t>HR033b2D</t>
  </si>
  <si>
    <t>HR038a2D</t>
  </si>
  <si>
    <t>HR038b2D</t>
  </si>
  <si>
    <t>HR039a2D</t>
  </si>
  <si>
    <t>HR039b2D</t>
  </si>
  <si>
    <t>HR040a2D</t>
  </si>
  <si>
    <t>HR040b2D</t>
  </si>
  <si>
    <t>HR045a2D</t>
  </si>
  <si>
    <t>HR045b2D</t>
  </si>
  <si>
    <t>HR046a2D</t>
  </si>
  <si>
    <t>HR046b2D</t>
  </si>
  <si>
    <t>HR051a2D</t>
  </si>
  <si>
    <t>HR051b2D</t>
  </si>
  <si>
    <t>HR052a2D</t>
  </si>
  <si>
    <t>HR052b2D</t>
  </si>
  <si>
    <t>HR054a2D</t>
  </si>
  <si>
    <t>HR054b2D</t>
  </si>
  <si>
    <t>HR001b2D</t>
  </si>
  <si>
    <t>3H</t>
  </si>
  <si>
    <t>HR003a2D</t>
  </si>
  <si>
    <t>HR003b2D</t>
  </si>
  <si>
    <t>HR006a2D</t>
  </si>
  <si>
    <t>HR006b2D</t>
  </si>
  <si>
    <t>HR007a2D</t>
  </si>
  <si>
    <t>HR007b2D</t>
  </si>
  <si>
    <t>HR009a2D</t>
  </si>
  <si>
    <t>HR009b2D</t>
  </si>
  <si>
    <t>HR012a2D</t>
  </si>
  <si>
    <t>HR012b2D</t>
  </si>
  <si>
    <t>HR013a2D</t>
  </si>
  <si>
    <t>HR013b2D</t>
  </si>
  <si>
    <t>HR019a2D</t>
  </si>
  <si>
    <t>HR019b2D</t>
  </si>
  <si>
    <t>HR021a2D</t>
  </si>
  <si>
    <t>HR021b2D</t>
  </si>
  <si>
    <t>HR022a2D</t>
  </si>
  <si>
    <t>HR022b2D</t>
  </si>
  <si>
    <t>HR023a2D</t>
  </si>
  <si>
    <t>HR023b2D</t>
  </si>
  <si>
    <t>HR025a2D</t>
  </si>
  <si>
    <t>HR025b2D</t>
  </si>
  <si>
    <t>HR034a2D</t>
  </si>
  <si>
    <t>HR034b2D</t>
  </si>
  <si>
    <t>HR037a2D</t>
  </si>
  <si>
    <t>HR037b2D</t>
  </si>
  <si>
    <t>HR048a2D</t>
  </si>
  <si>
    <t>HR048b2D</t>
  </si>
  <si>
    <t>HR053a2D</t>
  </si>
  <si>
    <t>HR053b2D</t>
  </si>
  <si>
    <t>HR056a2D</t>
  </si>
  <si>
    <t>HR056b2D</t>
  </si>
  <si>
    <t>HR001a2D</t>
  </si>
  <si>
    <t xml:space="preserve">3H </t>
  </si>
  <si>
    <t>N</t>
  </si>
  <si>
    <t>T</t>
  </si>
  <si>
    <t>PR</t>
  </si>
  <si>
    <t>M</t>
  </si>
  <si>
    <t>beta</t>
  </si>
  <si>
    <t>gamma</t>
  </si>
  <si>
    <t>(M-avgeM)^2</t>
  </si>
  <si>
    <t>beta^2</t>
  </si>
  <si>
    <t>beta.gamma</t>
  </si>
  <si>
    <t>gamma^2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</si>
  <si>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(beta)</t>
    </r>
  </si>
  <si>
    <t>s(beta).s(gamma)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</si>
  <si>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(gamma)</t>
    </r>
  </si>
  <si>
    <t>matrix</t>
  </si>
  <si>
    <t>A</t>
  </si>
  <si>
    <t>Phi-wk</t>
  </si>
  <si>
    <t>inverse matrix</t>
  </si>
  <si>
    <t>g</t>
  </si>
  <si>
    <t>k</t>
  </si>
  <si>
    <t>Phi</t>
  </si>
  <si>
    <t>r</t>
  </si>
  <si>
    <t>()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</si>
  <si>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(M)</t>
    </r>
  </si>
  <si>
    <t>mult.</t>
  </si>
  <si>
    <t>SE(M)</t>
  </si>
  <si>
    <t>F</t>
  </si>
  <si>
    <t>t</t>
  </si>
  <si>
    <t>P</t>
  </si>
  <si>
    <t>+/-95%CI(M)</t>
  </si>
  <si>
    <t>c22</t>
  </si>
  <si>
    <t>c23</t>
  </si>
  <si>
    <t>+/-95%CI(A)</t>
  </si>
  <si>
    <t>c33</t>
  </si>
  <si>
    <t>A-CI(A)</t>
  </si>
  <si>
    <t>A+CI(A)</t>
  </si>
  <si>
    <t>den</t>
  </si>
  <si>
    <t>num1</t>
  </si>
  <si>
    <t>num2</t>
  </si>
  <si>
    <t>sqrt(num3)</t>
  </si>
  <si>
    <t>num3</t>
  </si>
  <si>
    <t>arg1</t>
  </si>
  <si>
    <t>()+</t>
  </si>
  <si>
    <t>arg2</t>
  </si>
  <si>
    <t>()-</t>
  </si>
  <si>
    <t>CI(phi)+</t>
  </si>
  <si>
    <t>CI(phi)-</t>
  </si>
  <si>
    <t>fi1</t>
  </si>
  <si>
    <t>xt1</t>
  </si>
  <si>
    <t>angle1</t>
  </si>
  <si>
    <t>angle1=f1</t>
  </si>
  <si>
    <t>f2</t>
  </si>
  <si>
    <t>xt2</t>
  </si>
  <si>
    <t>angle2</t>
  </si>
  <si>
    <t>angle2=f2</t>
  </si>
  <si>
    <t>M(24h)</t>
  </si>
  <si>
    <t>PR(24h)</t>
  </si>
  <si>
    <t>BW(1st meast)</t>
  </si>
  <si>
    <t>cPID</t>
  </si>
  <si>
    <t>SD(M)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</si>
</sst>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quotePrefix="1"/>
    <xf numFmtId="16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56B8-F2AF-4CA1-B687-37D28DAE5AB1}">
  <dimension ref="A1:S148"/>
  <sheetViews>
    <sheetView tabSelected="1" topLeftCell="A97" zoomScale="148" zoomScaleNormal="148" workbookViewId="0">
      <selection activeCell="S120" sqref="S120:S122"/>
    </sheetView>
  </sheetViews>
  <sheetFormatPr baseColWidth="10" defaultColWidth="8.83203125" defaultRowHeight="15" x14ac:dyDescent="0.2"/>
  <cols>
    <col min="1" max="1" width="10.5" style="1" customWidth="1"/>
    <col min="2" max="2" width="6.6640625" style="2" customWidth="1"/>
    <col min="3" max="4" width="8.83203125" style="3"/>
    <col min="5" max="5" width="7.5" style="2" customWidth="1"/>
    <col min="6" max="6" width="7.5" style="3" customWidth="1"/>
    <col min="7" max="7" width="1.83203125" customWidth="1"/>
    <col min="8" max="8" width="6.83203125" customWidth="1"/>
    <col min="9" max="9" width="5" style="1" customWidth="1"/>
    <col min="10" max="10" width="7.1640625" style="1" customWidth="1"/>
    <col min="11" max="11" width="9" style="1" customWidth="1"/>
    <col min="12" max="14" width="8.83203125" style="3"/>
    <col min="15" max="16" width="8.83203125" style="3" customWidth="1"/>
    <col min="17" max="17" width="13" style="3" customWidth="1"/>
  </cols>
  <sheetData>
    <row r="1" spans="1:17" x14ac:dyDescent="0.2">
      <c r="A1" s="1" t="s">
        <v>153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2">
      <c r="A2" s="1" t="s">
        <v>94</v>
      </c>
      <c r="B2" s="2">
        <v>2</v>
      </c>
      <c r="C2" s="3">
        <v>137.47479798519399</v>
      </c>
      <c r="D2" s="3">
        <v>2.37971550859903</v>
      </c>
      <c r="E2" s="2">
        <v>-34.045637242141801</v>
      </c>
      <c r="F2" s="3">
        <f>E2*PI()/180</f>
        <v>-0.59420846581497644</v>
      </c>
      <c r="I2" s="1">
        <v>1</v>
      </c>
      <c r="J2" s="2">
        <f>B2</f>
        <v>2</v>
      </c>
      <c r="K2" s="2">
        <f>C2</f>
        <v>137.47479798519399</v>
      </c>
      <c r="L2" s="3">
        <f>D2*COS(F2)</f>
        <v>1.9718129975971697</v>
      </c>
      <c r="M2" s="3">
        <f>-D2*SIN(F2)</f>
        <v>1.3322910359128008</v>
      </c>
      <c r="N2" s="3">
        <f t="shared" ref="N2:N65" si="0">(C2-K$104)^2</f>
        <v>0.96990509603170005</v>
      </c>
      <c r="O2" s="3">
        <f t="shared" ref="O2:O65" si="1">(L2-L$105)^2</f>
        <v>2.1452529043611803</v>
      </c>
      <c r="P2" s="3">
        <f t="shared" ref="P2:P65" si="2">(L2-L$105)*(M2-M$106)</f>
        <v>1.6804061613475056</v>
      </c>
      <c r="Q2" s="3">
        <f t="shared" ref="Q2:Q65" si="3">(M2-M$106)^2</f>
        <v>1.316285302005233</v>
      </c>
    </row>
    <row r="3" spans="1:17" x14ac:dyDescent="0.2">
      <c r="A3" s="1" t="s">
        <v>60</v>
      </c>
      <c r="B3" s="2">
        <v>12</v>
      </c>
      <c r="C3" s="3">
        <v>138.852427705358</v>
      </c>
      <c r="D3" s="3">
        <v>9.0648369559164799</v>
      </c>
      <c r="E3" s="2">
        <v>-61.177030209725899</v>
      </c>
      <c r="F3" s="3">
        <f t="shared" ref="F3:F66" si="4">E3*PI()/180</f>
        <v>-1.0677406037517541</v>
      </c>
      <c r="I3" s="1">
        <v>2</v>
      </c>
      <c r="J3" s="2">
        <f>J2+B3</f>
        <v>14</v>
      </c>
      <c r="K3" s="2">
        <f>K2+C3</f>
        <v>276.32722569055198</v>
      </c>
      <c r="L3" s="3">
        <f t="shared" ref="L3:L66" si="5">D3*COS(F3)</f>
        <v>4.3702027255550311</v>
      </c>
      <c r="M3" s="3">
        <f t="shared" ref="M3:M66" si="6">-D3*SIN(F3)</f>
        <v>7.9418258086475646</v>
      </c>
      <c r="N3" s="3">
        <f t="shared" si="0"/>
        <v>5.5812518332246883</v>
      </c>
      <c r="O3" s="3">
        <f t="shared" si="1"/>
        <v>14.923216471070148</v>
      </c>
      <c r="P3" s="3">
        <f t="shared" si="2"/>
        <v>29.965081798300158</v>
      </c>
      <c r="Q3" s="3">
        <f t="shared" si="3"/>
        <v>60.168404641149749</v>
      </c>
    </row>
    <row r="4" spans="1:17" x14ac:dyDescent="0.2">
      <c r="A4" s="1" t="s">
        <v>62</v>
      </c>
      <c r="B4" s="2">
        <v>18</v>
      </c>
      <c r="C4" s="3">
        <v>138.083885250609</v>
      </c>
      <c r="D4" s="3">
        <v>5.9298951239980999</v>
      </c>
      <c r="E4" s="2">
        <v>-5.1445293137927601</v>
      </c>
      <c r="F4" s="3">
        <f t="shared" si="4"/>
        <v>-8.9788974991048195E-2</v>
      </c>
      <c r="I4" s="1">
        <v>3</v>
      </c>
      <c r="J4" s="2">
        <f t="shared" ref="J4:K19" si="7">J3+B4</f>
        <v>32</v>
      </c>
      <c r="K4" s="2">
        <f t="shared" si="7"/>
        <v>414.41111094116098</v>
      </c>
      <c r="L4" s="3">
        <f t="shared" si="5"/>
        <v>5.9060075937974599</v>
      </c>
      <c r="M4" s="3">
        <f t="shared" si="6"/>
        <v>0.53172406718445819</v>
      </c>
      <c r="N4" s="3">
        <f t="shared" si="0"/>
        <v>2.5405964727977266</v>
      </c>
      <c r="O4" s="3">
        <f t="shared" si="1"/>
        <v>29.147719375236537</v>
      </c>
      <c r="P4" s="3">
        <f t="shared" si="2"/>
        <v>1.8719358529040084</v>
      </c>
      <c r="Q4" s="3">
        <f t="shared" si="3"/>
        <v>0.12022017202363094</v>
      </c>
    </row>
    <row r="5" spans="1:17" x14ac:dyDescent="0.2">
      <c r="A5" s="1" t="s">
        <v>63</v>
      </c>
      <c r="B5" s="2">
        <v>22</v>
      </c>
      <c r="C5" s="3">
        <v>148.63136813570301</v>
      </c>
      <c r="D5" s="3">
        <v>4.9808663072690296</v>
      </c>
      <c r="E5" s="2">
        <v>-355.64419449616003</v>
      </c>
      <c r="F5" s="3">
        <f t="shared" si="4"/>
        <v>-6.2071621595610891</v>
      </c>
      <c r="I5" s="1">
        <v>4</v>
      </c>
      <c r="J5" s="2">
        <f t="shared" si="7"/>
        <v>54</v>
      </c>
      <c r="K5" s="2">
        <f t="shared" si="7"/>
        <v>563.04247907686397</v>
      </c>
      <c r="L5" s="3">
        <f t="shared" si="5"/>
        <v>4.9664797325641095</v>
      </c>
      <c r="M5" s="3">
        <f t="shared" si="6"/>
        <v>-0.37829649339869387</v>
      </c>
      <c r="N5" s="3">
        <f t="shared" si="0"/>
        <v>147.41378213524695</v>
      </c>
      <c r="O5" s="3">
        <f t="shared" si="1"/>
        <v>19.885667965611127</v>
      </c>
      <c r="P5" s="3">
        <f t="shared" si="2"/>
        <v>-2.5119110493591101</v>
      </c>
      <c r="Q5" s="3">
        <f t="shared" si="3"/>
        <v>0.31729872643976209</v>
      </c>
    </row>
    <row r="6" spans="1:17" x14ac:dyDescent="0.2">
      <c r="A6" s="1" t="s">
        <v>23</v>
      </c>
      <c r="B6" s="2">
        <v>9</v>
      </c>
      <c r="C6" s="3">
        <v>128.45522197669899</v>
      </c>
      <c r="D6" s="3">
        <v>5.2972223601307196</v>
      </c>
      <c r="E6" s="2">
        <v>-154.58781488098001</v>
      </c>
      <c r="F6" s="3">
        <f t="shared" si="4"/>
        <v>-2.6980663531365869</v>
      </c>
      <c r="I6" s="1">
        <v>5</v>
      </c>
      <c r="J6" s="2">
        <f t="shared" si="7"/>
        <v>63</v>
      </c>
      <c r="K6" s="2">
        <f t="shared" si="7"/>
        <v>691.49770105356299</v>
      </c>
      <c r="L6" s="3">
        <f t="shared" si="5"/>
        <v>-4.7846845815422894</v>
      </c>
      <c r="M6" s="3">
        <f t="shared" si="6"/>
        <v>2.2731823921147103</v>
      </c>
      <c r="N6" s="3">
        <f t="shared" si="0"/>
        <v>64.557021312052228</v>
      </c>
      <c r="O6" s="3">
        <f t="shared" si="1"/>
        <v>28.003458292563856</v>
      </c>
      <c r="P6" s="3">
        <f t="shared" si="2"/>
        <v>-11.050324743737296</v>
      </c>
      <c r="Q6" s="3">
        <f t="shared" si="3"/>
        <v>4.360521320842655</v>
      </c>
    </row>
    <row r="7" spans="1:17" x14ac:dyDescent="0.2">
      <c r="A7" s="1" t="s">
        <v>25</v>
      </c>
      <c r="B7" s="2">
        <v>27</v>
      </c>
      <c r="C7" s="3">
        <v>123.651697164013</v>
      </c>
      <c r="D7" s="3">
        <v>9.6494064146046803</v>
      </c>
      <c r="E7" s="2">
        <v>-97.224142439229297</v>
      </c>
      <c r="F7" s="3">
        <f t="shared" si="4"/>
        <v>-1.6968813979925024</v>
      </c>
      <c r="I7" s="1">
        <v>6</v>
      </c>
      <c r="J7" s="2">
        <f t="shared" si="7"/>
        <v>90</v>
      </c>
      <c r="K7" s="2">
        <f t="shared" si="7"/>
        <v>815.14939821757594</v>
      </c>
      <c r="L7" s="3">
        <f t="shared" si="5"/>
        <v>-1.2134250620768918</v>
      </c>
      <c r="M7" s="3">
        <f t="shared" si="6"/>
        <v>9.5728075178046712</v>
      </c>
      <c r="N7" s="3">
        <f t="shared" si="0"/>
        <v>164.82100256685931</v>
      </c>
      <c r="O7" s="3">
        <f t="shared" si="1"/>
        <v>2.960360679292644</v>
      </c>
      <c r="P7" s="3">
        <f t="shared" si="2"/>
        <v>-16.152385199551144</v>
      </c>
      <c r="Q7" s="3">
        <f t="shared" si="3"/>
        <v>88.13100020535974</v>
      </c>
    </row>
    <row r="8" spans="1:17" x14ac:dyDescent="0.2">
      <c r="A8" s="1" t="s">
        <v>64</v>
      </c>
      <c r="B8" s="2">
        <v>8</v>
      </c>
      <c r="C8" s="3">
        <v>135.29489480117201</v>
      </c>
      <c r="D8" s="3">
        <v>4.3398644668385904</v>
      </c>
      <c r="E8" s="2">
        <v>-11.7284851834501</v>
      </c>
      <c r="F8" s="3">
        <f t="shared" si="4"/>
        <v>-0.20470068272257541</v>
      </c>
      <c r="I8" s="1">
        <v>7</v>
      </c>
      <c r="J8" s="2">
        <f t="shared" si="7"/>
        <v>98</v>
      </c>
      <c r="K8" s="2">
        <f t="shared" si="7"/>
        <v>950.44429301874789</v>
      </c>
      <c r="L8" s="3">
        <f t="shared" si="5"/>
        <v>4.249256220256151</v>
      </c>
      <c r="M8" s="3">
        <f t="shared" si="6"/>
        <v>0.88218204761977204</v>
      </c>
      <c r="N8" s="3">
        <f t="shared" si="0"/>
        <v>1.4281817529558058</v>
      </c>
      <c r="O8" s="3">
        <f t="shared" si="1"/>
        <v>14.003397818527031</v>
      </c>
      <c r="P8" s="3">
        <f t="shared" si="2"/>
        <v>2.6089468906594924</v>
      </c>
      <c r="Q8" s="3">
        <f t="shared" si="3"/>
        <v>0.48606802195367449</v>
      </c>
    </row>
    <row r="9" spans="1:17" x14ac:dyDescent="0.2">
      <c r="A9" s="1" t="s">
        <v>65</v>
      </c>
      <c r="B9" s="2">
        <v>31</v>
      </c>
      <c r="C9" s="3">
        <v>131.66132884254901</v>
      </c>
      <c r="D9" s="3">
        <v>12.9134773435539</v>
      </c>
      <c r="E9" s="2">
        <v>-59.140598381431403</v>
      </c>
      <c r="F9" s="3">
        <f t="shared" si="4"/>
        <v>-1.0321981633556072</v>
      </c>
      <c r="I9" s="1">
        <v>8</v>
      </c>
      <c r="J9" s="2">
        <f t="shared" si="7"/>
        <v>129</v>
      </c>
      <c r="K9" s="2">
        <f t="shared" si="7"/>
        <v>1082.1056218612969</v>
      </c>
      <c r="L9" s="3">
        <f t="shared" si="5"/>
        <v>6.6237502172014739</v>
      </c>
      <c r="M9" s="3">
        <f t="shared" si="6"/>
        <v>11.085297928454757</v>
      </c>
      <c r="N9" s="3">
        <f t="shared" si="0"/>
        <v>23.315682586109059</v>
      </c>
      <c r="O9" s="3">
        <f t="shared" si="1"/>
        <v>37.41286172662474</v>
      </c>
      <c r="P9" s="3">
        <f t="shared" si="2"/>
        <v>66.672844140305358</v>
      </c>
      <c r="Q9" s="3">
        <f t="shared" si="3"/>
        <v>118.81657645541691</v>
      </c>
    </row>
    <row r="10" spans="1:17" x14ac:dyDescent="0.2">
      <c r="A10" s="1" t="s">
        <v>66</v>
      </c>
      <c r="B10" s="2">
        <v>9</v>
      </c>
      <c r="C10" s="3">
        <v>130.49263291798599</v>
      </c>
      <c r="D10" s="3">
        <v>6.0790515187917302</v>
      </c>
      <c r="E10" s="2">
        <v>-181.39349987992401</v>
      </c>
      <c r="F10" s="3">
        <f t="shared" si="4"/>
        <v>-3.1659138146206129</v>
      </c>
      <c r="I10" s="1">
        <v>9</v>
      </c>
      <c r="J10" s="2">
        <f t="shared" si="7"/>
        <v>138</v>
      </c>
      <c r="K10" s="2">
        <f t="shared" si="7"/>
        <v>1212.5982547792828</v>
      </c>
      <c r="L10" s="3">
        <f t="shared" si="5"/>
        <v>-6.0772536705617659</v>
      </c>
      <c r="M10" s="3">
        <f t="shared" si="6"/>
        <v>-0.14783501536368884</v>
      </c>
      <c r="N10" s="3">
        <f t="shared" si="0"/>
        <v>35.96793676318989</v>
      </c>
      <c r="O10" s="3">
        <f t="shared" si="1"/>
        <v>43.354303330135849</v>
      </c>
      <c r="P10" s="3">
        <f t="shared" si="2"/>
        <v>2.1914937456514481</v>
      </c>
      <c r="Q10" s="3">
        <f t="shared" si="3"/>
        <v>0.11077665810145922</v>
      </c>
    </row>
    <row r="11" spans="1:17" x14ac:dyDescent="0.2">
      <c r="A11" s="1" t="s">
        <v>67</v>
      </c>
      <c r="B11" s="2">
        <v>7</v>
      </c>
      <c r="C11" s="3">
        <v>128.936055238119</v>
      </c>
      <c r="D11" s="3">
        <v>3.29910640073515</v>
      </c>
      <c r="E11" s="2">
        <v>-209.854736918068</v>
      </c>
      <c r="F11" s="3">
        <f t="shared" si="4"/>
        <v>-3.6626561101267847</v>
      </c>
      <c r="I11" s="1">
        <v>10</v>
      </c>
      <c r="J11" s="2">
        <f t="shared" si="7"/>
        <v>145</v>
      </c>
      <c r="K11" s="2">
        <f t="shared" si="7"/>
        <v>1341.5343100174018</v>
      </c>
      <c r="L11" s="3">
        <f t="shared" si="5"/>
        <v>-2.861282909493839</v>
      </c>
      <c r="M11" s="3">
        <f t="shared" si="6"/>
        <v>-1.6423042212726933</v>
      </c>
      <c r="N11" s="3">
        <f t="shared" si="0"/>
        <v>57.06148298897012</v>
      </c>
      <c r="O11" s="3">
        <f t="shared" si="1"/>
        <v>11.346305290870829</v>
      </c>
      <c r="P11" s="3">
        <f t="shared" si="2"/>
        <v>6.1551295913134094</v>
      </c>
      <c r="Q11" s="3">
        <f t="shared" si="3"/>
        <v>3.3390270501838626</v>
      </c>
    </row>
    <row r="12" spans="1:17" x14ac:dyDescent="0.2">
      <c r="A12" s="1" t="s">
        <v>68</v>
      </c>
      <c r="B12" s="2">
        <v>4</v>
      </c>
      <c r="C12" s="3">
        <v>127.636575859297</v>
      </c>
      <c r="D12" s="3">
        <v>3.3102687540106399</v>
      </c>
      <c r="E12" s="2">
        <v>-153.11712672354301</v>
      </c>
      <c r="F12" s="3">
        <f t="shared" si="4"/>
        <v>-2.6723980025192229</v>
      </c>
      <c r="I12" s="1">
        <v>11</v>
      </c>
      <c r="J12" s="2">
        <f t="shared" si="7"/>
        <v>149</v>
      </c>
      <c r="K12" s="2">
        <f t="shared" si="7"/>
        <v>1469.1708858766988</v>
      </c>
      <c r="L12" s="3">
        <f t="shared" si="5"/>
        <v>-2.95253704849077</v>
      </c>
      <c r="M12" s="3">
        <f t="shared" si="6"/>
        <v>1.4967979827179636</v>
      </c>
      <c r="N12" s="3">
        <f t="shared" si="0"/>
        <v>78.382417584446671</v>
      </c>
      <c r="O12" s="3">
        <f t="shared" si="1"/>
        <v>11.969398551099795</v>
      </c>
      <c r="P12" s="3">
        <f t="shared" si="2"/>
        <v>-4.5384166187096247</v>
      </c>
      <c r="Q12" s="3">
        <f t="shared" si="3"/>
        <v>1.7208237587750097</v>
      </c>
    </row>
    <row r="13" spans="1:17" x14ac:dyDescent="0.2">
      <c r="A13" s="1" t="s">
        <v>69</v>
      </c>
      <c r="B13" s="2">
        <v>18</v>
      </c>
      <c r="C13" s="3">
        <v>136.922342948042</v>
      </c>
      <c r="D13" s="3">
        <v>6.3280210464320197</v>
      </c>
      <c r="E13" s="2">
        <v>-335.60832710470601</v>
      </c>
      <c r="F13" s="3">
        <f t="shared" si="4"/>
        <v>-5.8574703050872481</v>
      </c>
      <c r="I13" s="1">
        <v>12</v>
      </c>
      <c r="J13" s="2">
        <f t="shared" si="7"/>
        <v>167</v>
      </c>
      <c r="K13" s="2">
        <f t="shared" si="7"/>
        <v>1606.0932288247409</v>
      </c>
      <c r="L13" s="3">
        <f t="shared" si="5"/>
        <v>5.7632052374863667</v>
      </c>
      <c r="M13" s="3">
        <f t="shared" si="6"/>
        <v>-2.6132959562009641</v>
      </c>
      <c r="N13" s="3">
        <f t="shared" si="0"/>
        <v>0.1869546796267596</v>
      </c>
      <c r="O13" s="3">
        <f t="shared" si="1"/>
        <v>27.62617123390276</v>
      </c>
      <c r="P13" s="3">
        <f t="shared" si="2"/>
        <v>-14.707992988417967</v>
      </c>
      <c r="Q13" s="3">
        <f t="shared" si="3"/>
        <v>7.8304393292791357</v>
      </c>
    </row>
    <row r="14" spans="1:17" x14ac:dyDescent="0.2">
      <c r="A14" s="1" t="s">
        <v>26</v>
      </c>
      <c r="B14" s="2">
        <v>14</v>
      </c>
      <c r="C14" s="3">
        <v>129.53429546897499</v>
      </c>
      <c r="D14" s="3">
        <v>4.5369774537207599</v>
      </c>
      <c r="E14" s="2">
        <v>-82.631490896767204</v>
      </c>
      <c r="F14" s="3">
        <f t="shared" si="4"/>
        <v>-1.4421915819803095</v>
      </c>
      <c r="I14" s="1">
        <v>13</v>
      </c>
      <c r="J14" s="2">
        <f t="shared" si="7"/>
        <v>181</v>
      </c>
      <c r="K14" s="2">
        <f t="shared" si="7"/>
        <v>1735.6275242937159</v>
      </c>
      <c r="L14" s="3">
        <f t="shared" si="5"/>
        <v>0.58186978578132509</v>
      </c>
      <c r="M14" s="3">
        <f t="shared" si="6"/>
        <v>4.4995101920059373</v>
      </c>
      <c r="N14" s="3">
        <f t="shared" si="0"/>
        <v>48.38127444326124</v>
      </c>
      <c r="O14" s="3">
        <f t="shared" si="1"/>
        <v>5.5838222403062597E-3</v>
      </c>
      <c r="P14" s="3">
        <f t="shared" si="2"/>
        <v>0.322401955828376</v>
      </c>
      <c r="Q14" s="3">
        <f t="shared" si="3"/>
        <v>18.615030466346127</v>
      </c>
    </row>
    <row r="15" spans="1:17" x14ac:dyDescent="0.2">
      <c r="A15" s="1" t="s">
        <v>27</v>
      </c>
      <c r="B15" s="2">
        <v>39</v>
      </c>
      <c r="C15" s="3">
        <v>130.11575391202601</v>
      </c>
      <c r="D15" s="3">
        <v>7.2703191054406098</v>
      </c>
      <c r="E15" s="2">
        <v>-54.397079800496599</v>
      </c>
      <c r="F15" s="3">
        <f t="shared" si="4"/>
        <v>-0.94940814598876577</v>
      </c>
      <c r="I15" s="1">
        <v>14</v>
      </c>
      <c r="J15" s="2">
        <f t="shared" si="7"/>
        <v>220</v>
      </c>
      <c r="K15" s="2">
        <f t="shared" si="7"/>
        <v>1865.7432782057419</v>
      </c>
      <c r="L15" s="3">
        <f t="shared" si="5"/>
        <v>4.2325210382440472</v>
      </c>
      <c r="M15" s="3">
        <f t="shared" si="6"/>
        <v>5.9112862860595987</v>
      </c>
      <c r="N15" s="3">
        <f t="shared" si="0"/>
        <v>40.63050817773518</v>
      </c>
      <c r="O15" s="3">
        <f t="shared" si="1"/>
        <v>13.878428053671012</v>
      </c>
      <c r="P15" s="3">
        <f t="shared" si="2"/>
        <v>21.332584746759348</v>
      </c>
      <c r="Q15" s="3">
        <f t="shared" si="3"/>
        <v>32.790397458399163</v>
      </c>
    </row>
    <row r="16" spans="1:17" x14ac:dyDescent="0.2">
      <c r="A16" s="1" t="s">
        <v>70</v>
      </c>
      <c r="B16" s="2">
        <v>6</v>
      </c>
      <c r="C16" s="3">
        <v>154.72335589818701</v>
      </c>
      <c r="D16" s="3">
        <v>2.1514460746853099</v>
      </c>
      <c r="E16" s="2">
        <v>-327.279620210948</v>
      </c>
      <c r="F16" s="3">
        <f t="shared" si="4"/>
        <v>-5.7121069473576211</v>
      </c>
      <c r="I16" s="1">
        <v>15</v>
      </c>
      <c r="J16" s="2">
        <f t="shared" si="7"/>
        <v>226</v>
      </c>
      <c r="K16" s="2">
        <f t="shared" si="7"/>
        <v>2020.466634103929</v>
      </c>
      <c r="L16" s="3">
        <f t="shared" si="5"/>
        <v>1.8100515312184313</v>
      </c>
      <c r="M16" s="3">
        <f t="shared" si="6"/>
        <v>-1.1629418156608871</v>
      </c>
      <c r="N16" s="3">
        <f t="shared" si="0"/>
        <v>332.45671188987291</v>
      </c>
      <c r="O16" s="3">
        <f t="shared" si="1"/>
        <v>1.6975659282899094</v>
      </c>
      <c r="P16" s="3">
        <f t="shared" si="2"/>
        <v>-1.7562375811546058</v>
      </c>
      <c r="Q16" s="3">
        <f t="shared" si="3"/>
        <v>1.8169370567933747</v>
      </c>
    </row>
    <row r="17" spans="1:17" x14ac:dyDescent="0.2">
      <c r="A17" s="1" t="s">
        <v>71</v>
      </c>
      <c r="B17" s="2">
        <v>20</v>
      </c>
      <c r="C17" s="3">
        <v>150.00460678649199</v>
      </c>
      <c r="D17" s="3">
        <v>7.1277662922582801</v>
      </c>
      <c r="E17" s="2">
        <v>-195.87110505884999</v>
      </c>
      <c r="F17" s="3">
        <f t="shared" si="4"/>
        <v>-3.4185956927966541</v>
      </c>
      <c r="I17" s="1">
        <v>16</v>
      </c>
      <c r="J17" s="2">
        <f t="shared" si="7"/>
        <v>246</v>
      </c>
      <c r="K17" s="2">
        <f t="shared" si="7"/>
        <v>2170.4712408904211</v>
      </c>
      <c r="L17" s="3">
        <f t="shared" si="5"/>
        <v>-6.856051194795536</v>
      </c>
      <c r="M17" s="3">
        <f t="shared" si="6"/>
        <v>-1.9492599445420413</v>
      </c>
      <c r="N17" s="3">
        <f t="shared" si="0"/>
        <v>182.64566731997763</v>
      </c>
      <c r="O17" s="3">
        <f t="shared" si="1"/>
        <v>54.21665538190171</v>
      </c>
      <c r="P17" s="3">
        <f t="shared" si="2"/>
        <v>15.714946757809576</v>
      </c>
      <c r="Q17" s="3">
        <f t="shared" si="3"/>
        <v>4.5550495481731303</v>
      </c>
    </row>
    <row r="18" spans="1:17" x14ac:dyDescent="0.2">
      <c r="A18" s="1" t="s">
        <v>72</v>
      </c>
      <c r="B18" s="2">
        <v>15</v>
      </c>
      <c r="C18" s="3">
        <v>142.471713427791</v>
      </c>
      <c r="D18" s="3">
        <v>5.8118611488603404</v>
      </c>
      <c r="E18" s="2">
        <v>-255.00830067480399</v>
      </c>
      <c r="F18" s="3">
        <f t="shared" si="4"/>
        <v>-4.4507344666910074</v>
      </c>
      <c r="I18" s="1">
        <v>17</v>
      </c>
      <c r="J18" s="2">
        <f t="shared" si="7"/>
        <v>261</v>
      </c>
      <c r="K18" s="2">
        <f t="shared" si="7"/>
        <v>2312.9429543182123</v>
      </c>
      <c r="L18" s="3">
        <f t="shared" si="5"/>
        <v>-1.5034070389002885</v>
      </c>
      <c r="M18" s="3">
        <f t="shared" si="6"/>
        <v>-5.6140446461546158</v>
      </c>
      <c r="N18" s="3">
        <f t="shared" si="0"/>
        <v>35.781369448393328</v>
      </c>
      <c r="O18" s="3">
        <f t="shared" si="1"/>
        <v>4.0423187307991952</v>
      </c>
      <c r="P18" s="3">
        <f t="shared" si="2"/>
        <v>11.65927240733588</v>
      </c>
      <c r="Q18" s="3">
        <f t="shared" si="3"/>
        <v>33.628875435457758</v>
      </c>
    </row>
    <row r="19" spans="1:17" x14ac:dyDescent="0.2">
      <c r="A19" s="1" t="s">
        <v>73</v>
      </c>
      <c r="B19" s="2">
        <v>26</v>
      </c>
      <c r="C19" s="3">
        <v>136.80820527120599</v>
      </c>
      <c r="D19" s="3">
        <v>10.3076360641485</v>
      </c>
      <c r="E19" s="2">
        <v>-252.93900381476899</v>
      </c>
      <c r="F19" s="3">
        <f t="shared" si="4"/>
        <v>-4.4146184232822163</v>
      </c>
      <c r="I19" s="1">
        <v>18</v>
      </c>
      <c r="J19" s="2">
        <f t="shared" si="7"/>
        <v>287</v>
      </c>
      <c r="K19" s="2">
        <f t="shared" si="7"/>
        <v>2449.7511595894184</v>
      </c>
      <c r="L19" s="3">
        <f t="shared" si="5"/>
        <v>-3.0241532820694403</v>
      </c>
      <c r="M19" s="3">
        <f t="shared" si="6"/>
        <v>-9.8540275094746619</v>
      </c>
      <c r="N19" s="3">
        <f t="shared" si="0"/>
        <v>0.10127980671596988</v>
      </c>
      <c r="O19" s="3">
        <f t="shared" si="1"/>
        <v>12.470066203957893</v>
      </c>
      <c r="P19" s="3">
        <f t="shared" si="2"/>
        <v>35.450785468894033</v>
      </c>
      <c r="Q19" s="3">
        <f t="shared" si="3"/>
        <v>100.78199825135364</v>
      </c>
    </row>
    <row r="20" spans="1:17" x14ac:dyDescent="0.2">
      <c r="A20" s="1" t="s">
        <v>4</v>
      </c>
      <c r="B20" s="2">
        <v>36</v>
      </c>
      <c r="C20" s="3">
        <v>137.56517661509099</v>
      </c>
      <c r="D20" s="3">
        <v>7.9149703655770898</v>
      </c>
      <c r="E20" s="2">
        <v>-140.59642624246399</v>
      </c>
      <c r="F20" s="3">
        <f t="shared" si="4"/>
        <v>-2.4538705544683563</v>
      </c>
      <c r="I20" s="1">
        <v>19</v>
      </c>
      <c r="J20" s="2">
        <f t="shared" ref="J20:K35" si="8">J19+B20</f>
        <v>323</v>
      </c>
      <c r="K20" s="2">
        <f t="shared" si="8"/>
        <v>2587.3163362045093</v>
      </c>
      <c r="L20" s="3">
        <f t="shared" si="5"/>
        <v>-6.1158499645792279</v>
      </c>
      <c r="M20" s="3">
        <f t="shared" si="6"/>
        <v>5.0242546809173376</v>
      </c>
      <c r="N20" s="3">
        <f t="shared" si="0"/>
        <v>1.1560899384769343</v>
      </c>
      <c r="O20" s="3">
        <f t="shared" si="1"/>
        <v>43.864059763294243</v>
      </c>
      <c r="P20" s="3">
        <f t="shared" si="2"/>
        <v>-32.050383224571348</v>
      </c>
      <c r="Q20" s="3">
        <f t="shared" si="3"/>
        <v>23.418422060911819</v>
      </c>
    </row>
    <row r="21" spans="1:17" x14ac:dyDescent="0.2">
      <c r="A21" s="1" t="s">
        <v>6</v>
      </c>
      <c r="B21" s="2">
        <v>26</v>
      </c>
      <c r="C21" s="3">
        <v>128.98439899001701</v>
      </c>
      <c r="D21" s="3">
        <v>5.1192451538685804</v>
      </c>
      <c r="E21" s="2">
        <v>-111.092635620062</v>
      </c>
      <c r="F21" s="3">
        <f t="shared" si="4"/>
        <v>-1.9389322662884143</v>
      </c>
      <c r="I21" s="1">
        <v>20</v>
      </c>
      <c r="J21" s="2">
        <f t="shared" si="8"/>
        <v>349</v>
      </c>
      <c r="K21" s="2">
        <f t="shared" si="8"/>
        <v>2716.3007351945262</v>
      </c>
      <c r="L21" s="3">
        <f t="shared" si="5"/>
        <v>-1.8422980257928088</v>
      </c>
      <c r="M21" s="3">
        <f t="shared" si="6"/>
        <v>4.7762546968903221</v>
      </c>
      <c r="N21" s="3">
        <f t="shared" si="0"/>
        <v>56.333451874620039</v>
      </c>
      <c r="O21" s="3">
        <f t="shared" si="1"/>
        <v>5.5198816312761805</v>
      </c>
      <c r="P21" s="3">
        <f t="shared" si="2"/>
        <v>-10.786899233760915</v>
      </c>
      <c r="Q21" s="3">
        <f t="shared" si="3"/>
        <v>21.07965403098877</v>
      </c>
    </row>
    <row r="22" spans="1:17" x14ac:dyDescent="0.2">
      <c r="A22" s="1" t="s">
        <v>7</v>
      </c>
      <c r="B22" s="2">
        <v>26</v>
      </c>
      <c r="C22" s="3">
        <v>148.363964592683</v>
      </c>
      <c r="D22" s="3">
        <v>10.277508718060099</v>
      </c>
      <c r="E22" s="2">
        <v>-56.119874950230802</v>
      </c>
      <c r="F22" s="3">
        <f t="shared" si="4"/>
        <v>-0.97947659368901629</v>
      </c>
      <c r="I22" s="1">
        <v>21</v>
      </c>
      <c r="J22" s="2">
        <f t="shared" si="8"/>
        <v>375</v>
      </c>
      <c r="K22" s="2">
        <f t="shared" si="8"/>
        <v>2864.664699787209</v>
      </c>
      <c r="L22" s="3">
        <f t="shared" si="5"/>
        <v>5.7292708014135298</v>
      </c>
      <c r="M22" s="3">
        <f t="shared" si="6"/>
        <v>8.5324463979489327</v>
      </c>
      <c r="N22" s="3">
        <f t="shared" si="0"/>
        <v>140.99197589122909</v>
      </c>
      <c r="O22" s="3">
        <f t="shared" si="1"/>
        <v>27.270599886604714</v>
      </c>
      <c r="P22" s="3">
        <f t="shared" si="2"/>
        <v>43.591436338632938</v>
      </c>
      <c r="Q22" s="3">
        <f t="shared" si="3"/>
        <v>69.679923799493338</v>
      </c>
    </row>
    <row r="23" spans="1:17" x14ac:dyDescent="0.2">
      <c r="A23" s="1" t="s">
        <v>8</v>
      </c>
      <c r="B23" s="2">
        <v>12</v>
      </c>
      <c r="C23" s="3">
        <v>142.843578554869</v>
      </c>
      <c r="D23" s="3">
        <v>4.4608566646585803</v>
      </c>
      <c r="E23" s="2">
        <v>-58.704931717243099</v>
      </c>
      <c r="F23" s="3">
        <f t="shared" si="4"/>
        <v>-1.0245943456243407</v>
      </c>
      <c r="I23" s="1">
        <v>22</v>
      </c>
      <c r="J23" s="2">
        <f t="shared" si="8"/>
        <v>387</v>
      </c>
      <c r="K23" s="2">
        <f t="shared" si="8"/>
        <v>3007.508278342078</v>
      </c>
      <c r="L23" s="3">
        <f t="shared" si="5"/>
        <v>2.3171722001391637</v>
      </c>
      <c r="M23" s="3">
        <f t="shared" si="6"/>
        <v>3.8118178311051412</v>
      </c>
      <c r="N23" s="3">
        <f t="shared" si="0"/>
        <v>40.368463830914777</v>
      </c>
      <c r="O23" s="3">
        <f t="shared" si="1"/>
        <v>3.2761991587411168</v>
      </c>
      <c r="P23" s="3">
        <f t="shared" si="2"/>
        <v>6.5646463878896517</v>
      </c>
      <c r="Q23" s="3">
        <f t="shared" si="3"/>
        <v>13.153834706004805</v>
      </c>
    </row>
    <row r="24" spans="1:17" x14ac:dyDescent="0.2">
      <c r="A24" s="1" t="s">
        <v>28</v>
      </c>
      <c r="B24" s="2">
        <v>12</v>
      </c>
      <c r="C24" s="3">
        <v>145.766519068126</v>
      </c>
      <c r="D24" s="3">
        <v>4.2337341033409999</v>
      </c>
      <c r="E24" s="2">
        <v>-137.86440773115501</v>
      </c>
      <c r="F24" s="3">
        <f t="shared" si="4"/>
        <v>-2.4061878362205804</v>
      </c>
      <c r="I24" s="1">
        <v>23</v>
      </c>
      <c r="J24" s="2">
        <f t="shared" si="8"/>
        <v>399</v>
      </c>
      <c r="K24" s="2">
        <f t="shared" si="8"/>
        <v>3153.274797410204</v>
      </c>
      <c r="L24" s="3">
        <f t="shared" si="5"/>
        <v>-3.1395645902546487</v>
      </c>
      <c r="M24" s="3">
        <f t="shared" si="6"/>
        <v>2.840358893064709</v>
      </c>
      <c r="N24" s="3">
        <f t="shared" si="0"/>
        <v>86.054540975820586</v>
      </c>
      <c r="O24" s="3">
        <f t="shared" si="1"/>
        <v>13.298489438447623</v>
      </c>
      <c r="P24" s="3">
        <f t="shared" si="2"/>
        <v>-9.6833358695888361</v>
      </c>
      <c r="Q24" s="3">
        <f t="shared" si="3"/>
        <v>7.0509507111517093</v>
      </c>
    </row>
    <row r="25" spans="1:17" x14ac:dyDescent="0.2">
      <c r="A25" s="1" t="s">
        <v>29</v>
      </c>
      <c r="B25" s="2">
        <v>14</v>
      </c>
      <c r="C25" s="3">
        <v>138.12321595213899</v>
      </c>
      <c r="D25" s="3">
        <v>8.5467460614218407</v>
      </c>
      <c r="E25" s="2">
        <v>-276.38549322228602</v>
      </c>
      <c r="F25" s="3">
        <f t="shared" si="4"/>
        <v>-4.8238368614773632</v>
      </c>
      <c r="I25" s="1">
        <v>24</v>
      </c>
      <c r="J25" s="2">
        <f t="shared" si="8"/>
        <v>413</v>
      </c>
      <c r="K25" s="2">
        <f t="shared" si="8"/>
        <v>3291.3980133623431</v>
      </c>
      <c r="L25" s="3">
        <f t="shared" si="5"/>
        <v>0.95054615328119818</v>
      </c>
      <c r="M25" s="3">
        <f t="shared" si="6"/>
        <v>-8.4937229910629917</v>
      </c>
      <c r="N25" s="3">
        <f t="shared" si="0"/>
        <v>2.6675237430727732</v>
      </c>
      <c r="O25" s="3">
        <f t="shared" si="1"/>
        <v>0.19660475261674251</v>
      </c>
      <c r="P25" s="3">
        <f t="shared" si="2"/>
        <v>-3.8481557876767281</v>
      </c>
      <c r="Q25" s="3">
        <f t="shared" si="3"/>
        <v>75.320167845061803</v>
      </c>
    </row>
    <row r="26" spans="1:17" x14ac:dyDescent="0.2">
      <c r="A26" s="1" t="s">
        <v>9</v>
      </c>
      <c r="B26" s="2">
        <v>11</v>
      </c>
      <c r="C26" s="3">
        <v>159.93496089812299</v>
      </c>
      <c r="D26" s="3">
        <v>6.7555996126391404</v>
      </c>
      <c r="E26" s="2">
        <v>-318.459052199741</v>
      </c>
      <c r="F26" s="3">
        <f t="shared" si="4"/>
        <v>-5.5581589936659705</v>
      </c>
      <c r="I26" s="1">
        <v>25</v>
      </c>
      <c r="J26" s="2">
        <f t="shared" si="8"/>
        <v>424</v>
      </c>
      <c r="K26" s="2">
        <f t="shared" si="8"/>
        <v>3451.332974260466</v>
      </c>
      <c r="L26" s="3">
        <f t="shared" si="5"/>
        <v>5.0564445220260392</v>
      </c>
      <c r="M26" s="3">
        <f t="shared" si="6"/>
        <v>-4.4800105939565551</v>
      </c>
      <c r="N26" s="3">
        <f t="shared" si="0"/>
        <v>549.6680489954864</v>
      </c>
      <c r="O26" s="3">
        <f t="shared" si="1"/>
        <v>20.696127884134146</v>
      </c>
      <c r="P26" s="3">
        <f t="shared" si="2"/>
        <v>-21.222514346281493</v>
      </c>
      <c r="Q26" s="3">
        <f t="shared" si="3"/>
        <v>21.762288950842883</v>
      </c>
    </row>
    <row r="27" spans="1:17" x14ac:dyDescent="0.2">
      <c r="A27" s="1" t="s">
        <v>10</v>
      </c>
      <c r="B27" s="2">
        <v>19</v>
      </c>
      <c r="C27" s="3">
        <v>161.33147716551801</v>
      </c>
      <c r="D27" s="3">
        <v>8.3880832493913893</v>
      </c>
      <c r="E27" s="2">
        <v>-306.74796174870698</v>
      </c>
      <c r="F27" s="3">
        <f t="shared" si="4"/>
        <v>-5.3537619062965591</v>
      </c>
      <c r="I27" s="1">
        <v>26</v>
      </c>
      <c r="J27" s="2">
        <f t="shared" si="8"/>
        <v>443</v>
      </c>
      <c r="K27" s="2">
        <f t="shared" si="8"/>
        <v>3612.6644514259842</v>
      </c>
      <c r="L27" s="3">
        <f t="shared" si="5"/>
        <v>5.0185574629786585</v>
      </c>
      <c r="M27" s="3">
        <f t="shared" si="6"/>
        <v>-6.7211622201447883</v>
      </c>
      <c r="N27" s="3">
        <f t="shared" si="0"/>
        <v>617.10095588804393</v>
      </c>
      <c r="O27" s="3">
        <f t="shared" si="1"/>
        <v>20.352844139630839</v>
      </c>
      <c r="P27" s="3">
        <f t="shared" si="2"/>
        <v>-31.156530763285627</v>
      </c>
      <c r="Q27" s="3">
        <f t="shared" si="3"/>
        <v>47.695024957881429</v>
      </c>
    </row>
    <row r="28" spans="1:17" x14ac:dyDescent="0.2">
      <c r="A28" s="1" t="s">
        <v>74</v>
      </c>
      <c r="B28" s="2">
        <v>52</v>
      </c>
      <c r="C28" s="3">
        <v>130.67618815128299</v>
      </c>
      <c r="D28" s="3">
        <v>8.6323508018441295</v>
      </c>
      <c r="E28" s="2">
        <v>-12.2282621996843</v>
      </c>
      <c r="F28" s="3">
        <f t="shared" si="4"/>
        <v>-0.21342343718165532</v>
      </c>
      <c r="I28" s="1">
        <v>27</v>
      </c>
      <c r="J28" s="2">
        <f t="shared" si="8"/>
        <v>495</v>
      </c>
      <c r="K28" s="2">
        <f t="shared" si="8"/>
        <v>3743.3406395772672</v>
      </c>
      <c r="L28" s="3">
        <f t="shared" si="5"/>
        <v>8.4364960173720824</v>
      </c>
      <c r="M28" s="3">
        <f t="shared" si="6"/>
        <v>1.8283914556144643</v>
      </c>
      <c r="N28" s="3">
        <f t="shared" si="0"/>
        <v>33.799947601620353</v>
      </c>
      <c r="O28" s="3">
        <f t="shared" si="1"/>
        <v>62.874610594767198</v>
      </c>
      <c r="P28" s="3">
        <f t="shared" si="2"/>
        <v>13.031057678243176</v>
      </c>
      <c r="Q28" s="3">
        <f t="shared" si="3"/>
        <v>2.7007477677775533</v>
      </c>
    </row>
    <row r="29" spans="1:17" x14ac:dyDescent="0.2">
      <c r="A29" s="1" t="s">
        <v>75</v>
      </c>
      <c r="B29" s="2">
        <v>6</v>
      </c>
      <c r="C29" s="3">
        <v>137.60268991637</v>
      </c>
      <c r="D29" s="3">
        <v>3.75752841244713</v>
      </c>
      <c r="E29" s="2">
        <v>-120.59344674541801</v>
      </c>
      <c r="F29" s="3">
        <f t="shared" si="4"/>
        <v>-2.1047527020359844</v>
      </c>
      <c r="I29" s="1">
        <v>28</v>
      </c>
      <c r="J29" s="2">
        <f t="shared" si="8"/>
        <v>501</v>
      </c>
      <c r="K29" s="2">
        <f t="shared" si="8"/>
        <v>3880.9433294936371</v>
      </c>
      <c r="L29" s="3">
        <f t="shared" si="5"/>
        <v>-1.9123676486855086</v>
      </c>
      <c r="M29" s="3">
        <f t="shared" si="6"/>
        <v>3.2344813721226635</v>
      </c>
      <c r="N29" s="3">
        <f t="shared" si="0"/>
        <v>1.2381670069049791</v>
      </c>
      <c r="O29" s="3">
        <f t="shared" si="1"/>
        <v>5.8540405301322629</v>
      </c>
      <c r="P29" s="3">
        <f t="shared" si="2"/>
        <v>-7.3782672156891591</v>
      </c>
      <c r="Q29" s="3">
        <f t="shared" si="3"/>
        <v>9.2993594468474736</v>
      </c>
    </row>
    <row r="30" spans="1:17" x14ac:dyDescent="0.2">
      <c r="A30" s="1" t="s">
        <v>76</v>
      </c>
      <c r="B30" s="2">
        <v>33</v>
      </c>
      <c r="C30" s="3">
        <v>136.37682136193499</v>
      </c>
      <c r="D30" s="3">
        <v>11.1744819423921</v>
      </c>
      <c r="E30" s="2">
        <v>-183.513834632059</v>
      </c>
      <c r="F30" s="3">
        <f t="shared" si="4"/>
        <v>-3.202920637289826</v>
      </c>
      <c r="I30" s="1">
        <v>29</v>
      </c>
      <c r="J30" s="2">
        <f t="shared" si="8"/>
        <v>534</v>
      </c>
      <c r="K30" s="2">
        <f t="shared" si="8"/>
        <v>4017.3201508555721</v>
      </c>
      <c r="L30" s="3">
        <f t="shared" si="5"/>
        <v>-11.153474235393121</v>
      </c>
      <c r="M30" s="3">
        <f t="shared" si="6"/>
        <v>-0.6848789391337442</v>
      </c>
      <c r="N30" s="3">
        <f t="shared" si="0"/>
        <v>1.2800438853058696E-2</v>
      </c>
      <c r="O30" s="3">
        <f t="shared" si="1"/>
        <v>135.97003648514701</v>
      </c>
      <c r="P30" s="3">
        <f t="shared" si="2"/>
        <v>10.143283316993362</v>
      </c>
      <c r="Q30" s="3">
        <f t="shared" si="3"/>
        <v>0.75668286269846563</v>
      </c>
    </row>
    <row r="31" spans="1:17" x14ac:dyDescent="0.2">
      <c r="A31" s="1" t="s">
        <v>77</v>
      </c>
      <c r="B31" s="2">
        <v>17</v>
      </c>
      <c r="C31" s="3">
        <v>139.91256073403301</v>
      </c>
      <c r="D31" s="3">
        <v>5.3505909008944998</v>
      </c>
      <c r="E31" s="2">
        <v>-238.24027276384501</v>
      </c>
      <c r="F31" s="3">
        <f t="shared" si="4"/>
        <v>-4.1580771705784665</v>
      </c>
      <c r="I31" s="1">
        <v>30</v>
      </c>
      <c r="J31" s="2">
        <f t="shared" si="8"/>
        <v>551</v>
      </c>
      <c r="K31" s="2">
        <f t="shared" si="8"/>
        <v>4157.2327115896051</v>
      </c>
      <c r="L31" s="3">
        <f t="shared" si="5"/>
        <v>-2.8163278359870763</v>
      </c>
      <c r="M31" s="3">
        <f t="shared" si="6"/>
        <v>-4.5494088087332152</v>
      </c>
      <c r="N31" s="3">
        <f t="shared" si="0"/>
        <v>11.714193139733636</v>
      </c>
      <c r="O31" s="3">
        <f t="shared" si="1"/>
        <v>11.045470418181955</v>
      </c>
      <c r="P31" s="3">
        <f t="shared" si="2"/>
        <v>15.734665734724075</v>
      </c>
      <c r="Q31" s="3">
        <f t="shared" si="3"/>
        <v>22.414591358278308</v>
      </c>
    </row>
    <row r="32" spans="1:17" x14ac:dyDescent="0.2">
      <c r="A32" s="1" t="s">
        <v>78</v>
      </c>
      <c r="B32" s="2">
        <v>8</v>
      </c>
      <c r="C32" s="3">
        <v>132.39408308550099</v>
      </c>
      <c r="D32" s="3">
        <v>5.9116030061691198</v>
      </c>
      <c r="E32" s="2">
        <v>-326.13364985229998</v>
      </c>
      <c r="F32" s="3">
        <f t="shared" si="4"/>
        <v>-5.6921059914689538</v>
      </c>
      <c r="I32" s="1">
        <v>31</v>
      </c>
      <c r="J32" s="2">
        <f t="shared" si="8"/>
        <v>559</v>
      </c>
      <c r="K32" s="2">
        <f t="shared" si="8"/>
        <v>4289.6267946751059</v>
      </c>
      <c r="L32" s="3">
        <f t="shared" si="5"/>
        <v>4.9086387023279086</v>
      </c>
      <c r="M32" s="3">
        <f t="shared" si="6"/>
        <v>-3.2942853842003976</v>
      </c>
      <c r="N32" s="3">
        <f t="shared" si="0"/>
        <v>16.776210863880838</v>
      </c>
      <c r="O32" s="3">
        <f t="shared" si="1"/>
        <v>19.373148498029419</v>
      </c>
      <c r="P32" s="3">
        <f t="shared" si="2"/>
        <v>-15.314036913697747</v>
      </c>
      <c r="Q32" s="3">
        <f t="shared" si="3"/>
        <v>12.105400762191643</v>
      </c>
    </row>
    <row r="33" spans="1:17" x14ac:dyDescent="0.2">
      <c r="A33" s="1" t="s">
        <v>79</v>
      </c>
      <c r="B33" s="2">
        <v>41</v>
      </c>
      <c r="C33" s="3">
        <v>125.48622077479401</v>
      </c>
      <c r="D33" s="3">
        <v>6.9242623804133698</v>
      </c>
      <c r="E33" s="2">
        <v>-300.955321216909</v>
      </c>
      <c r="F33" s="3">
        <f t="shared" si="4"/>
        <v>-5.2526612566322095</v>
      </c>
      <c r="I33" s="1">
        <v>32</v>
      </c>
      <c r="J33" s="2">
        <f t="shared" si="8"/>
        <v>600</v>
      </c>
      <c r="K33" s="2">
        <f t="shared" si="8"/>
        <v>4415.1130154498996</v>
      </c>
      <c r="L33" s="3">
        <f t="shared" si="5"/>
        <v>3.5616294220625422</v>
      </c>
      <c r="M33" s="3">
        <f t="shared" si="6"/>
        <v>-5.9380304287453987</v>
      </c>
      <c r="N33" s="3">
        <f t="shared" si="0"/>
        <v>121.08228543965372</v>
      </c>
      <c r="O33" s="3">
        <f t="shared" si="1"/>
        <v>9.3298762549240788</v>
      </c>
      <c r="P33" s="3">
        <f t="shared" si="2"/>
        <v>-18.702690810747349</v>
      </c>
      <c r="Q33" s="3">
        <f t="shared" si="3"/>
        <v>37.491455835526473</v>
      </c>
    </row>
    <row r="34" spans="1:17" x14ac:dyDescent="0.2">
      <c r="A34" s="1" t="s">
        <v>80</v>
      </c>
      <c r="B34" s="2">
        <v>3</v>
      </c>
      <c r="C34" s="3">
        <v>150.86948567927999</v>
      </c>
      <c r="D34" s="3">
        <v>1.9775399459509999</v>
      </c>
      <c r="E34" s="2">
        <v>-83.159801100059397</v>
      </c>
      <c r="F34" s="3">
        <f t="shared" si="4"/>
        <v>-1.4514123344996388</v>
      </c>
      <c r="I34" s="1">
        <v>33</v>
      </c>
      <c r="J34" s="2">
        <f t="shared" si="8"/>
        <v>603</v>
      </c>
      <c r="K34" s="2">
        <f t="shared" si="8"/>
        <v>4565.9825011291796</v>
      </c>
      <c r="L34" s="3">
        <f t="shared" si="5"/>
        <v>0.23552620762349186</v>
      </c>
      <c r="M34" s="3">
        <f t="shared" si="6"/>
        <v>1.9634641945689715</v>
      </c>
      <c r="N34" s="3">
        <f t="shared" si="0"/>
        <v>206.77074764906291</v>
      </c>
      <c r="O34" s="3">
        <f t="shared" si="1"/>
        <v>7.3776664303539213E-2</v>
      </c>
      <c r="P34" s="3">
        <f t="shared" si="2"/>
        <v>-0.48306497186664099</v>
      </c>
      <c r="Q34" s="3">
        <f t="shared" si="3"/>
        <v>3.1629481930009717</v>
      </c>
    </row>
    <row r="35" spans="1:17" x14ac:dyDescent="0.2">
      <c r="A35" s="1" t="s">
        <v>81</v>
      </c>
      <c r="B35" s="2">
        <v>12</v>
      </c>
      <c r="C35" s="3">
        <v>125.23096641684</v>
      </c>
      <c r="D35" s="3">
        <v>4.7980291904831702</v>
      </c>
      <c r="E35" s="2">
        <v>-64.961699771629</v>
      </c>
      <c r="F35" s="3">
        <f t="shared" si="4"/>
        <v>-1.1337955487069744</v>
      </c>
      <c r="I35" s="1">
        <v>34</v>
      </c>
      <c r="J35" s="2">
        <f t="shared" si="8"/>
        <v>615</v>
      </c>
      <c r="K35" s="2">
        <f t="shared" si="8"/>
        <v>4691.2134675460193</v>
      </c>
      <c r="L35" s="3">
        <f t="shared" si="5"/>
        <v>2.0306411175748904</v>
      </c>
      <c r="M35" s="3">
        <f t="shared" si="6"/>
        <v>4.3471347764180015</v>
      </c>
      <c r="N35" s="3">
        <f t="shared" si="0"/>
        <v>126.76494520620658</v>
      </c>
      <c r="O35" s="3">
        <f t="shared" si="1"/>
        <v>2.3210410039811662</v>
      </c>
      <c r="P35" s="3">
        <f t="shared" si="2"/>
        <v>6.3410026673646751</v>
      </c>
      <c r="Q35" s="3">
        <f t="shared" si="3"/>
        <v>17.323397026833479</v>
      </c>
    </row>
    <row r="36" spans="1:17" x14ac:dyDescent="0.2">
      <c r="A36" s="1" t="s">
        <v>30</v>
      </c>
      <c r="B36" s="2">
        <v>28</v>
      </c>
      <c r="C36" s="3">
        <v>131.931707228791</v>
      </c>
      <c r="D36" s="3">
        <v>11.508785483337601</v>
      </c>
      <c r="E36" s="2">
        <v>-320.99252565510602</v>
      </c>
      <c r="F36" s="3">
        <f t="shared" si="4"/>
        <v>-5.6023764469739676</v>
      </c>
      <c r="I36" s="1">
        <v>35</v>
      </c>
      <c r="J36" s="2">
        <f t="shared" ref="J36:K51" si="9">J35+B36</f>
        <v>643</v>
      </c>
      <c r="K36" s="2">
        <f t="shared" si="9"/>
        <v>4823.1451747748106</v>
      </c>
      <c r="L36" s="3">
        <f t="shared" si="5"/>
        <v>8.9430612576266189</v>
      </c>
      <c r="M36" s="3">
        <f t="shared" si="6"/>
        <v>-7.2438800820982729</v>
      </c>
      <c r="N36" s="3">
        <f t="shared" si="0"/>
        <v>20.777671848697878</v>
      </c>
      <c r="O36" s="3">
        <f t="shared" si="1"/>
        <v>71.164686337843051</v>
      </c>
      <c r="P36" s="3">
        <f t="shared" si="2"/>
        <v>-62.669380136419115</v>
      </c>
      <c r="Q36" s="3">
        <f t="shared" si="3"/>
        <v>55.188203711571944</v>
      </c>
    </row>
    <row r="37" spans="1:17" x14ac:dyDescent="0.2">
      <c r="A37" s="1" t="s">
        <v>31</v>
      </c>
      <c r="B37" s="2">
        <v>26</v>
      </c>
      <c r="C37" s="3">
        <v>135.96327218762801</v>
      </c>
      <c r="D37" s="3">
        <v>7.3411466791936899</v>
      </c>
      <c r="E37" s="2">
        <v>-347.48777073257099</v>
      </c>
      <c r="F37" s="3">
        <f t="shared" si="4"/>
        <v>-6.0648057096985513</v>
      </c>
      <c r="I37" s="1">
        <v>36</v>
      </c>
      <c r="J37" s="2">
        <f t="shared" si="9"/>
        <v>669</v>
      </c>
      <c r="K37" s="2">
        <f t="shared" si="9"/>
        <v>4959.1084469624384</v>
      </c>
      <c r="L37" s="3">
        <f t="shared" si="5"/>
        <v>7.1667928877569249</v>
      </c>
      <c r="M37" s="3">
        <f t="shared" si="6"/>
        <v>-1.5904446766339582</v>
      </c>
      <c r="N37" s="3">
        <f t="shared" si="0"/>
        <v>0.27740045870782759</v>
      </c>
      <c r="O37" s="3">
        <f t="shared" si="1"/>
        <v>44.350912540496182</v>
      </c>
      <c r="P37" s="3">
        <f t="shared" si="2"/>
        <v>-11.823811826028011</v>
      </c>
      <c r="Q37" s="3">
        <f t="shared" si="3"/>
        <v>3.1521905207625243</v>
      </c>
    </row>
    <row r="38" spans="1:17" x14ac:dyDescent="0.2">
      <c r="A38" s="1" t="s">
        <v>82</v>
      </c>
      <c r="B38" s="2">
        <v>3</v>
      </c>
      <c r="C38" s="3">
        <v>140.083245332827</v>
      </c>
      <c r="D38" s="3">
        <v>1.9089581528413699</v>
      </c>
      <c r="E38" s="2">
        <v>-307.606746140045</v>
      </c>
      <c r="F38" s="3">
        <f t="shared" si="4"/>
        <v>-5.368750521490143</v>
      </c>
      <c r="I38" s="1">
        <v>37</v>
      </c>
      <c r="J38" s="2">
        <f t="shared" si="9"/>
        <v>672</v>
      </c>
      <c r="K38" s="2">
        <f t="shared" si="9"/>
        <v>5099.1916922952651</v>
      </c>
      <c r="L38" s="3">
        <f t="shared" si="5"/>
        <v>1.1649196561357096</v>
      </c>
      <c r="M38" s="3">
        <f t="shared" si="6"/>
        <v>-1.5123106241933879</v>
      </c>
      <c r="N38" s="3">
        <f t="shared" si="0"/>
        <v>12.911696706340761</v>
      </c>
      <c r="O38" s="3">
        <f t="shared" si="1"/>
        <v>0.43266775027559168</v>
      </c>
      <c r="P38" s="3">
        <f t="shared" si="2"/>
        <v>-1.1164457775002452</v>
      </c>
      <c r="Q38" s="3">
        <f t="shared" si="3"/>
        <v>2.8808506603604922</v>
      </c>
    </row>
    <row r="39" spans="1:17" x14ac:dyDescent="0.2">
      <c r="A39" s="1" t="s">
        <v>83</v>
      </c>
      <c r="B39" s="2">
        <v>45</v>
      </c>
      <c r="C39" s="3">
        <v>129.25509708176</v>
      </c>
      <c r="D39" s="3">
        <v>8.4904079784867008</v>
      </c>
      <c r="E39" s="2">
        <v>-325.08475027240701</v>
      </c>
      <c r="F39" s="3">
        <f t="shared" si="4"/>
        <v>-5.6737992402770354</v>
      </c>
      <c r="I39" s="1">
        <v>38</v>
      </c>
      <c r="J39" s="2">
        <f t="shared" si="9"/>
        <v>717</v>
      </c>
      <c r="K39" s="2">
        <f t="shared" si="9"/>
        <v>5228.4467893770252</v>
      </c>
      <c r="L39" s="3">
        <f t="shared" si="5"/>
        <v>6.9621308545440526</v>
      </c>
      <c r="M39" s="3">
        <f t="shared" si="6"/>
        <v>-4.8596050873868668</v>
      </c>
      <c r="N39" s="3">
        <f t="shared" si="0"/>
        <v>52.343247036581126</v>
      </c>
      <c r="O39" s="3">
        <f t="shared" si="1"/>
        <v>41.666844855540106</v>
      </c>
      <c r="P39" s="3">
        <f t="shared" si="2"/>
        <v>-32.562831307934765</v>
      </c>
      <c r="Q39" s="3">
        <f t="shared" si="3"/>
        <v>25.448002757713773</v>
      </c>
    </row>
    <row r="40" spans="1:17" x14ac:dyDescent="0.2">
      <c r="A40" s="1" t="s">
        <v>32</v>
      </c>
      <c r="B40" s="2">
        <v>22</v>
      </c>
      <c r="C40" s="3">
        <v>134.93995114092101</v>
      </c>
      <c r="D40" s="3">
        <v>5.3219786887835596</v>
      </c>
      <c r="E40" s="2">
        <v>-53.644450151113098</v>
      </c>
      <c r="F40" s="3">
        <f t="shared" si="4"/>
        <v>-0.93627228055889322</v>
      </c>
      <c r="I40" s="1">
        <v>39</v>
      </c>
      <c r="J40" s="2">
        <f t="shared" si="9"/>
        <v>739</v>
      </c>
      <c r="K40" s="2">
        <f t="shared" si="9"/>
        <v>5363.3867405179462</v>
      </c>
      <c r="L40" s="3">
        <f t="shared" si="5"/>
        <v>3.1548384732589971</v>
      </c>
      <c r="M40" s="3">
        <f t="shared" si="6"/>
        <v>4.2860764542307477</v>
      </c>
      <c r="N40" s="3">
        <f t="shared" si="0"/>
        <v>2.4025286610177896</v>
      </c>
      <c r="O40" s="3">
        <f t="shared" si="1"/>
        <v>7.0102817427809274</v>
      </c>
      <c r="P40" s="3">
        <f t="shared" si="2"/>
        <v>10.858404048265006</v>
      </c>
      <c r="Q40" s="3">
        <f t="shared" si="3"/>
        <v>16.8188587565392</v>
      </c>
    </row>
    <row r="41" spans="1:17" x14ac:dyDescent="0.2">
      <c r="A41" s="1" t="s">
        <v>33</v>
      </c>
      <c r="B41" s="2">
        <v>2</v>
      </c>
      <c r="C41" s="3">
        <v>125.642656905507</v>
      </c>
      <c r="D41" s="3">
        <v>1.5521951873276001</v>
      </c>
      <c r="E41" s="2">
        <v>-191.53535248932499</v>
      </c>
      <c r="F41" s="3">
        <f t="shared" si="4"/>
        <v>-3.3429225349066383</v>
      </c>
      <c r="I41" s="1">
        <v>40</v>
      </c>
      <c r="J41" s="2">
        <f t="shared" si="9"/>
        <v>741</v>
      </c>
      <c r="K41" s="2">
        <f t="shared" si="9"/>
        <v>5489.0293974234528</v>
      </c>
      <c r="L41" s="3">
        <f t="shared" si="5"/>
        <v>-1.5208431800118578</v>
      </c>
      <c r="M41" s="3">
        <f t="shared" si="6"/>
        <v>-0.31039639394552238</v>
      </c>
      <c r="N41" s="3">
        <f t="shared" si="0"/>
        <v>117.66399280622568</v>
      </c>
      <c r="O41" s="3">
        <f t="shared" si="1"/>
        <v>4.1127352812603766</v>
      </c>
      <c r="P41" s="3">
        <f t="shared" si="2"/>
        <v>1.0046503524983088</v>
      </c>
      <c r="Q41" s="3">
        <f t="shared" si="3"/>
        <v>0.24541388194225383</v>
      </c>
    </row>
    <row r="42" spans="1:17" x14ac:dyDescent="0.2">
      <c r="A42" s="1" t="s">
        <v>34</v>
      </c>
      <c r="B42" s="2">
        <v>10</v>
      </c>
      <c r="C42" s="3">
        <v>141.779952291949</v>
      </c>
      <c r="D42" s="3">
        <v>8.0831376495475293</v>
      </c>
      <c r="E42" s="2">
        <v>-14.0324574701971</v>
      </c>
      <c r="F42" s="3">
        <f t="shared" si="4"/>
        <v>-0.24491258500101346</v>
      </c>
      <c r="I42" s="1">
        <v>41</v>
      </c>
      <c r="J42" s="2">
        <f t="shared" si="9"/>
        <v>751</v>
      </c>
      <c r="K42" s="2">
        <f t="shared" si="9"/>
        <v>5630.8093497154014</v>
      </c>
      <c r="L42" s="3">
        <f t="shared" si="5"/>
        <v>7.8419248940162296</v>
      </c>
      <c r="M42" s="3">
        <f t="shared" si="6"/>
        <v>1.9599306666668848</v>
      </c>
      <c r="N42" s="3">
        <f t="shared" si="0"/>
        <v>27.984014360953328</v>
      </c>
      <c r="O42" s="3">
        <f t="shared" si="1"/>
        <v>53.798998903927078</v>
      </c>
      <c r="P42" s="3">
        <f t="shared" si="2"/>
        <v>13.018753536585699</v>
      </c>
      <c r="Q42" s="3">
        <f t="shared" si="3"/>
        <v>3.1503921466834357</v>
      </c>
    </row>
    <row r="43" spans="1:17" x14ac:dyDescent="0.2">
      <c r="A43" s="1" t="s">
        <v>35</v>
      </c>
      <c r="B43" s="2">
        <v>16</v>
      </c>
      <c r="C43" s="3">
        <v>144.019979395219</v>
      </c>
      <c r="D43" s="3">
        <v>6.43668444217814</v>
      </c>
      <c r="E43" s="2">
        <v>-49.0891687633545</v>
      </c>
      <c r="F43" s="3">
        <f t="shared" si="4"/>
        <v>-0.85676762198768919</v>
      </c>
      <c r="I43" s="1">
        <v>42</v>
      </c>
      <c r="J43" s="2">
        <f t="shared" si="9"/>
        <v>767</v>
      </c>
      <c r="K43" s="2">
        <f t="shared" si="9"/>
        <v>5774.8293291106202</v>
      </c>
      <c r="L43" s="3">
        <f t="shared" si="5"/>
        <v>4.2152796531804162</v>
      </c>
      <c r="M43" s="3">
        <f t="shared" si="6"/>
        <v>4.8643934928890475</v>
      </c>
      <c r="N43" s="3">
        <f t="shared" si="0"/>
        <v>56.701186273430743</v>
      </c>
      <c r="O43" s="3">
        <f t="shared" si="1"/>
        <v>13.750264026859647</v>
      </c>
      <c r="P43" s="3">
        <f t="shared" si="2"/>
        <v>17.351835930365411</v>
      </c>
      <c r="Q43" s="3">
        <f t="shared" si="3"/>
        <v>21.896758459777999</v>
      </c>
    </row>
    <row r="44" spans="1:17" x14ac:dyDescent="0.2">
      <c r="A44" s="1" t="s">
        <v>36</v>
      </c>
      <c r="B44" s="2">
        <v>19</v>
      </c>
      <c r="C44" s="3">
        <v>116.924815652889</v>
      </c>
      <c r="D44" s="3">
        <v>8.1314009016366207</v>
      </c>
      <c r="E44" s="2">
        <v>-117.260593037416</v>
      </c>
      <c r="F44" s="3">
        <f t="shared" si="4"/>
        <v>-2.0465834313440472</v>
      </c>
      <c r="I44" s="1">
        <v>43</v>
      </c>
      <c r="J44" s="2">
        <f t="shared" si="9"/>
        <v>786</v>
      </c>
      <c r="K44" s="2">
        <f t="shared" si="9"/>
        <v>5891.7541447635094</v>
      </c>
      <c r="L44" s="3">
        <f t="shared" si="5"/>
        <v>-3.724492816177789</v>
      </c>
      <c r="M44" s="3">
        <f t="shared" si="6"/>
        <v>7.2282663125660287</v>
      </c>
      <c r="N44" s="3">
        <f t="shared" si="0"/>
        <v>382.79488844257003</v>
      </c>
      <c r="O44" s="3">
        <f t="shared" si="1"/>
        <v>17.906756985987748</v>
      </c>
      <c r="P44" s="3">
        <f t="shared" si="2"/>
        <v>-29.804566553171043</v>
      </c>
      <c r="Q44" s="3">
        <f t="shared" si="3"/>
        <v>49.60765302826843</v>
      </c>
    </row>
    <row r="45" spans="1:17" x14ac:dyDescent="0.2">
      <c r="A45" s="1" t="s">
        <v>37</v>
      </c>
      <c r="B45" s="2">
        <v>14</v>
      </c>
      <c r="C45" s="3">
        <v>112.975751315707</v>
      </c>
      <c r="D45" s="3">
        <v>5.8346986305100197</v>
      </c>
      <c r="E45" s="2">
        <v>-139.41818480374599</v>
      </c>
      <c r="F45" s="3">
        <f t="shared" si="4"/>
        <v>-2.4333063619792918</v>
      </c>
      <c r="I45" s="1">
        <v>44</v>
      </c>
      <c r="J45" s="2">
        <f t="shared" si="9"/>
        <v>800</v>
      </c>
      <c r="K45" s="2">
        <f t="shared" si="9"/>
        <v>6004.7298960792168</v>
      </c>
      <c r="L45" s="3">
        <f t="shared" si="5"/>
        <v>-4.431324166317431</v>
      </c>
      <c r="M45" s="3">
        <f t="shared" si="6"/>
        <v>3.7956651909627932</v>
      </c>
      <c r="N45" s="3">
        <f t="shared" si="0"/>
        <v>552.91802821946362</v>
      </c>
      <c r="O45" s="3">
        <f t="shared" si="1"/>
        <v>24.388475814533017</v>
      </c>
      <c r="P45" s="3">
        <f t="shared" si="2"/>
        <v>-17.831176491850872</v>
      </c>
      <c r="Q45" s="3">
        <f t="shared" si="3"/>
        <v>13.036930126402948</v>
      </c>
    </row>
    <row r="46" spans="1:17" x14ac:dyDescent="0.2">
      <c r="A46" s="1" t="s">
        <v>38</v>
      </c>
      <c r="B46" s="2">
        <v>6</v>
      </c>
      <c r="C46" s="3">
        <v>135.48687184919399</v>
      </c>
      <c r="D46" s="3">
        <v>5.9758238705928504</v>
      </c>
      <c r="E46" s="2">
        <v>-106.538372240295</v>
      </c>
      <c r="F46" s="3">
        <f t="shared" si="4"/>
        <v>-1.8594453753084752</v>
      </c>
      <c r="I46" s="1">
        <v>45</v>
      </c>
      <c r="J46" s="2">
        <f t="shared" si="9"/>
        <v>806</v>
      </c>
      <c r="K46" s="2">
        <f t="shared" si="9"/>
        <v>6140.2167679284112</v>
      </c>
      <c r="L46" s="3">
        <f t="shared" si="5"/>
        <v>-1.7010626267066813</v>
      </c>
      <c r="M46" s="3">
        <f t="shared" si="6"/>
        <v>5.7285999050700935</v>
      </c>
      <c r="N46" s="3">
        <f t="shared" si="0"/>
        <v>1.0061866134400834</v>
      </c>
      <c r="O46" s="3">
        <f t="shared" si="1"/>
        <v>4.876180076588482</v>
      </c>
      <c r="P46" s="3">
        <f t="shared" si="2"/>
        <v>-12.24142678568875</v>
      </c>
      <c r="Q46" s="3">
        <f t="shared" si="3"/>
        <v>30.731541369616366</v>
      </c>
    </row>
    <row r="47" spans="1:17" x14ac:dyDescent="0.2">
      <c r="A47" s="1" t="s">
        <v>39</v>
      </c>
      <c r="B47" s="2">
        <v>10</v>
      </c>
      <c r="C47" s="3">
        <v>148.71013223653</v>
      </c>
      <c r="D47" s="3">
        <v>4.9837313870822504</v>
      </c>
      <c r="E47" s="2">
        <v>-197.09566619827501</v>
      </c>
      <c r="F47" s="3">
        <f t="shared" si="4"/>
        <v>-3.4399683165715937</v>
      </c>
      <c r="I47" s="1">
        <v>46</v>
      </c>
      <c r="J47" s="2">
        <f t="shared" si="9"/>
        <v>816</v>
      </c>
      <c r="K47" s="2">
        <f t="shared" si="9"/>
        <v>6288.9269001649409</v>
      </c>
      <c r="L47" s="3">
        <f t="shared" si="5"/>
        <v>-4.7635264766899095</v>
      </c>
      <c r="M47" s="3">
        <f t="shared" si="6"/>
        <v>-1.465057693219959</v>
      </c>
      <c r="N47" s="3">
        <f t="shared" si="0"/>
        <v>149.33260004712403</v>
      </c>
      <c r="O47" s="3">
        <f t="shared" si="1"/>
        <v>27.779975795776966</v>
      </c>
      <c r="P47" s="3">
        <f t="shared" si="2"/>
        <v>8.6968919920434882</v>
      </c>
      <c r="Q47" s="3">
        <f t="shared" si="3"/>
        <v>2.7226780497327909</v>
      </c>
    </row>
    <row r="48" spans="1:17" x14ac:dyDescent="0.2">
      <c r="A48" s="1" t="s">
        <v>40</v>
      </c>
      <c r="B48" s="2">
        <v>10</v>
      </c>
      <c r="C48" s="3">
        <v>130.53986331976299</v>
      </c>
      <c r="D48" s="3">
        <v>7.0431027494710996</v>
      </c>
      <c r="E48" s="2">
        <v>-41.176372886552201</v>
      </c>
      <c r="F48" s="3">
        <f t="shared" si="4"/>
        <v>-0.71866328089925746</v>
      </c>
      <c r="I48" s="1">
        <v>47</v>
      </c>
      <c r="J48" s="2">
        <f t="shared" si="9"/>
        <v>826</v>
      </c>
      <c r="K48" s="2">
        <f t="shared" si="9"/>
        <v>6419.4667634847037</v>
      </c>
      <c r="L48" s="3">
        <f t="shared" si="5"/>
        <v>5.3012481413762487</v>
      </c>
      <c r="M48" s="3">
        <f t="shared" si="6"/>
        <v>4.6370318613486186</v>
      </c>
      <c r="N48" s="3">
        <f t="shared" si="0"/>
        <v>35.403655102200645</v>
      </c>
      <c r="O48" s="3">
        <f t="shared" si="1"/>
        <v>22.983426766975963</v>
      </c>
      <c r="P48" s="3">
        <f t="shared" si="2"/>
        <v>21.343518713087835</v>
      </c>
      <c r="Q48" s="3">
        <f t="shared" si="3"/>
        <v>19.820620992448674</v>
      </c>
    </row>
    <row r="49" spans="1:17" x14ac:dyDescent="0.2">
      <c r="A49" s="1" t="s">
        <v>41</v>
      </c>
      <c r="B49" s="2">
        <v>4</v>
      </c>
      <c r="C49" s="3">
        <v>129.01730089028101</v>
      </c>
      <c r="D49" s="3">
        <v>2.4285955109947199</v>
      </c>
      <c r="E49" s="2">
        <v>-101.207138557772</v>
      </c>
      <c r="F49" s="3">
        <f t="shared" si="4"/>
        <v>-1.7663977943552267</v>
      </c>
      <c r="I49" s="1">
        <v>48</v>
      </c>
      <c r="J49" s="2">
        <f t="shared" si="9"/>
        <v>830</v>
      </c>
      <c r="K49" s="2">
        <f t="shared" si="9"/>
        <v>6548.4840643749849</v>
      </c>
      <c r="L49" s="3">
        <f t="shared" si="5"/>
        <v>-0.47201348912700708</v>
      </c>
      <c r="M49" s="3">
        <f t="shared" si="6"/>
        <v>2.3822844964667538</v>
      </c>
      <c r="N49" s="3">
        <f t="shared" si="0"/>
        <v>55.840639944683986</v>
      </c>
      <c r="O49" s="3">
        <f t="shared" si="1"/>
        <v>0.95875097167276824</v>
      </c>
      <c r="P49" s="3">
        <f t="shared" si="2"/>
        <v>-2.1514930085037642</v>
      </c>
      <c r="Q49" s="3">
        <f t="shared" si="3"/>
        <v>4.8280755925225591</v>
      </c>
    </row>
    <row r="50" spans="1:17" x14ac:dyDescent="0.2">
      <c r="A50" s="1" t="s">
        <v>11</v>
      </c>
      <c r="B50" s="2">
        <v>4</v>
      </c>
      <c r="C50" s="3">
        <v>144.50103417819599</v>
      </c>
      <c r="D50" s="3">
        <v>3.5579477580474701</v>
      </c>
      <c r="E50" s="2">
        <v>-198.143485626553</v>
      </c>
      <c r="F50" s="3">
        <f t="shared" si="4"/>
        <v>-3.4582562155614092</v>
      </c>
      <c r="I50" s="1">
        <v>49</v>
      </c>
      <c r="J50" s="2">
        <f t="shared" si="9"/>
        <v>834</v>
      </c>
      <c r="K50" s="2">
        <f t="shared" si="9"/>
        <v>6692.9850985531812</v>
      </c>
      <c r="L50" s="3">
        <f t="shared" si="5"/>
        <v>-3.3810454022426693</v>
      </c>
      <c r="M50" s="3">
        <f t="shared" si="6"/>
        <v>-1.1079369282448921</v>
      </c>
      <c r="N50" s="3">
        <f t="shared" si="0"/>
        <v>64.177303297872271</v>
      </c>
      <c r="O50" s="3">
        <f t="shared" si="1"/>
        <v>15.118023114362959</v>
      </c>
      <c r="P50" s="3">
        <f t="shared" si="2"/>
        <v>5.0271701669953934</v>
      </c>
      <c r="Q50" s="3">
        <f t="shared" si="3"/>
        <v>1.6716762302022328</v>
      </c>
    </row>
    <row r="51" spans="1:17" x14ac:dyDescent="0.2">
      <c r="A51" s="1" t="s">
        <v>12</v>
      </c>
      <c r="B51" s="2">
        <v>0.1</v>
      </c>
      <c r="C51" s="3">
        <v>141.53894696972</v>
      </c>
      <c r="D51" s="3">
        <v>1.19041657511188</v>
      </c>
      <c r="E51" s="2">
        <v>-48.874979591099503</v>
      </c>
      <c r="F51" s="3">
        <f t="shared" si="4"/>
        <v>-0.85302931570971807</v>
      </c>
      <c r="I51" s="1">
        <v>50</v>
      </c>
      <c r="J51" s="2">
        <f t="shared" si="9"/>
        <v>834.1</v>
      </c>
      <c r="K51" s="2">
        <f t="shared" si="9"/>
        <v>6834.5240455229014</v>
      </c>
      <c r="L51" s="3">
        <f t="shared" si="5"/>
        <v>0.78294204736770279</v>
      </c>
      <c r="M51" s="3">
        <f t="shared" si="6"/>
        <v>0.89671253630400871</v>
      </c>
      <c r="N51" s="3">
        <f t="shared" si="0"/>
        <v>25.492265518716579</v>
      </c>
      <c r="O51" s="3">
        <f t="shared" si="1"/>
        <v>7.6064117006214738E-2</v>
      </c>
      <c r="P51" s="3">
        <f t="shared" si="2"/>
        <v>0.1962893838124338</v>
      </c>
      <c r="Q51" s="3">
        <f t="shared" si="3"/>
        <v>0.50654005744018482</v>
      </c>
    </row>
    <row r="52" spans="1:17" x14ac:dyDescent="0.2">
      <c r="A52" s="1" t="s">
        <v>42</v>
      </c>
      <c r="B52" s="2">
        <v>6</v>
      </c>
      <c r="C52" s="3">
        <v>128.13311365692499</v>
      </c>
      <c r="D52" s="3">
        <v>4.2436757221737098</v>
      </c>
      <c r="E52" s="2">
        <v>-49.316348605436502</v>
      </c>
      <c r="F52" s="3">
        <f t="shared" si="4"/>
        <v>-0.86073265822618084</v>
      </c>
      <c r="I52" s="1">
        <v>51</v>
      </c>
      <c r="J52" s="2">
        <f t="shared" ref="J52:K67" si="10">J51+B52</f>
        <v>840.1</v>
      </c>
      <c r="K52" s="2">
        <f t="shared" si="10"/>
        <v>6962.6571591798265</v>
      </c>
      <c r="L52" s="3">
        <f t="shared" si="5"/>
        <v>2.7663760442246912</v>
      </c>
      <c r="M52" s="3">
        <f t="shared" si="6"/>
        <v>3.2180657570823978</v>
      </c>
      <c r="N52" s="3">
        <f t="shared" si="0"/>
        <v>69.836887259653807</v>
      </c>
      <c r="O52" s="3">
        <f t="shared" si="1"/>
        <v>5.1041257767949499</v>
      </c>
      <c r="P52" s="3">
        <f t="shared" si="2"/>
        <v>6.8524053473289399</v>
      </c>
      <c r="Q52" s="3">
        <f t="shared" si="3"/>
        <v>9.1995105719332688</v>
      </c>
    </row>
    <row r="53" spans="1:17" x14ac:dyDescent="0.2">
      <c r="A53" s="1" t="s">
        <v>43</v>
      </c>
      <c r="B53" s="2">
        <v>21</v>
      </c>
      <c r="C53" s="3">
        <v>130.40385095313701</v>
      </c>
      <c r="D53" s="3">
        <v>5.9645333807911003</v>
      </c>
      <c r="E53" s="2">
        <v>-74.224962453299796</v>
      </c>
      <c r="F53" s="3">
        <f t="shared" si="4"/>
        <v>-1.2954699819792492</v>
      </c>
      <c r="I53" s="1">
        <v>52</v>
      </c>
      <c r="J53" s="2">
        <f t="shared" si="10"/>
        <v>861.1</v>
      </c>
      <c r="K53" s="2">
        <f t="shared" si="10"/>
        <v>7093.0610101329639</v>
      </c>
      <c r="L53" s="3">
        <f t="shared" si="5"/>
        <v>1.6215240390445678</v>
      </c>
      <c r="M53" s="3">
        <f t="shared" si="6"/>
        <v>5.7398883474656461</v>
      </c>
      <c r="N53" s="3">
        <f t="shared" si="0"/>
        <v>37.040728033446392</v>
      </c>
      <c r="O53" s="3">
        <f t="shared" si="1"/>
        <v>1.2418410696273561</v>
      </c>
      <c r="P53" s="3">
        <f t="shared" si="2"/>
        <v>6.1902563701786431</v>
      </c>
      <c r="Q53" s="3">
        <f t="shared" si="3"/>
        <v>30.856826099362198</v>
      </c>
    </row>
    <row r="54" spans="1:17" x14ac:dyDescent="0.2">
      <c r="A54" s="1" t="s">
        <v>84</v>
      </c>
      <c r="B54" s="2">
        <v>15</v>
      </c>
      <c r="C54" s="3">
        <v>137.778730455648</v>
      </c>
      <c r="D54" s="3">
        <v>5.8608578063610697</v>
      </c>
      <c r="E54" s="2">
        <v>-191.39282135096599</v>
      </c>
      <c r="F54" s="3">
        <f t="shared" si="4"/>
        <v>-3.3404348972556579</v>
      </c>
      <c r="I54" s="1">
        <v>53</v>
      </c>
      <c r="J54" s="2">
        <f t="shared" si="10"/>
        <v>876.1</v>
      </c>
      <c r="K54" s="2">
        <f t="shared" si="10"/>
        <v>7230.8397405886117</v>
      </c>
      <c r="L54" s="3">
        <f t="shared" si="5"/>
        <v>-5.7453750634117151</v>
      </c>
      <c r="M54" s="3">
        <f t="shared" si="6"/>
        <v>-1.1577217312939763</v>
      </c>
      <c r="N54" s="3">
        <f t="shared" si="0"/>
        <v>1.6609282914331993</v>
      </c>
      <c r="O54" s="3">
        <f t="shared" si="1"/>
        <v>39.094004747762973</v>
      </c>
      <c r="P54" s="3">
        <f t="shared" si="2"/>
        <v>8.3953709251095745</v>
      </c>
      <c r="Q54" s="3">
        <f t="shared" si="3"/>
        <v>1.8028916051177464</v>
      </c>
    </row>
    <row r="55" spans="1:17" x14ac:dyDescent="0.2">
      <c r="A55" s="1" t="s">
        <v>85</v>
      </c>
      <c r="B55" s="2">
        <v>30</v>
      </c>
      <c r="C55" s="3">
        <v>123.69781009649</v>
      </c>
      <c r="D55" s="3">
        <v>8.7324218748795204</v>
      </c>
      <c r="E55" s="2">
        <v>-135.28758166287801</v>
      </c>
      <c r="F55" s="3">
        <f t="shared" si="4"/>
        <v>-2.3612137370779265</v>
      </c>
      <c r="I55" s="1">
        <v>54</v>
      </c>
      <c r="J55" s="2">
        <f t="shared" si="10"/>
        <v>906.1</v>
      </c>
      <c r="K55" s="2">
        <f t="shared" si="10"/>
        <v>7354.5375506851015</v>
      </c>
      <c r="L55" s="3">
        <f t="shared" si="5"/>
        <v>-6.2056694325559771</v>
      </c>
      <c r="M55" s="3">
        <f t="shared" si="6"/>
        <v>6.1436844559852473</v>
      </c>
      <c r="N55" s="3">
        <f t="shared" si="0"/>
        <v>163.63910903921069</v>
      </c>
      <c r="O55" s="3">
        <f t="shared" si="1"/>
        <v>45.061875033970651</v>
      </c>
      <c r="P55" s="3">
        <f t="shared" si="2"/>
        <v>-39.999566977166062</v>
      </c>
      <c r="Q55" s="3">
        <f t="shared" si="3"/>
        <v>35.505965012654997</v>
      </c>
    </row>
    <row r="56" spans="1:17" x14ac:dyDescent="0.2">
      <c r="A56" s="1" t="s">
        <v>13</v>
      </c>
      <c r="B56" s="2">
        <v>39</v>
      </c>
      <c r="C56" s="3">
        <v>134.72276664622899</v>
      </c>
      <c r="D56" s="3">
        <v>9.8573946862397506</v>
      </c>
      <c r="E56" s="2">
        <v>-54.5929319256703</v>
      </c>
      <c r="F56" s="3">
        <f t="shared" si="4"/>
        <v>-0.95282641042007488</v>
      </c>
      <c r="I56" s="1">
        <v>55</v>
      </c>
      <c r="J56" s="2">
        <f t="shared" si="10"/>
        <v>945.1</v>
      </c>
      <c r="K56" s="2">
        <f t="shared" si="10"/>
        <v>7489.26031733133</v>
      </c>
      <c r="L56" s="3">
        <f t="shared" si="5"/>
        <v>5.7111943181202305</v>
      </c>
      <c r="M56" s="3">
        <f t="shared" si="6"/>
        <v>8.0343319237494075</v>
      </c>
      <c r="N56" s="3">
        <f t="shared" si="0"/>
        <v>3.1229737152396813</v>
      </c>
      <c r="O56" s="3">
        <f t="shared" si="1"/>
        <v>27.082131299317588</v>
      </c>
      <c r="P56" s="3">
        <f t="shared" si="2"/>
        <v>40.84833141045106</v>
      </c>
      <c r="Q56" s="3">
        <f t="shared" si="3"/>
        <v>61.612070356519069</v>
      </c>
    </row>
    <row r="57" spans="1:17" x14ac:dyDescent="0.2">
      <c r="A57" s="1" t="s">
        <v>14</v>
      </c>
      <c r="B57" s="2">
        <v>14</v>
      </c>
      <c r="C57" s="3">
        <v>134.33746914635</v>
      </c>
      <c r="D57" s="3">
        <v>5.0431406672218202</v>
      </c>
      <c r="E57" s="2">
        <v>-130.86388304246199</v>
      </c>
      <c r="F57" s="3">
        <f t="shared" si="4"/>
        <v>-2.2840056310357362</v>
      </c>
      <c r="I57" s="1">
        <v>56</v>
      </c>
      <c r="J57" s="2">
        <f t="shared" si="10"/>
        <v>959.1</v>
      </c>
      <c r="K57" s="2">
        <f t="shared" si="10"/>
        <v>7623.5977864776796</v>
      </c>
      <c r="L57" s="3">
        <f t="shared" si="5"/>
        <v>-3.2995465151964543</v>
      </c>
      <c r="M57" s="3">
        <f t="shared" si="6"/>
        <v>3.8139560279900291</v>
      </c>
      <c r="N57" s="3">
        <f t="shared" si="0"/>
        <v>4.6332185384189897</v>
      </c>
      <c r="O57" s="3">
        <f t="shared" si="1"/>
        <v>14.490898833365272</v>
      </c>
      <c r="P57" s="3">
        <f t="shared" si="2"/>
        <v>-13.8143296612139</v>
      </c>
      <c r="Q57" s="3">
        <f t="shared" si="3"/>
        <v>13.169348995059936</v>
      </c>
    </row>
    <row r="58" spans="1:17" x14ac:dyDescent="0.2">
      <c r="A58" s="1" t="s">
        <v>86</v>
      </c>
      <c r="B58" s="2">
        <v>7</v>
      </c>
      <c r="C58" s="3">
        <v>127.339688119233</v>
      </c>
      <c r="D58" s="3">
        <v>2.2081542216608301</v>
      </c>
      <c r="E58" s="2">
        <v>-295.60279904632802</v>
      </c>
      <c r="F58" s="3">
        <f t="shared" si="4"/>
        <v>-5.1592421214695774</v>
      </c>
      <c r="I58" s="1">
        <v>57</v>
      </c>
      <c r="J58" s="2">
        <f t="shared" si="10"/>
        <v>966.1</v>
      </c>
      <c r="K58" s="2">
        <f t="shared" si="10"/>
        <v>7750.9374745969126</v>
      </c>
      <c r="L58" s="3">
        <f t="shared" si="5"/>
        <v>0.95420925349643637</v>
      </c>
      <c r="M58" s="3">
        <f t="shared" si="6"/>
        <v>-1.9913386872102694</v>
      </c>
      <c r="N58" s="3">
        <f t="shared" si="0"/>
        <v>83.727482562975197</v>
      </c>
      <c r="O58" s="3">
        <f t="shared" si="1"/>
        <v>0.1998666180434594</v>
      </c>
      <c r="P58" s="3">
        <f t="shared" si="2"/>
        <v>-0.97296197561745723</v>
      </c>
      <c r="Q58" s="3">
        <f t="shared" si="3"/>
        <v>4.7364338040261567</v>
      </c>
    </row>
    <row r="59" spans="1:17" x14ac:dyDescent="0.2">
      <c r="A59" s="1" t="s">
        <v>87</v>
      </c>
      <c r="B59" s="2">
        <v>41</v>
      </c>
      <c r="C59" s="3">
        <v>126.928744047016</v>
      </c>
      <c r="D59" s="3">
        <v>12.513298864584099</v>
      </c>
      <c r="E59" s="2">
        <v>-312.49996606325601</v>
      </c>
      <c r="F59" s="3">
        <f t="shared" si="4"/>
        <v>-5.4541533201743597</v>
      </c>
      <c r="I59" s="1">
        <v>58</v>
      </c>
      <c r="J59" s="2">
        <f t="shared" si="10"/>
        <v>1007.1</v>
      </c>
      <c r="K59" s="2">
        <f t="shared" si="10"/>
        <v>7877.8662186439287</v>
      </c>
      <c r="L59" s="3">
        <f t="shared" si="5"/>
        <v>8.4538567133820699</v>
      </c>
      <c r="M59" s="3">
        <f t="shared" si="6"/>
        <v>-9.2257766688776197</v>
      </c>
      <c r="N59" s="3">
        <f t="shared" si="0"/>
        <v>91.41685788817945</v>
      </c>
      <c r="O59" s="3">
        <f t="shared" si="1"/>
        <v>63.150230100322929</v>
      </c>
      <c r="P59" s="3">
        <f t="shared" si="2"/>
        <v>-74.784701271601833</v>
      </c>
      <c r="Q59" s="3">
        <f t="shared" si="3"/>
        <v>88.562647125716879</v>
      </c>
    </row>
    <row r="60" spans="1:17" x14ac:dyDescent="0.2">
      <c r="A60" s="1" t="s">
        <v>44</v>
      </c>
      <c r="B60" s="2">
        <v>5</v>
      </c>
      <c r="C60" s="3">
        <v>131.94108685129899</v>
      </c>
      <c r="D60" s="3">
        <v>3.86974297741475</v>
      </c>
      <c r="E60" s="2">
        <v>-61.663395353643502</v>
      </c>
      <c r="F60" s="3">
        <f t="shared" si="4"/>
        <v>-1.0762292768800523</v>
      </c>
      <c r="I60" s="1">
        <v>59</v>
      </c>
      <c r="J60" s="2">
        <f t="shared" si="10"/>
        <v>1012.1</v>
      </c>
      <c r="K60" s="2">
        <f t="shared" si="10"/>
        <v>8009.8073054952274</v>
      </c>
      <c r="L60" s="3">
        <f t="shared" si="5"/>
        <v>1.8367759198537235</v>
      </c>
      <c r="M60" s="3">
        <f t="shared" si="6"/>
        <v>3.4060482867241157</v>
      </c>
      <c r="N60" s="3">
        <f t="shared" si="0"/>
        <v>20.692250438188115</v>
      </c>
      <c r="O60" s="3">
        <f t="shared" si="1"/>
        <v>1.7679188924685589</v>
      </c>
      <c r="P60" s="3">
        <f t="shared" si="2"/>
        <v>4.2828109857681955</v>
      </c>
      <c r="Q60" s="3">
        <f t="shared" si="3"/>
        <v>10.37517615652888</v>
      </c>
    </row>
    <row r="61" spans="1:17" x14ac:dyDescent="0.2">
      <c r="A61" s="1" t="s">
        <v>45</v>
      </c>
      <c r="B61" s="2">
        <v>14</v>
      </c>
      <c r="C61" s="3">
        <v>143.39858984460099</v>
      </c>
      <c r="D61" s="3">
        <v>6.7020092136355096</v>
      </c>
      <c r="E61" s="2">
        <v>-214.25728459323099</v>
      </c>
      <c r="F61" s="3">
        <f t="shared" si="4"/>
        <v>-3.7394950625344001</v>
      </c>
      <c r="I61" s="1">
        <v>60</v>
      </c>
      <c r="J61" s="2">
        <f t="shared" si="10"/>
        <v>1026.0999999999999</v>
      </c>
      <c r="K61" s="2">
        <f t="shared" si="10"/>
        <v>8153.2058953398282</v>
      </c>
      <c r="L61" s="3">
        <f t="shared" si="5"/>
        <v>-5.5393325068655423</v>
      </c>
      <c r="M61" s="3">
        <f t="shared" si="6"/>
        <v>-3.7726281128727717</v>
      </c>
      <c r="N61" s="3">
        <f t="shared" si="0"/>
        <v>47.729160990956771</v>
      </c>
      <c r="O61" s="3">
        <f t="shared" si="1"/>
        <v>36.559887924371438</v>
      </c>
      <c r="P61" s="3">
        <f t="shared" si="2"/>
        <v>23.929685995223259</v>
      </c>
      <c r="Q61" s="3">
        <f t="shared" si="3"/>
        <v>15.662790679625127</v>
      </c>
    </row>
    <row r="62" spans="1:17" x14ac:dyDescent="0.2">
      <c r="A62" s="1" t="s">
        <v>46</v>
      </c>
      <c r="B62" s="2">
        <v>15</v>
      </c>
      <c r="C62" s="3">
        <v>128.72544991966399</v>
      </c>
      <c r="D62" s="3">
        <v>4.2824470413012898</v>
      </c>
      <c r="E62" s="2">
        <v>-207.34968075049201</v>
      </c>
      <c r="F62" s="3">
        <f t="shared" si="4"/>
        <v>-3.6189346320551925</v>
      </c>
      <c r="I62" s="1">
        <v>61</v>
      </c>
      <c r="J62" s="2">
        <f t="shared" si="10"/>
        <v>1041.0999999999999</v>
      </c>
      <c r="K62" s="2">
        <f t="shared" si="10"/>
        <v>8281.9313452594924</v>
      </c>
      <c r="L62" s="3">
        <f t="shared" si="5"/>
        <v>-3.8037517149767961</v>
      </c>
      <c r="M62" s="3">
        <f t="shared" si="6"/>
        <v>-1.9674413720264328</v>
      </c>
      <c r="N62" s="3">
        <f t="shared" si="0"/>
        <v>60.287622787789829</v>
      </c>
      <c r="O62" s="3">
        <f t="shared" si="1"/>
        <v>18.583828835512136</v>
      </c>
      <c r="P62" s="3">
        <f t="shared" si="2"/>
        <v>9.2789359063128352</v>
      </c>
      <c r="Q62" s="3">
        <f t="shared" si="3"/>
        <v>4.6329877613236672</v>
      </c>
    </row>
    <row r="63" spans="1:17" x14ac:dyDescent="0.2">
      <c r="A63" s="1" t="s">
        <v>47</v>
      </c>
      <c r="B63" s="2">
        <v>6</v>
      </c>
      <c r="C63" s="3">
        <v>129.70518651958201</v>
      </c>
      <c r="D63" s="3">
        <v>1.79239700858144</v>
      </c>
      <c r="E63" s="2">
        <v>-131.247092549115</v>
      </c>
      <c r="F63" s="3">
        <f t="shared" si="4"/>
        <v>-2.2906938986517744</v>
      </c>
      <c r="I63" s="1">
        <v>62</v>
      </c>
      <c r="J63" s="2">
        <f t="shared" si="10"/>
        <v>1047.0999999999999</v>
      </c>
      <c r="K63" s="2">
        <f t="shared" si="10"/>
        <v>8411.6365317790751</v>
      </c>
      <c r="L63" s="3">
        <f t="shared" si="5"/>
        <v>-1.181741081906273</v>
      </c>
      <c r="M63" s="3">
        <f t="shared" si="6"/>
        <v>1.3476553905604676</v>
      </c>
      <c r="N63" s="3">
        <f t="shared" si="0"/>
        <v>46.033156423626231</v>
      </c>
      <c r="O63" s="3">
        <f t="shared" si="1"/>
        <v>2.8523355505735508</v>
      </c>
      <c r="P63" s="3">
        <f t="shared" si="2"/>
        <v>-1.9635986002609829</v>
      </c>
      <c r="Q63" s="3">
        <f t="shared" si="3"/>
        <v>1.3517762530329152</v>
      </c>
    </row>
    <row r="64" spans="1:17" x14ac:dyDescent="0.2">
      <c r="A64" s="1" t="s">
        <v>48</v>
      </c>
      <c r="B64" s="2">
        <v>37</v>
      </c>
      <c r="C64" s="3">
        <v>143.12034159811401</v>
      </c>
      <c r="D64" s="3">
        <v>8.5981559700101702</v>
      </c>
      <c r="E64" s="2">
        <v>-224.510569398191</v>
      </c>
      <c r="F64" s="3">
        <f t="shared" si="4"/>
        <v>-3.9184486415256572</v>
      </c>
      <c r="I64" s="1">
        <v>63</v>
      </c>
      <c r="J64" s="2">
        <f t="shared" si="10"/>
        <v>1084.0999999999999</v>
      </c>
      <c r="K64" s="2">
        <f t="shared" si="10"/>
        <v>8554.7568733771895</v>
      </c>
      <c r="L64" s="3">
        <f t="shared" si="5"/>
        <v>-6.1315267848890045</v>
      </c>
      <c r="M64" s="3">
        <f t="shared" si="6"/>
        <v>-6.0276583654691516</v>
      </c>
      <c r="N64" s="3">
        <f t="shared" si="0"/>
        <v>43.961955012874959</v>
      </c>
      <c r="O64" s="3">
        <f t="shared" si="1"/>
        <v>44.071960523927345</v>
      </c>
      <c r="P64" s="3">
        <f t="shared" si="2"/>
        <v>41.243773783603622</v>
      </c>
      <c r="Q64" s="3">
        <f t="shared" si="3"/>
        <v>38.597077499866245</v>
      </c>
    </row>
    <row r="65" spans="1:17" x14ac:dyDescent="0.2">
      <c r="A65" s="1" t="s">
        <v>49</v>
      </c>
      <c r="B65" s="2">
        <v>12</v>
      </c>
      <c r="C65" s="3">
        <v>138.47893083658099</v>
      </c>
      <c r="D65" s="3">
        <v>4.3429299678835402</v>
      </c>
      <c r="E65" s="2">
        <v>-69.361203671847804</v>
      </c>
      <c r="F65" s="3">
        <f t="shared" si="4"/>
        <v>-1.2105813772201246</v>
      </c>
      <c r="I65" s="1">
        <v>64</v>
      </c>
      <c r="J65" s="2">
        <f t="shared" si="10"/>
        <v>1096.0999999999999</v>
      </c>
      <c r="K65" s="2">
        <f t="shared" si="10"/>
        <v>8693.2358042137712</v>
      </c>
      <c r="L65" s="3">
        <f t="shared" si="5"/>
        <v>1.5307759591864183</v>
      </c>
      <c r="M65" s="3">
        <f t="shared" si="6"/>
        <v>4.0642054166488473</v>
      </c>
      <c r="N65" s="3">
        <f t="shared" si="0"/>
        <v>3.9560034517605942</v>
      </c>
      <c r="O65" s="3">
        <f t="shared" si="1"/>
        <v>1.0478207328009668</v>
      </c>
      <c r="P65" s="3">
        <f t="shared" si="2"/>
        <v>3.9708793326782241</v>
      </c>
      <c r="Q65" s="3">
        <f t="shared" si="3"/>
        <v>15.048263678216568</v>
      </c>
    </row>
    <row r="66" spans="1:17" x14ac:dyDescent="0.2">
      <c r="A66" s="1" t="s">
        <v>15</v>
      </c>
      <c r="B66" s="2">
        <v>16</v>
      </c>
      <c r="C66" s="3">
        <v>137.97679730060301</v>
      </c>
      <c r="D66" s="3">
        <v>6.0625718775923403</v>
      </c>
      <c r="E66" s="2">
        <v>-11.782060002159399</v>
      </c>
      <c r="F66" s="3">
        <f t="shared" si="4"/>
        <v>-0.20563573970521173</v>
      </c>
      <c r="I66" s="1">
        <v>65</v>
      </c>
      <c r="J66" s="2">
        <f t="shared" si="10"/>
        <v>1112.0999999999999</v>
      </c>
      <c r="K66" s="2">
        <f t="shared" si="10"/>
        <v>8831.2126015143749</v>
      </c>
      <c r="L66" s="3">
        <f t="shared" si="5"/>
        <v>5.9348417996199778</v>
      </c>
      <c r="M66" s="3">
        <f t="shared" si="6"/>
        <v>1.2379138033227564</v>
      </c>
      <c r="N66" s="3">
        <f t="shared" ref="N66:N89" si="11">(C66-K$104)^2</f>
        <v>2.2106840094871445</v>
      </c>
      <c r="O66" s="3">
        <f t="shared" ref="O66:O89" si="12">(L66-L$105)^2</f>
        <v>29.459894628183648</v>
      </c>
      <c r="P66" s="3">
        <f t="shared" ref="P66:P89" si="13">(L66-L$105)*(M66-M$106)</f>
        <v>5.7149173798981003</v>
      </c>
      <c r="Q66" s="3">
        <f t="shared" ref="Q66:Q89" si="14">(M66-M$106)^2</f>
        <v>1.1086353522736632</v>
      </c>
    </row>
    <row r="67" spans="1:17" x14ac:dyDescent="0.2">
      <c r="A67" s="1" t="s">
        <v>16</v>
      </c>
      <c r="B67" s="2">
        <v>0.1</v>
      </c>
      <c r="C67" s="3">
        <v>143.11017112236101</v>
      </c>
      <c r="D67" s="3">
        <v>0.62070288333389501</v>
      </c>
      <c r="E67" s="2">
        <v>-117.749797997491</v>
      </c>
      <c r="F67" s="3">
        <f t="shared" ref="F67:F89" si="15">E67*PI()/180</f>
        <v>-2.0551216686144436</v>
      </c>
      <c r="I67" s="1">
        <v>66</v>
      </c>
      <c r="J67" s="2">
        <f t="shared" si="10"/>
        <v>1112.1999999999998</v>
      </c>
      <c r="K67" s="2">
        <f t="shared" si="10"/>
        <v>8974.3227726367368</v>
      </c>
      <c r="L67" s="3">
        <f t="shared" ref="L67:L89" si="16">D67*COS(F67)</f>
        <v>-0.28900633861847919</v>
      </c>
      <c r="M67" s="3">
        <f t="shared" ref="M67:M89" si="17">-D67*SIN(F67)</f>
        <v>0.54931539721488953</v>
      </c>
      <c r="N67" s="3">
        <f t="shared" si="11"/>
        <v>43.827190188757882</v>
      </c>
      <c r="O67" s="3">
        <f t="shared" si="12"/>
        <v>0.63385664894500859</v>
      </c>
      <c r="P67" s="3">
        <f t="shared" si="13"/>
        <v>-0.29005309869645113</v>
      </c>
      <c r="Q67" s="3">
        <f t="shared" si="14"/>
        <v>0.13272843347693927</v>
      </c>
    </row>
    <row r="68" spans="1:17" x14ac:dyDescent="0.2">
      <c r="A68" s="1" t="s">
        <v>17</v>
      </c>
      <c r="B68" s="2">
        <v>13</v>
      </c>
      <c r="C68" s="3">
        <v>160.815433943557</v>
      </c>
      <c r="D68" s="3">
        <v>4.8604701114647302</v>
      </c>
      <c r="E68" s="2">
        <v>-288.17149631162602</v>
      </c>
      <c r="F68" s="3">
        <f t="shared" si="15"/>
        <v>-5.0295414210365692</v>
      </c>
      <c r="I68" s="1">
        <v>67</v>
      </c>
      <c r="J68" s="2">
        <f t="shared" ref="J68:K83" si="18">J67+B68</f>
        <v>1125.1999999999998</v>
      </c>
      <c r="K68" s="2">
        <f t="shared" si="18"/>
        <v>9135.1382065802936</v>
      </c>
      <c r="L68" s="3">
        <f t="shared" si="16"/>
        <v>1.5157973138489154</v>
      </c>
      <c r="M68" s="3">
        <f t="shared" si="17"/>
        <v>-4.6180654183077978</v>
      </c>
      <c r="N68" s="3">
        <f t="shared" si="11"/>
        <v>591.72866378076912</v>
      </c>
      <c r="O68" s="3">
        <f t="shared" si="12"/>
        <v>1.0173798766898827</v>
      </c>
      <c r="P68" s="3">
        <f t="shared" si="13"/>
        <v>-4.8446201958771091</v>
      </c>
      <c r="Q68" s="3">
        <f t="shared" si="14"/>
        <v>23.069401489110231</v>
      </c>
    </row>
    <row r="69" spans="1:17" x14ac:dyDescent="0.2">
      <c r="A69" s="1" t="s">
        <v>18</v>
      </c>
      <c r="B69" s="2">
        <v>2</v>
      </c>
      <c r="C69" s="3">
        <v>151.32851202185</v>
      </c>
      <c r="D69" s="3">
        <v>1.5759142907644601</v>
      </c>
      <c r="E69" s="2">
        <v>-173.53839802737701</v>
      </c>
      <c r="F69" s="3">
        <f t="shared" si="15"/>
        <v>-3.0288164242141615</v>
      </c>
      <c r="I69" s="1">
        <v>68</v>
      </c>
      <c r="J69" s="2">
        <f t="shared" si="18"/>
        <v>1127.1999999999998</v>
      </c>
      <c r="K69" s="2">
        <f t="shared" si="18"/>
        <v>9286.4667186021434</v>
      </c>
      <c r="L69" s="3">
        <f t="shared" si="16"/>
        <v>-1.5659032923544873</v>
      </c>
      <c r="M69" s="3">
        <f t="shared" si="17"/>
        <v>0.17734917769481837</v>
      </c>
      <c r="N69" s="3">
        <f t="shared" si="11"/>
        <v>220.18261463841907</v>
      </c>
      <c r="O69" s="3">
        <f t="shared" si="12"/>
        <v>4.2975284281620016</v>
      </c>
      <c r="P69" s="3">
        <f t="shared" si="13"/>
        <v>1.585277020057508E-2</v>
      </c>
      <c r="Q69" s="3">
        <f t="shared" si="14"/>
        <v>5.8477873324906312E-5</v>
      </c>
    </row>
    <row r="70" spans="1:17" x14ac:dyDescent="0.2">
      <c r="A70" s="1" t="s">
        <v>50</v>
      </c>
      <c r="B70" s="2">
        <v>9</v>
      </c>
      <c r="C70" s="3">
        <v>128.58090093466799</v>
      </c>
      <c r="D70" s="3">
        <v>4.50165225565841</v>
      </c>
      <c r="E70" s="2">
        <v>-295.11860649597202</v>
      </c>
      <c r="F70" s="3">
        <f t="shared" si="15"/>
        <v>-5.1507913672522374</v>
      </c>
      <c r="I70" s="1">
        <v>69</v>
      </c>
      <c r="J70" s="2">
        <f t="shared" si="18"/>
        <v>1136.1999999999998</v>
      </c>
      <c r="K70" s="2">
        <f t="shared" si="18"/>
        <v>9415.0476195368119</v>
      </c>
      <c r="L70" s="3">
        <f t="shared" si="16"/>
        <v>1.9109220270957965</v>
      </c>
      <c r="M70" s="3">
        <f t="shared" si="17"/>
        <v>-4.0759354800137038</v>
      </c>
      <c r="N70" s="3">
        <f t="shared" si="11"/>
        <v>62.5532214107632</v>
      </c>
      <c r="O70" s="3">
        <f t="shared" si="12"/>
        <v>1.9705904796479012</v>
      </c>
      <c r="P70" s="3">
        <f t="shared" si="13"/>
        <v>-5.9813989074342686</v>
      </c>
      <c r="Q70" s="3">
        <f t="shared" si="14"/>
        <v>18.155539296144578</v>
      </c>
    </row>
    <row r="71" spans="1:17" x14ac:dyDescent="0.2">
      <c r="A71" s="1" t="s">
        <v>51</v>
      </c>
      <c r="B71" s="2">
        <v>9</v>
      </c>
      <c r="C71" s="3">
        <v>138.595456592147</v>
      </c>
      <c r="D71" s="3">
        <v>4.0936309032204203</v>
      </c>
      <c r="E71" s="2">
        <v>-241.75408506325499</v>
      </c>
      <c r="F71" s="3">
        <f t="shared" si="15"/>
        <v>-4.2194047645002435</v>
      </c>
      <c r="I71" s="1">
        <v>70</v>
      </c>
      <c r="J71" s="2">
        <f t="shared" si="18"/>
        <v>1145.1999999999998</v>
      </c>
      <c r="K71" s="2">
        <f t="shared" si="18"/>
        <v>9553.6430761289594</v>
      </c>
      <c r="L71" s="3">
        <f t="shared" si="16"/>
        <v>-1.9373389089219806</v>
      </c>
      <c r="M71" s="3">
        <f t="shared" si="17"/>
        <v>-3.6061796854535997</v>
      </c>
      <c r="N71" s="3">
        <f t="shared" si="11"/>
        <v>4.4331142724864137</v>
      </c>
      <c r="O71" s="3">
        <f t="shared" si="12"/>
        <v>5.9755006443940442</v>
      </c>
      <c r="P71" s="3">
        <f t="shared" si="13"/>
        <v>9.2674678691599084</v>
      </c>
      <c r="Q71" s="3">
        <f t="shared" si="14"/>
        <v>14.37301505213388</v>
      </c>
    </row>
    <row r="72" spans="1:17" x14ac:dyDescent="0.2">
      <c r="A72" s="1" t="s">
        <v>52</v>
      </c>
      <c r="B72" s="2">
        <v>1</v>
      </c>
      <c r="C72" s="3">
        <v>143.24897819904399</v>
      </c>
      <c r="D72" s="3">
        <v>1.84277402834584</v>
      </c>
      <c r="E72" s="2">
        <v>-258.320671627352</v>
      </c>
      <c r="F72" s="3">
        <f t="shared" si="15"/>
        <v>-4.5085462458603907</v>
      </c>
      <c r="I72" s="1">
        <v>71</v>
      </c>
      <c r="J72" s="2">
        <f t="shared" si="18"/>
        <v>1146.1999999999998</v>
      </c>
      <c r="K72" s="2">
        <f t="shared" si="18"/>
        <v>9696.8920543280037</v>
      </c>
      <c r="L72" s="3">
        <f t="shared" si="16"/>
        <v>-0.37304009990214226</v>
      </c>
      <c r="M72" s="3">
        <f t="shared" si="17"/>
        <v>-1.8046210692028823</v>
      </c>
      <c r="N72" s="3">
        <f t="shared" si="11"/>
        <v>45.684321791867916</v>
      </c>
      <c r="O72" s="3">
        <f t="shared" si="12"/>
        <v>0.77472547285389237</v>
      </c>
      <c r="P72" s="3">
        <f t="shared" si="13"/>
        <v>1.7512311468374644</v>
      </c>
      <c r="Q72" s="3">
        <f t="shared" si="14"/>
        <v>3.9585771181065059</v>
      </c>
    </row>
    <row r="73" spans="1:17" x14ac:dyDescent="0.2">
      <c r="A73" s="1" t="s">
        <v>53</v>
      </c>
      <c r="B73" s="2">
        <v>2</v>
      </c>
      <c r="C73" s="3">
        <v>156.0325133835</v>
      </c>
      <c r="D73" s="3">
        <v>1.7784122295390601</v>
      </c>
      <c r="E73" s="2">
        <v>-274.261008079578</v>
      </c>
      <c r="F73" s="3">
        <f t="shared" si="15"/>
        <v>-4.7867576008274062</v>
      </c>
      <c r="I73" s="1">
        <v>72</v>
      </c>
      <c r="J73" s="2">
        <f t="shared" si="18"/>
        <v>1148.1999999999998</v>
      </c>
      <c r="K73" s="2">
        <f t="shared" si="18"/>
        <v>9852.9245677115032</v>
      </c>
      <c r="L73" s="3">
        <f t="shared" si="16"/>
        <v>0.13213618470165983</v>
      </c>
      <c r="M73" s="3">
        <f t="shared" si="17"/>
        <v>-1.77349657086406</v>
      </c>
      <c r="N73" s="3">
        <f t="shared" si="11"/>
        <v>381.91137764512496</v>
      </c>
      <c r="O73" s="3">
        <f t="shared" si="12"/>
        <v>0.14063146786986996</v>
      </c>
      <c r="P73" s="3">
        <f t="shared" si="13"/>
        <v>0.73445170121808856</v>
      </c>
      <c r="Q73" s="3">
        <f t="shared" si="14"/>
        <v>3.8356941699654552</v>
      </c>
    </row>
    <row r="74" spans="1:17" x14ac:dyDescent="0.2">
      <c r="A74" s="1" t="s">
        <v>19</v>
      </c>
      <c r="B74" s="2">
        <v>0</v>
      </c>
      <c r="C74" s="3">
        <v>137.47948836192401</v>
      </c>
      <c r="D74" s="3">
        <v>1.51662996846075</v>
      </c>
      <c r="E74" s="2">
        <v>-229.33995225900699</v>
      </c>
      <c r="F74" s="3">
        <f t="shared" si="15"/>
        <v>-4.0027372732862796</v>
      </c>
      <c r="I74" s="1">
        <v>73</v>
      </c>
      <c r="J74" s="2">
        <f t="shared" si="18"/>
        <v>1148.1999999999998</v>
      </c>
      <c r="K74" s="2">
        <f t="shared" si="18"/>
        <v>9990.4040560734265</v>
      </c>
      <c r="L74" s="3">
        <f t="shared" si="16"/>
        <v>-0.98818998103703193</v>
      </c>
      <c r="M74" s="3">
        <f t="shared" si="17"/>
        <v>-1.1504985973964881</v>
      </c>
      <c r="N74" s="3">
        <f t="shared" si="11"/>
        <v>0.97916561437820271</v>
      </c>
      <c r="O74" s="3">
        <f t="shared" si="12"/>
        <v>2.2360261325874071</v>
      </c>
      <c r="P74" s="3">
        <f t="shared" si="13"/>
        <v>1.9970119219598561</v>
      </c>
      <c r="Q74" s="3">
        <f t="shared" si="14"/>
        <v>1.7835465151004464</v>
      </c>
    </row>
    <row r="75" spans="1:17" x14ac:dyDescent="0.2">
      <c r="A75" s="1" t="s">
        <v>20</v>
      </c>
      <c r="B75" s="2">
        <v>0</v>
      </c>
      <c r="C75" s="3">
        <v>146.70645230993901</v>
      </c>
      <c r="D75" s="3">
        <v>0.77859210098293596</v>
      </c>
      <c r="E75" s="2">
        <v>-76.9256312982873</v>
      </c>
      <c r="F75" s="3">
        <f t="shared" si="15"/>
        <v>-1.3426055453303136</v>
      </c>
      <c r="I75" s="1">
        <v>74</v>
      </c>
      <c r="J75" s="2">
        <f t="shared" si="18"/>
        <v>1148.1999999999998</v>
      </c>
      <c r="K75" s="2">
        <f t="shared" si="18"/>
        <v>10137.110508383366</v>
      </c>
      <c r="L75" s="3">
        <f t="shared" si="16"/>
        <v>0.17612966066372865</v>
      </c>
      <c r="M75" s="3">
        <f t="shared" si="17"/>
        <v>0.7584088622553814</v>
      </c>
      <c r="N75" s="3">
        <f t="shared" si="11"/>
        <v>104.37670722408423</v>
      </c>
      <c r="O75" s="3">
        <f t="shared" si="12"/>
        <v>0.10957102805006105</v>
      </c>
      <c r="P75" s="3">
        <f t="shared" si="13"/>
        <v>-0.18980825714606933</v>
      </c>
      <c r="Q75" s="3">
        <f t="shared" si="14"/>
        <v>0.32880201200967291</v>
      </c>
    </row>
    <row r="76" spans="1:17" x14ac:dyDescent="0.2">
      <c r="A76" s="1" t="s">
        <v>88</v>
      </c>
      <c r="B76" s="2">
        <v>41</v>
      </c>
      <c r="C76" s="3">
        <v>139.88391807975</v>
      </c>
      <c r="D76" s="3">
        <v>8.6268417956895398</v>
      </c>
      <c r="E76" s="2">
        <v>-232.15205926371701</v>
      </c>
      <c r="F76" s="3">
        <f t="shared" si="15"/>
        <v>-4.0518177994368649</v>
      </c>
      <c r="I76" s="1">
        <v>75</v>
      </c>
      <c r="J76" s="2">
        <f t="shared" si="18"/>
        <v>1189.1999999999998</v>
      </c>
      <c r="K76" s="2">
        <f t="shared" si="18"/>
        <v>10276.994426463116</v>
      </c>
      <c r="L76" s="3">
        <f t="shared" si="16"/>
        <v>-5.2931538982125872</v>
      </c>
      <c r="M76" s="3">
        <f t="shared" si="17"/>
        <v>-6.8121157636737806</v>
      </c>
      <c r="N76" s="3">
        <f t="shared" si="11"/>
        <v>11.518948824364756</v>
      </c>
      <c r="O76" s="3">
        <f t="shared" si="12"/>
        <v>33.643465086268016</v>
      </c>
      <c r="P76" s="3">
        <f t="shared" si="13"/>
        <v>40.585339823243352</v>
      </c>
      <c r="Q76" s="3">
        <f t="shared" si="14"/>
        <v>48.959576676911773</v>
      </c>
    </row>
    <row r="77" spans="1:17" x14ac:dyDescent="0.2">
      <c r="A77" s="1" t="s">
        <v>89</v>
      </c>
      <c r="B77" s="2">
        <v>32</v>
      </c>
      <c r="C77" s="3">
        <v>144.94315998167801</v>
      </c>
      <c r="D77" s="3">
        <v>6.3678447731185397</v>
      </c>
      <c r="E77" s="2">
        <v>-235.418142737908</v>
      </c>
      <c r="F77" s="3">
        <f t="shared" si="15"/>
        <v>-4.108821709706473</v>
      </c>
      <c r="I77" s="1">
        <v>76</v>
      </c>
      <c r="J77" s="2">
        <f t="shared" si="18"/>
        <v>1221.1999999999998</v>
      </c>
      <c r="K77" s="2">
        <f t="shared" si="18"/>
        <v>10421.937586444794</v>
      </c>
      <c r="L77" s="3">
        <f t="shared" si="16"/>
        <v>-3.6142808858451283</v>
      </c>
      <c r="M77" s="3">
        <f t="shared" si="17"/>
        <v>-5.2427493486478696</v>
      </c>
      <c r="N77" s="3">
        <f t="shared" si="11"/>
        <v>71.456583397894903</v>
      </c>
      <c r="O77" s="3">
        <f t="shared" si="12"/>
        <v>16.986149753422936</v>
      </c>
      <c r="P77" s="3">
        <f t="shared" si="13"/>
        <v>22.370050214958496</v>
      </c>
      <c r="Q77" s="3">
        <f t="shared" si="14"/>
        <v>29.460422396130319</v>
      </c>
    </row>
    <row r="78" spans="1:17" x14ac:dyDescent="0.2">
      <c r="A78" s="1" t="s">
        <v>54</v>
      </c>
      <c r="B78" s="2">
        <v>9</v>
      </c>
      <c r="C78" s="3">
        <v>129.80824935507999</v>
      </c>
      <c r="D78" s="3">
        <v>3.3835397063295098</v>
      </c>
      <c r="E78" s="2">
        <v>-137.352239726248</v>
      </c>
      <c r="F78" s="3">
        <f t="shared" si="15"/>
        <v>-2.3972488182115823</v>
      </c>
      <c r="I78" s="1">
        <v>77</v>
      </c>
      <c r="J78" s="2">
        <f t="shared" si="18"/>
        <v>1230.1999999999998</v>
      </c>
      <c r="K78" s="2">
        <f t="shared" si="18"/>
        <v>10551.745835799873</v>
      </c>
      <c r="L78" s="3">
        <f t="shared" si="16"/>
        <v>-2.4887037750592471</v>
      </c>
      <c r="M78" s="3">
        <f t="shared" si="17"/>
        <v>2.2923120346746506</v>
      </c>
      <c r="N78" s="3">
        <f t="shared" si="11"/>
        <v>44.645262305836901</v>
      </c>
      <c r="O78" s="3">
        <f t="shared" si="12"/>
        <v>8.9751087351885079</v>
      </c>
      <c r="P78" s="3">
        <f t="shared" si="13"/>
        <v>-6.3131989774357686</v>
      </c>
      <c r="Q78" s="3">
        <f t="shared" si="14"/>
        <v>4.4407797726652181</v>
      </c>
    </row>
    <row r="79" spans="1:17" x14ac:dyDescent="0.2">
      <c r="A79" s="1" t="s">
        <v>55</v>
      </c>
      <c r="B79" s="2">
        <v>26</v>
      </c>
      <c r="C79" s="3">
        <v>136.246792352017</v>
      </c>
      <c r="D79" s="3">
        <v>4.9385266463631901</v>
      </c>
      <c r="E79" s="2">
        <v>-227.73224135036</v>
      </c>
      <c r="F79" s="3">
        <f t="shared" si="15"/>
        <v>-3.9746774245101593</v>
      </c>
      <c r="I79" s="1">
        <v>78</v>
      </c>
      <c r="J79" s="2">
        <f t="shared" si="18"/>
        <v>1256.1999999999998</v>
      </c>
      <c r="K79" s="2">
        <f t="shared" si="18"/>
        <v>10687.992628151889</v>
      </c>
      <c r="L79" s="3">
        <f t="shared" si="16"/>
        <v>-3.3216342729998054</v>
      </c>
      <c r="M79" s="3">
        <f t="shared" si="17"/>
        <v>-3.6545575920037585</v>
      </c>
      <c r="N79" s="3">
        <f t="shared" si="11"/>
        <v>5.913069293744861E-2</v>
      </c>
      <c r="O79" s="3">
        <f t="shared" si="12"/>
        <v>14.65954925438677</v>
      </c>
      <c r="P79" s="3">
        <f t="shared" si="13"/>
        <v>14.700803471958933</v>
      </c>
      <c r="Q79" s="3">
        <f t="shared" si="14"/>
        <v>14.742173785219849</v>
      </c>
    </row>
    <row r="80" spans="1:17" x14ac:dyDescent="0.2">
      <c r="A80" s="1" t="s">
        <v>56</v>
      </c>
      <c r="B80" s="2">
        <v>33</v>
      </c>
      <c r="C80" s="3">
        <v>140.55609448526999</v>
      </c>
      <c r="D80" s="3">
        <v>7.5132222012862302</v>
      </c>
      <c r="E80" s="2">
        <v>-258.69006067939199</v>
      </c>
      <c r="F80" s="3">
        <f t="shared" si="15"/>
        <v>-4.5149933010393095</v>
      </c>
      <c r="I80" s="1">
        <v>79</v>
      </c>
      <c r="J80" s="2">
        <f t="shared" si="18"/>
        <v>1289.1999999999998</v>
      </c>
      <c r="K80" s="2">
        <f t="shared" si="18"/>
        <v>10828.548722637159</v>
      </c>
      <c r="L80" s="3">
        <f t="shared" si="16"/>
        <v>-1.4734649809122884</v>
      </c>
      <c r="M80" s="3">
        <f t="shared" si="17"/>
        <v>-7.3673203266808924</v>
      </c>
      <c r="N80" s="3">
        <f t="shared" si="11"/>
        <v>16.533446510131174</v>
      </c>
      <c r="O80" s="3">
        <f t="shared" si="12"/>
        <v>3.9228151376345224</v>
      </c>
      <c r="P80" s="3">
        <f t="shared" si="13"/>
        <v>14.958192164502506</v>
      </c>
      <c r="Q80" s="3">
        <f t="shared" si="14"/>
        <v>57.037485830929327</v>
      </c>
    </row>
    <row r="81" spans="1:17" x14ac:dyDescent="0.2">
      <c r="A81" s="1" t="s">
        <v>57</v>
      </c>
      <c r="B81" s="2">
        <v>33</v>
      </c>
      <c r="C81" s="3">
        <v>134.71148795728399</v>
      </c>
      <c r="D81" s="3">
        <v>7.9296499370683797</v>
      </c>
      <c r="E81" s="2">
        <v>-331.49229960237398</v>
      </c>
      <c r="F81" s="3">
        <f t="shared" si="15"/>
        <v>-5.785632073068915</v>
      </c>
      <c r="I81" s="1">
        <v>80</v>
      </c>
      <c r="J81" s="2">
        <f t="shared" si="18"/>
        <v>1322.1999999999998</v>
      </c>
      <c r="K81" s="2">
        <f t="shared" si="18"/>
        <v>10963.260210594442</v>
      </c>
      <c r="L81" s="3">
        <f t="shared" si="16"/>
        <v>6.9682034798848047</v>
      </c>
      <c r="M81" s="3">
        <f t="shared" si="17"/>
        <v>-3.7846384751214819</v>
      </c>
      <c r="N81" s="3">
        <f t="shared" si="11"/>
        <v>3.1629641810654894</v>
      </c>
      <c r="O81" s="3">
        <f t="shared" si="12"/>
        <v>41.745279155994311</v>
      </c>
      <c r="P81" s="3">
        <f t="shared" si="13"/>
        <v>-25.648042930210359</v>
      </c>
      <c r="Q81" s="3">
        <f t="shared" si="14"/>
        <v>15.757999933160232</v>
      </c>
    </row>
    <row r="82" spans="1:17" x14ac:dyDescent="0.2">
      <c r="A82" s="1" t="s">
        <v>90</v>
      </c>
      <c r="B82" s="2">
        <v>4</v>
      </c>
      <c r="C82" s="3">
        <v>133.09824694102599</v>
      </c>
      <c r="D82" s="3">
        <v>2.8489738894585401</v>
      </c>
      <c r="E82" s="2">
        <v>-103.010118598077</v>
      </c>
      <c r="F82" s="3">
        <f t="shared" si="15"/>
        <v>-1.797865732406289</v>
      </c>
      <c r="I82" s="1">
        <v>81</v>
      </c>
      <c r="J82" s="2">
        <f t="shared" si="18"/>
        <v>1326.1999999999998</v>
      </c>
      <c r="K82" s="2">
        <f t="shared" si="18"/>
        <v>11096.358457535469</v>
      </c>
      <c r="L82" s="3">
        <f t="shared" si="16"/>
        <v>-0.64136991178323022</v>
      </c>
      <c r="M82" s="3">
        <f t="shared" si="17"/>
        <v>2.7758416487753212</v>
      </c>
      <c r="N82" s="3">
        <f t="shared" si="11"/>
        <v>11.503720095415828</v>
      </c>
      <c r="O82" s="3">
        <f t="shared" si="12"/>
        <v>1.3190860625441654</v>
      </c>
      <c r="P82" s="3">
        <f t="shared" si="13"/>
        <v>-2.9756240663861937</v>
      </c>
      <c r="Q82" s="3">
        <f t="shared" si="14"/>
        <v>6.7124798266604726</v>
      </c>
    </row>
    <row r="83" spans="1:17" x14ac:dyDescent="0.2">
      <c r="A83" s="1" t="s">
        <v>91</v>
      </c>
      <c r="B83" s="2">
        <v>2</v>
      </c>
      <c r="C83" s="3">
        <v>129.37537726382601</v>
      </c>
      <c r="D83" s="3">
        <v>1.7418293235167801</v>
      </c>
      <c r="E83" s="2">
        <v>-30.958327902208101</v>
      </c>
      <c r="F83" s="3">
        <f t="shared" si="15"/>
        <v>-0.54032475280556047</v>
      </c>
      <c r="I83" s="1">
        <v>82</v>
      </c>
      <c r="J83" s="2">
        <f t="shared" si="18"/>
        <v>1328.1999999999998</v>
      </c>
      <c r="K83" s="2">
        <f t="shared" si="18"/>
        <v>11225.733834799295</v>
      </c>
      <c r="L83" s="3">
        <f t="shared" si="16"/>
        <v>1.4936912252577574</v>
      </c>
      <c r="M83" s="3">
        <f t="shared" si="17"/>
        <v>0.89602227419350655</v>
      </c>
      <c r="N83" s="3">
        <f t="shared" si="11"/>
        <v>50.617293007773426</v>
      </c>
      <c r="O83" s="3">
        <f t="shared" si="12"/>
        <v>0.97327383255767053</v>
      </c>
      <c r="P83" s="3">
        <f t="shared" si="13"/>
        <v>0.70146016621711127</v>
      </c>
      <c r="Q83" s="3">
        <f t="shared" si="14"/>
        <v>0.50555799234454568</v>
      </c>
    </row>
    <row r="84" spans="1:17" x14ac:dyDescent="0.2">
      <c r="A84" s="1" t="s">
        <v>58</v>
      </c>
      <c r="B84" s="2">
        <v>5</v>
      </c>
      <c r="C84" s="3">
        <v>134.14124054860599</v>
      </c>
      <c r="D84" s="3">
        <v>4.9662677680543803</v>
      </c>
      <c r="E84" s="2">
        <v>-299.14247913094499</v>
      </c>
      <c r="F84" s="3">
        <f t="shared" si="15"/>
        <v>-5.2210211934134154</v>
      </c>
      <c r="I84" s="1">
        <v>83</v>
      </c>
      <c r="J84" s="2">
        <f t="shared" ref="J84:K89" si="19">J83+B84</f>
        <v>1333.1999999999998</v>
      </c>
      <c r="K84" s="2">
        <f t="shared" si="19"/>
        <v>11359.875075347902</v>
      </c>
      <c r="L84" s="3">
        <f t="shared" si="16"/>
        <v>2.4184882845844156</v>
      </c>
      <c r="M84" s="3">
        <f t="shared" si="17"/>
        <v>-4.3375949512770049</v>
      </c>
      <c r="N84" s="3">
        <f t="shared" si="11"/>
        <v>5.5164848763674703</v>
      </c>
      <c r="O84" s="3">
        <f t="shared" si="12"/>
        <v>3.653233883841887</v>
      </c>
      <c r="P84" s="3">
        <f t="shared" si="13"/>
        <v>-8.6442252076848263</v>
      </c>
      <c r="Q84" s="3">
        <f t="shared" si="14"/>
        <v>20.45383126759803</v>
      </c>
    </row>
    <row r="85" spans="1:17" x14ac:dyDescent="0.2">
      <c r="A85" s="1" t="s">
        <v>59</v>
      </c>
      <c r="B85" s="2">
        <v>16</v>
      </c>
      <c r="C85" s="3">
        <v>131.45551139320199</v>
      </c>
      <c r="D85" s="3">
        <v>6.61562501743692</v>
      </c>
      <c r="E85" s="2">
        <v>-265.82320770763499</v>
      </c>
      <c r="F85" s="3">
        <f t="shared" si="15"/>
        <v>-4.6394902027109985</v>
      </c>
      <c r="I85" s="1">
        <v>84</v>
      </c>
      <c r="J85" s="2">
        <f t="shared" si="19"/>
        <v>1349.1999999999998</v>
      </c>
      <c r="K85" s="2">
        <f t="shared" si="19"/>
        <v>11491.330586741104</v>
      </c>
      <c r="L85" s="3">
        <f t="shared" si="16"/>
        <v>-0.48184394084343146</v>
      </c>
      <c r="M85" s="3">
        <f t="shared" si="17"/>
        <v>-6.5980543183585354</v>
      </c>
      <c r="N85" s="3">
        <f t="shared" si="11"/>
        <v>25.345676664941774</v>
      </c>
      <c r="O85" s="3">
        <f t="shared" si="12"/>
        <v>0.97809874618743808</v>
      </c>
      <c r="P85" s="3">
        <f t="shared" si="13"/>
        <v>6.7083607081008303</v>
      </c>
      <c r="Q85" s="3">
        <f t="shared" si="14"/>
        <v>46.009775153486487</v>
      </c>
    </row>
    <row r="86" spans="1:17" x14ac:dyDescent="0.2">
      <c r="A86" s="1" t="s">
        <v>21</v>
      </c>
      <c r="B86" s="2">
        <v>24</v>
      </c>
      <c r="C86" s="3">
        <v>123.875103672108</v>
      </c>
      <c r="D86" s="3">
        <v>5.59551864864798</v>
      </c>
      <c r="E86" s="2">
        <v>-25.90072085593</v>
      </c>
      <c r="F86" s="3">
        <f t="shared" si="15"/>
        <v>-0.45205285757594232</v>
      </c>
      <c r="I86" s="1">
        <v>85</v>
      </c>
      <c r="J86" s="2">
        <f t="shared" si="19"/>
        <v>1373.1999999999998</v>
      </c>
      <c r="K86" s="2">
        <f t="shared" si="19"/>
        <v>11615.205690413211</v>
      </c>
      <c r="L86" s="3">
        <f t="shared" si="16"/>
        <v>5.03346157689381</v>
      </c>
      <c r="M86" s="3">
        <f t="shared" si="17"/>
        <v>2.4441958803052168</v>
      </c>
      <c r="N86" s="3">
        <f t="shared" si="11"/>
        <v>159.1346099216903</v>
      </c>
      <c r="O86" s="3">
        <f t="shared" si="12"/>
        <v>20.487543488485766</v>
      </c>
      <c r="P86" s="3">
        <f t="shared" si="13"/>
        <v>10.225853123056485</v>
      </c>
      <c r="Q86" s="3">
        <f t="shared" si="14"/>
        <v>5.1039829227497435</v>
      </c>
    </row>
    <row r="87" spans="1:17" x14ac:dyDescent="0.2">
      <c r="A87" s="1" t="s">
        <v>22</v>
      </c>
      <c r="B87" s="2">
        <v>30</v>
      </c>
      <c r="C87" s="3">
        <v>113.882658025415</v>
      </c>
      <c r="D87" s="3">
        <v>5.7938677721088103</v>
      </c>
      <c r="E87" s="2">
        <v>-15.7501930239612</v>
      </c>
      <c r="F87" s="3">
        <f t="shared" si="15"/>
        <v>-0.27489272609276505</v>
      </c>
      <c r="I87" s="1">
        <v>86</v>
      </c>
      <c r="J87" s="2">
        <f t="shared" si="19"/>
        <v>1403.1999999999998</v>
      </c>
      <c r="K87" s="2">
        <f t="shared" si="19"/>
        <v>11729.088348438627</v>
      </c>
      <c r="L87" s="3">
        <f t="shared" si="16"/>
        <v>5.5763330783131622</v>
      </c>
      <c r="M87" s="3">
        <f t="shared" si="17"/>
        <v>1.5727088606578021</v>
      </c>
      <c r="N87" s="3">
        <f t="shared" si="11"/>
        <v>511.09012004023151</v>
      </c>
      <c r="O87" s="3">
        <f t="shared" si="12"/>
        <v>25.696669715531236</v>
      </c>
      <c r="P87" s="3">
        <f t="shared" si="13"/>
        <v>7.0345764353878826</v>
      </c>
      <c r="Q87" s="3">
        <f t="shared" si="14"/>
        <v>1.9257462610186122</v>
      </c>
    </row>
    <row r="88" spans="1:17" x14ac:dyDescent="0.2">
      <c r="A88" s="1" t="s">
        <v>92</v>
      </c>
      <c r="B88" s="2">
        <v>6</v>
      </c>
      <c r="C88" s="3">
        <v>144.12109392985599</v>
      </c>
      <c r="D88" s="3">
        <v>3.1265881421212098</v>
      </c>
      <c r="E88" s="2">
        <v>-70.849168023278295</v>
      </c>
      <c r="F88" s="3">
        <f t="shared" si="15"/>
        <v>-1.2365512543048887</v>
      </c>
      <c r="I88" s="1">
        <v>87</v>
      </c>
      <c r="J88" s="2">
        <f t="shared" si="19"/>
        <v>1409.1999999999998</v>
      </c>
      <c r="K88" s="2">
        <f t="shared" si="19"/>
        <v>11873.209442368483</v>
      </c>
      <c r="L88" s="3">
        <f t="shared" si="16"/>
        <v>1.02569635889936</v>
      </c>
      <c r="M88" s="3">
        <f t="shared" si="17"/>
        <v>2.9535572433581772</v>
      </c>
      <c r="N88" s="3">
        <f t="shared" si="11"/>
        <v>58.234199158317892</v>
      </c>
      <c r="O88" s="3">
        <f t="shared" si="12"/>
        <v>0.26889571049521954</v>
      </c>
      <c r="P88" s="3">
        <f t="shared" si="13"/>
        <v>1.4356415903042155</v>
      </c>
      <c r="Q88" s="3">
        <f t="shared" si="14"/>
        <v>7.6649299165665141</v>
      </c>
    </row>
    <row r="89" spans="1:17" x14ac:dyDescent="0.2">
      <c r="A89" s="1" t="s">
        <v>93</v>
      </c>
      <c r="B89" s="2">
        <v>7</v>
      </c>
      <c r="C89" s="3">
        <v>137.90707163322401</v>
      </c>
      <c r="D89" s="3">
        <v>4.4323354300091902</v>
      </c>
      <c r="E89" s="2">
        <v>-156.44531054817</v>
      </c>
      <c r="F89" s="3">
        <f t="shared" si="15"/>
        <v>-2.7304857683705812</v>
      </c>
      <c r="I89" s="1">
        <v>88</v>
      </c>
      <c r="J89" s="2">
        <f t="shared" si="19"/>
        <v>1416.1999999999998</v>
      </c>
      <c r="K89" s="2">
        <f t="shared" si="19"/>
        <v>12011.116514001707</v>
      </c>
      <c r="L89" s="3">
        <f t="shared" si="16"/>
        <v>-4.0630290148957675</v>
      </c>
      <c r="M89" s="3">
        <f t="shared" si="17"/>
        <v>1.7712686380755129</v>
      </c>
      <c r="N89" s="3">
        <f t="shared" si="11"/>
        <v>2.0082042859231413</v>
      </c>
      <c r="O89" s="3">
        <f t="shared" si="12"/>
        <v>20.886488775402878</v>
      </c>
      <c r="P89" s="3">
        <f t="shared" si="13"/>
        <v>-7.2495404972875761</v>
      </c>
      <c r="Q89" s="3">
        <f t="shared" si="14"/>
        <v>2.5162600562955966</v>
      </c>
    </row>
    <row r="102" spans="8:18" ht="17" x14ac:dyDescent="0.2">
      <c r="H102" t="s">
        <v>96</v>
      </c>
      <c r="I102" s="1">
        <f>MAX(I2:I100)</f>
        <v>88</v>
      </c>
      <c r="O102" s="3">
        <f>SUM(O2:O100)/(N-1)</f>
        <v>18.412651402648727</v>
      </c>
      <c r="R102" t="s">
        <v>106</v>
      </c>
    </row>
    <row r="103" spans="8:18" x14ac:dyDescent="0.2">
      <c r="H103" t="s">
        <v>98</v>
      </c>
      <c r="J103" s="1">
        <f>MAX(J2:J100)/I102</f>
        <v>16.093181818181815</v>
      </c>
      <c r="P103" s="3">
        <f>SUM(P2:P100)/(I102-1)</f>
        <v>0.99433501700065663</v>
      </c>
      <c r="R103" t="s">
        <v>107</v>
      </c>
    </row>
    <row r="104" spans="8:18" ht="17" x14ac:dyDescent="0.2">
      <c r="H104" t="s">
        <v>99</v>
      </c>
      <c r="K104" s="1">
        <f>MAX(K2:K100)/I102</f>
        <v>136.48996038638305</v>
      </c>
      <c r="Q104" s="3">
        <f>SUM(Q2:Q100)/(I102-1)</f>
        <v>20.392847492212017</v>
      </c>
      <c r="R104" t="s">
        <v>108</v>
      </c>
    </row>
    <row r="105" spans="8:18" x14ac:dyDescent="0.2">
      <c r="H105" t="s">
        <v>100</v>
      </c>
      <c r="L105" s="3">
        <f>SUM(L2:L100)/I102</f>
        <v>0.5071448084289949</v>
      </c>
      <c r="O105" s="3" t="s">
        <v>109</v>
      </c>
    </row>
    <row r="106" spans="8:18" x14ac:dyDescent="0.2">
      <c r="H106" t="s">
        <v>101</v>
      </c>
      <c r="M106" s="3">
        <f>SUM(M2:M100)/I102</f>
        <v>0.18499626036240516</v>
      </c>
      <c r="O106" s="3">
        <f>ss_beta</f>
        <v>18.412651402648727</v>
      </c>
      <c r="P106" s="3">
        <f>s_beta_gamma</f>
        <v>0.99433501700065663</v>
      </c>
    </row>
    <row r="107" spans="8:18" x14ac:dyDescent="0.2">
      <c r="H107" t="s">
        <v>110</v>
      </c>
      <c r="L107" s="3">
        <f>SQRT(L105^2+M106^2)</f>
        <v>0.53983281955116136</v>
      </c>
      <c r="O107" s="3">
        <f>s_beta_gamma</f>
        <v>0.99433501700065663</v>
      </c>
      <c r="P107" s="3">
        <f>ss_gamma</f>
        <v>20.392847492212017</v>
      </c>
    </row>
    <row r="108" spans="8:18" x14ac:dyDescent="0.2">
      <c r="H108" t="s">
        <v>111</v>
      </c>
      <c r="M108" s="3">
        <f>ATAN(ABS(M106/L105))</f>
        <v>0.34978066559474374</v>
      </c>
      <c r="O108" s="4" t="s">
        <v>112</v>
      </c>
    </row>
    <row r="109" spans="8:18" x14ac:dyDescent="0.2">
      <c r="H109" t="s">
        <v>113</v>
      </c>
      <c r="M109" s="5">
        <f>IF(L105*M106&gt;0,-1,1)</f>
        <v>-1</v>
      </c>
      <c r="N109" s="5"/>
      <c r="O109" s="3">
        <f t="array" ref="O109:P110">MINVERSE(O106:P107)</f>
        <v>5.4453867259057251E-2</v>
      </c>
      <c r="P109" s="3">
        <v>-2.655116557286283E-3</v>
      </c>
    </row>
    <row r="110" spans="8:18" x14ac:dyDescent="0.2">
      <c r="H110" t="s">
        <v>114</v>
      </c>
      <c r="M110" s="3">
        <f>IF(L105&lt;0,-PI(),0)</f>
        <v>0</v>
      </c>
      <c r="O110" s="3">
        <v>-2.655116557286283E-3</v>
      </c>
      <c r="P110" s="3">
        <v>4.9166261639039567E-2</v>
      </c>
    </row>
    <row r="111" spans="8:18" x14ac:dyDescent="0.2">
      <c r="H111" t="s">
        <v>115</v>
      </c>
      <c r="M111" s="3">
        <f>M110+M109*M108</f>
        <v>-0.34978066559474374</v>
      </c>
    </row>
    <row r="112" spans="8:18" x14ac:dyDescent="0.2">
      <c r="H112" t="s">
        <v>115</v>
      </c>
      <c r="M112" s="3">
        <f>M111*180/PI()</f>
        <v>-20.040955893855617</v>
      </c>
      <c r="Q112" s="3">
        <f>s_beta_gamma/SQRT((ss_beta*ss_gamma))</f>
        <v>5.1313971996433817E-2</v>
      </c>
      <c r="R112" t="s">
        <v>116</v>
      </c>
    </row>
    <row r="113" spans="8:19" x14ac:dyDescent="0.2">
      <c r="Q113" s="3">
        <f>(PopBeta^2/ss_beta) - 2*Kit_R*PopBeta*PopGamma/SQRT(N*ss_gamma) + (PopGamma^2/ss_gamma)</f>
        <v>1.5419358007037552E-2</v>
      </c>
      <c r="R113" t="s">
        <v>117</v>
      </c>
    </row>
    <row r="114" spans="8:19" ht="17" x14ac:dyDescent="0.2">
      <c r="H114" t="s">
        <v>118</v>
      </c>
      <c r="N114" s="3">
        <f>SUM(N2:N100)/(N-1)</f>
        <v>90.795433559216775</v>
      </c>
      <c r="Q114" s="3">
        <f>(N*(N-2))/((2*(N-1))*(1-Kit_R^2))</f>
        <v>43.609080979186352</v>
      </c>
      <c r="R114" t="s">
        <v>119</v>
      </c>
      <c r="S114" s="3"/>
    </row>
    <row r="115" spans="8:19" x14ac:dyDescent="0.2">
      <c r="H115" t="s">
        <v>154</v>
      </c>
      <c r="N115" s="3">
        <f>SQRT(SS_Mesor)</f>
        <v>9.5286637866605819</v>
      </c>
      <c r="Q115" s="3">
        <f>mult*GC_Paren</f>
        <v>0.67242403197596612</v>
      </c>
      <c r="R115" t="s">
        <v>121</v>
      </c>
      <c r="S115" s="3"/>
    </row>
    <row r="116" spans="8:19" x14ac:dyDescent="0.2">
      <c r="H116" t="s">
        <v>122</v>
      </c>
      <c r="N116" s="3">
        <f>_xlfn.T.INV(1-0.05/2,N-1)</f>
        <v>1.9876082815890699</v>
      </c>
      <c r="Q116" s="3">
        <f>FDIST(F,2,N-2)</f>
        <v>0.51313279740246664</v>
      </c>
      <c r="R116" t="s">
        <v>123</v>
      </c>
      <c r="S116" s="1"/>
    </row>
    <row r="117" spans="8:19" x14ac:dyDescent="0.2">
      <c r="H117" s="6" t="s">
        <v>124</v>
      </c>
      <c r="N117" s="3">
        <f>tVal*SD_Mesor/SQRT(N)</f>
        <v>2.018930946065792</v>
      </c>
      <c r="Q117" s="3">
        <f>(1+2*Q115/(I102-2))^(-(I102-2)/2)</f>
        <v>0.51313279740246664</v>
      </c>
      <c r="R117" t="s">
        <v>123</v>
      </c>
    </row>
    <row r="119" spans="8:19" x14ac:dyDescent="0.2">
      <c r="H119" t="s">
        <v>120</v>
      </c>
      <c r="N119" s="3">
        <f>SQRT(SS_Mesor/N)</f>
        <v>1.0157589726138998</v>
      </c>
    </row>
    <row r="120" spans="8:19" x14ac:dyDescent="0.2">
      <c r="Q120" s="7">
        <f>(ss_beta*PopBeta^2 +2*s_beta_gamma*PopBeta*PopGamma +ss_gamma*PopGamma^2)/(N*PopA^2)</f>
        <v>0.21915267611137423</v>
      </c>
      <c r="R120" t="s">
        <v>125</v>
      </c>
    </row>
    <row r="121" spans="8:19" x14ac:dyDescent="0.2">
      <c r="Q121" s="3">
        <f>(-(ss_beta-ss_gamma)*PopBeta*PopGamma + s_beta_gamma*(PopBeta^2-PopGamma^2))/(N*PopA^2)</f>
        <v>1.588973539104984E-2</v>
      </c>
      <c r="R121" t="s">
        <v>126</v>
      </c>
    </row>
    <row r="122" spans="8:19" x14ac:dyDescent="0.2">
      <c r="H122" s="6" t="s">
        <v>127</v>
      </c>
      <c r="N122" s="3">
        <f>tVal*SQRT(Q120)</f>
        <v>0.93047388107361029</v>
      </c>
      <c r="Q122" s="3">
        <f>(O102*PopGamma^2 - 2*s_beta_gamma*PopBeta*PopGamma + ss_gamma*PopBeta^2)/(N*PopA^2)</f>
        <v>0.221818902239316</v>
      </c>
      <c r="R122" t="s">
        <v>128</v>
      </c>
    </row>
    <row r="123" spans="8:19" x14ac:dyDescent="0.2">
      <c r="H123" t="s">
        <v>129</v>
      </c>
      <c r="N123" s="3">
        <f>PopA-PopA_CI</f>
        <v>-0.39064106152244893</v>
      </c>
    </row>
    <row r="124" spans="8:19" x14ac:dyDescent="0.2">
      <c r="H124" t="s">
        <v>130</v>
      </c>
      <c r="N124" s="3">
        <f>PopA+PopA_CI</f>
        <v>1.4703067006247716</v>
      </c>
      <c r="Q124" s="3">
        <f>L107^2-N116^2*Q120</f>
        <v>-0.57436217029563019</v>
      </c>
      <c r="R124" t="s">
        <v>131</v>
      </c>
    </row>
    <row r="125" spans="8:19" x14ac:dyDescent="0.2">
      <c r="Q125" s="3">
        <f>N116^2*Q121</f>
        <v>6.2773777001154538E-2</v>
      </c>
      <c r="R125" t="s">
        <v>132</v>
      </c>
    </row>
    <row r="126" spans="8:19" x14ac:dyDescent="0.2">
      <c r="Q126" s="3">
        <f>N116*SQRT(Q122)</f>
        <v>0.93611687346713202</v>
      </c>
      <c r="R126" t="s">
        <v>133</v>
      </c>
    </row>
    <row r="127" spans="8:19" x14ac:dyDescent="0.2">
      <c r="O127" s="3" t="s">
        <v>134</v>
      </c>
      <c r="P127" s="3" t="e">
        <f>SQRT(Q127)</f>
        <v>#NUM!</v>
      </c>
      <c r="Q127" s="3">
        <f>L107^2 - (Q120*Q122-Q121^2)*N116^2/Q122</f>
        <v>-0.56986544483185975</v>
      </c>
      <c r="R127" t="s">
        <v>135</v>
      </c>
    </row>
    <row r="128" spans="8:19" x14ac:dyDescent="0.2">
      <c r="O128" s="3" t="s">
        <v>136</v>
      </c>
      <c r="P128" s="3" t="e">
        <f>(Q125+Q126*SQRT(Q127))/Q124</f>
        <v>#NUM!</v>
      </c>
      <c r="Q128" s="7" t="e">
        <f>(Q125+Q126*SQRT(Q127))/Q124</f>
        <v>#NUM!</v>
      </c>
      <c r="R128" t="s">
        <v>137</v>
      </c>
    </row>
    <row r="129" spans="15:18" x14ac:dyDescent="0.2">
      <c r="O129" s="3" t="s">
        <v>138</v>
      </c>
      <c r="P129" s="3" t="e">
        <f>(Q125-Q126*SQRT(Q127))/Q124</f>
        <v>#NUM!</v>
      </c>
      <c r="Q129" s="7" t="e">
        <f>(Q125-Q126*SQRT(Q127))/Q124</f>
        <v>#NUM!</v>
      </c>
      <c r="R129" t="s">
        <v>139</v>
      </c>
    </row>
    <row r="131" spans="15:18" x14ac:dyDescent="0.2">
      <c r="Q131" s="3" t="e">
        <f>ATAN(Q128)</f>
        <v>#NUM!</v>
      </c>
      <c r="R131" t="s">
        <v>140</v>
      </c>
    </row>
    <row r="132" spans="15:18" x14ac:dyDescent="0.2">
      <c r="Q132" s="3" t="e">
        <f>ATAN(Q129)</f>
        <v>#NUM!</v>
      </c>
      <c r="R132" t="s">
        <v>141</v>
      </c>
    </row>
    <row r="133" spans="15:18" x14ac:dyDescent="0.2">
      <c r="Q133" s="3" t="e">
        <f>Q131*180/PI()</f>
        <v>#NUM!</v>
      </c>
      <c r="R133" t="s">
        <v>140</v>
      </c>
    </row>
    <row r="134" spans="15:18" x14ac:dyDescent="0.2">
      <c r="Q134" s="3" t="e">
        <f>Q132*180/PI()</f>
        <v>#NUM!</v>
      </c>
      <c r="R134" t="s">
        <v>141</v>
      </c>
    </row>
    <row r="136" spans="15:18" x14ac:dyDescent="0.2">
      <c r="Q136" s="3" t="e">
        <f>ATAN(P128)</f>
        <v>#NUM!</v>
      </c>
      <c r="R136" t="s">
        <v>142</v>
      </c>
    </row>
    <row r="137" spans="15:18" x14ac:dyDescent="0.2">
      <c r="Q137" s="3" t="e">
        <f>Q122*COS(Q136)+Q121*SIN(Q136)</f>
        <v>#NUM!</v>
      </c>
      <c r="R137" t="s">
        <v>143</v>
      </c>
    </row>
    <row r="138" spans="15:18" x14ac:dyDescent="0.2">
      <c r="Q138" s="3" t="e">
        <f>IF(Q137&lt;0,Q136+PI(),Q136)</f>
        <v>#NUM!</v>
      </c>
      <c r="R138" t="s">
        <v>142</v>
      </c>
    </row>
    <row r="139" spans="15:18" x14ac:dyDescent="0.2">
      <c r="Q139" s="3" t="e">
        <f>Q138*180/PI()</f>
        <v>#NUM!</v>
      </c>
      <c r="R139" t="s">
        <v>142</v>
      </c>
    </row>
    <row r="140" spans="15:18" x14ac:dyDescent="0.2">
      <c r="Q140" s="3" t="e">
        <f>Q139+M112</f>
        <v>#NUM!</v>
      </c>
      <c r="R140" t="s">
        <v>144</v>
      </c>
    </row>
    <row r="141" spans="15:18" x14ac:dyDescent="0.2">
      <c r="Q141" s="3" t="e">
        <f>IF(Q140&gt;0,Q140-360,Q140)</f>
        <v>#NUM!</v>
      </c>
      <c r="R141" t="s">
        <v>145</v>
      </c>
    </row>
    <row r="143" spans="15:18" x14ac:dyDescent="0.2">
      <c r="Q143" s="3" t="e">
        <f>ATAN(P129)</f>
        <v>#NUM!</v>
      </c>
      <c r="R143" t="s">
        <v>146</v>
      </c>
    </row>
    <row r="144" spans="15:18" x14ac:dyDescent="0.2">
      <c r="Q144" s="3" t="e">
        <f>Q122*COS(Q136)+Q121*SIN(Q136)</f>
        <v>#NUM!</v>
      </c>
      <c r="R144" t="s">
        <v>147</v>
      </c>
    </row>
    <row r="145" spans="17:18" x14ac:dyDescent="0.2">
      <c r="Q145" s="3" t="e">
        <f>IF(Q144&lt;0,Q143+PI(),Q143)</f>
        <v>#NUM!</v>
      </c>
      <c r="R145" t="s">
        <v>146</v>
      </c>
    </row>
    <row r="146" spans="17:18" x14ac:dyDescent="0.2">
      <c r="Q146" s="3" t="e">
        <f>Q145*180/PI()</f>
        <v>#NUM!</v>
      </c>
      <c r="R146" t="s">
        <v>146</v>
      </c>
    </row>
    <row r="147" spans="17:18" x14ac:dyDescent="0.2">
      <c r="Q147" s="3" t="e">
        <f>Q146+M112</f>
        <v>#NUM!</v>
      </c>
      <c r="R147" t="s">
        <v>148</v>
      </c>
    </row>
    <row r="148" spans="17:18" x14ac:dyDescent="0.2">
      <c r="Q148" s="3" t="e">
        <f>IF(Q147&gt;0,Q147-360,Q147)</f>
        <v>#NUM!</v>
      </c>
      <c r="R14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workbookViewId="0">
      <selection activeCell="L107" sqref="L107"/>
    </sheetView>
  </sheetViews>
  <sheetFormatPr baseColWidth="10" defaultColWidth="8.83203125" defaultRowHeight="15" x14ac:dyDescent="0.2"/>
  <cols>
    <col min="1" max="1" width="5.5" style="1" customWidth="1"/>
    <col min="2" max="2" width="6.6640625" style="2" customWidth="1"/>
    <col min="3" max="4" width="8.83203125" style="3"/>
    <col min="5" max="5" width="7.5" style="2" customWidth="1"/>
    <col min="6" max="6" width="7.5" style="3" customWidth="1"/>
    <col min="7" max="7" width="1.83203125" customWidth="1"/>
    <col min="8" max="8" width="6.83203125" customWidth="1"/>
    <col min="9" max="9" width="5" style="1" customWidth="1"/>
    <col min="10" max="10" width="7.1640625" style="1" customWidth="1"/>
    <col min="11" max="11" width="9" style="1" customWidth="1"/>
    <col min="12" max="14" width="8.83203125" style="3"/>
    <col min="15" max="17" width="8.83203125" style="3" customWidth="1"/>
  </cols>
  <sheetData>
    <row r="1" spans="1:17" x14ac:dyDescent="0.2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2">
      <c r="A2" s="1" t="s">
        <v>95</v>
      </c>
      <c r="B2" s="2">
        <v>3</v>
      </c>
      <c r="C2" s="3">
        <v>137.55500000000001</v>
      </c>
      <c r="D2" s="3">
        <v>2.8220000000000001</v>
      </c>
      <c r="E2" s="2">
        <v>-47</v>
      </c>
      <c r="F2" s="3">
        <f>E2*PI()/180</f>
        <v>-0.82030474843733492</v>
      </c>
      <c r="I2" s="1">
        <v>1</v>
      </c>
      <c r="J2" s="2">
        <f>B2</f>
        <v>3</v>
      </c>
      <c r="K2" s="2">
        <f>C2</f>
        <v>137.55500000000001</v>
      </c>
      <c r="L2" s="3">
        <f>D2*COS(F2)</f>
        <v>1.9245993720963708</v>
      </c>
      <c r="M2" s="3">
        <f>-D2*SIN(F2)</f>
        <v>2.063880145969299</v>
      </c>
      <c r="N2" s="3">
        <f t="shared" ref="N2:N33" si="0">(C2-K$104)^2</f>
        <v>0.95124555578512338</v>
      </c>
      <c r="O2" s="3">
        <f t="shared" ref="O2:O33" si="1">(L2-L$105)^2</f>
        <v>0.38742439820788754</v>
      </c>
      <c r="P2" s="3">
        <f t="shared" ref="P2:P33" si="2">(L2-L$105)*(M2-M$106)</f>
        <v>1.0392963892155576</v>
      </c>
      <c r="Q2" s="3">
        <f t="shared" ref="Q2:Q33" si="3">(M2-M$106)^2</f>
        <v>2.7879942245064973</v>
      </c>
    </row>
    <row r="3" spans="1:17" x14ac:dyDescent="0.2">
      <c r="A3" s="1" t="s">
        <v>61</v>
      </c>
      <c r="B3" s="2">
        <v>12</v>
      </c>
      <c r="C3" s="3">
        <v>139.67099999999999</v>
      </c>
      <c r="D3" s="3">
        <v>9.01</v>
      </c>
      <c r="E3" s="2">
        <v>-61</v>
      </c>
      <c r="F3" s="3">
        <f t="shared" ref="F3:F66" si="4">E3*PI()/180</f>
        <v>-1.064650843716541</v>
      </c>
      <c r="I3" s="1">
        <v>2</v>
      </c>
      <c r="J3" s="2">
        <f>J2+B3</f>
        <v>15</v>
      </c>
      <c r="K3" s="2">
        <f>K2+C3</f>
        <v>277.226</v>
      </c>
      <c r="L3" s="3">
        <f t="shared" ref="L3:L66" si="5">D3*COS(F3)</f>
        <v>4.368134678419497</v>
      </c>
      <c r="M3" s="3">
        <f t="shared" ref="M3:M66" si="6">-D3*SIN(F3)</f>
        <v>7.8803235613259552</v>
      </c>
      <c r="N3" s="3">
        <f t="shared" si="0"/>
        <v>9.5562481012395768</v>
      </c>
      <c r="O3" s="3">
        <f t="shared" si="1"/>
        <v>9.4001693332787752</v>
      </c>
      <c r="P3" s="3">
        <f t="shared" si="2"/>
        <v>22.952376083838718</v>
      </c>
      <c r="Q3" s="3">
        <f t="shared" si="3"/>
        <v>56.042774253963344</v>
      </c>
    </row>
    <row r="4" spans="1:17" x14ac:dyDescent="0.2">
      <c r="A4" s="1" t="s">
        <v>61</v>
      </c>
      <c r="B4" s="2">
        <v>20</v>
      </c>
      <c r="C4" s="3">
        <v>137.57300000000001</v>
      </c>
      <c r="D4" s="3">
        <v>6.7320000000000002</v>
      </c>
      <c r="E4" s="2">
        <v>-6</v>
      </c>
      <c r="F4" s="3">
        <f t="shared" si="4"/>
        <v>-0.10471975511965977</v>
      </c>
      <c r="I4" s="1">
        <v>3</v>
      </c>
      <c r="J4" s="2">
        <f t="shared" ref="J4:K19" si="7">J3+B4</f>
        <v>35</v>
      </c>
      <c r="K4" s="2">
        <f t="shared" si="7"/>
        <v>414.79899999999998</v>
      </c>
      <c r="L4" s="3">
        <f t="shared" si="5"/>
        <v>6.6951213996192163</v>
      </c>
      <c r="M4" s="3">
        <f t="shared" si="6"/>
        <v>0.70368561471784308</v>
      </c>
      <c r="N4" s="3">
        <f t="shared" si="0"/>
        <v>0.98668101033057931</v>
      </c>
      <c r="O4" s="3">
        <f t="shared" si="1"/>
        <v>29.083977434101975</v>
      </c>
      <c r="P4" s="3">
        <f t="shared" si="2"/>
        <v>1.6693047121299858</v>
      </c>
      <c r="Q4" s="3">
        <f t="shared" si="3"/>
        <v>9.5811455921156599E-2</v>
      </c>
    </row>
    <row r="5" spans="1:17" x14ac:dyDescent="0.2">
      <c r="A5" s="1" t="s">
        <v>61</v>
      </c>
      <c r="B5" s="2">
        <v>22</v>
      </c>
      <c r="C5" s="3">
        <v>148.35400000000001</v>
      </c>
      <c r="D5" s="3">
        <v>5.0060000000000002</v>
      </c>
      <c r="E5" s="2">
        <v>-357</v>
      </c>
      <c r="F5" s="3">
        <f t="shared" si="4"/>
        <v>-6.2308254296197561</v>
      </c>
      <c r="I5" s="1">
        <v>4</v>
      </c>
      <c r="J5" s="2">
        <f t="shared" si="7"/>
        <v>57</v>
      </c>
      <c r="K5" s="2">
        <f t="shared" si="7"/>
        <v>563.15300000000002</v>
      </c>
      <c r="L5" s="3">
        <f t="shared" si="5"/>
        <v>4.9991394509813967</v>
      </c>
      <c r="M5" s="3">
        <f t="shared" si="6"/>
        <v>-0.2619937969521795</v>
      </c>
      <c r="N5" s="3">
        <f t="shared" si="0"/>
        <v>138.63456864669436</v>
      </c>
      <c r="O5" s="3">
        <f t="shared" si="1"/>
        <v>13.66761920408454</v>
      </c>
      <c r="P5" s="3">
        <f t="shared" si="2"/>
        <v>-2.4257517962289974</v>
      </c>
      <c r="Q5" s="3">
        <f t="shared" si="3"/>
        <v>0.43052646470789185</v>
      </c>
    </row>
    <row r="6" spans="1:17" x14ac:dyDescent="0.2">
      <c r="A6" s="1" t="s">
        <v>24</v>
      </c>
      <c r="B6" s="2">
        <v>8</v>
      </c>
      <c r="C6" s="3">
        <v>128.149</v>
      </c>
      <c r="D6" s="3">
        <v>4.7050000000000001</v>
      </c>
      <c r="E6" s="2">
        <v>-15</v>
      </c>
      <c r="F6" s="3">
        <f t="shared" si="4"/>
        <v>-0.26179938779914941</v>
      </c>
      <c r="I6" s="1">
        <v>5</v>
      </c>
      <c r="J6" s="2">
        <f t="shared" si="7"/>
        <v>65</v>
      </c>
      <c r="K6" s="2">
        <f t="shared" si="7"/>
        <v>691.30200000000002</v>
      </c>
      <c r="L6" s="3">
        <f t="shared" si="5"/>
        <v>4.5446810126900665</v>
      </c>
      <c r="M6" s="3">
        <f t="shared" si="6"/>
        <v>1.2177436072073602</v>
      </c>
      <c r="N6" s="3">
        <f t="shared" si="0"/>
        <v>71.076395919421586</v>
      </c>
      <c r="O6" s="3">
        <f t="shared" si="1"/>
        <v>10.513909314478513</v>
      </c>
      <c r="P6" s="3">
        <f t="shared" si="2"/>
        <v>2.6705109563260807</v>
      </c>
      <c r="Q6" s="3">
        <f t="shared" si="3"/>
        <v>0.67830419252682739</v>
      </c>
    </row>
    <row r="7" spans="1:17" x14ac:dyDescent="0.2">
      <c r="A7" s="1" t="s">
        <v>24</v>
      </c>
      <c r="B7" s="2">
        <v>30</v>
      </c>
      <c r="C7" s="3">
        <v>124.342</v>
      </c>
      <c r="D7" s="3">
        <v>10.597</v>
      </c>
      <c r="E7" s="2">
        <v>-98</v>
      </c>
      <c r="F7" s="3">
        <f t="shared" si="4"/>
        <v>-1.7104226669544429</v>
      </c>
      <c r="I7" s="1">
        <v>6</v>
      </c>
      <c r="J7" s="2">
        <f t="shared" si="7"/>
        <v>95</v>
      </c>
      <c r="K7" s="2">
        <f t="shared" si="7"/>
        <v>815.64400000000001</v>
      </c>
      <c r="L7" s="3">
        <f t="shared" si="5"/>
        <v>-1.4748173508738125</v>
      </c>
      <c r="M7" s="3">
        <f t="shared" si="6"/>
        <v>10.493870724454421</v>
      </c>
      <c r="N7" s="3">
        <f t="shared" si="0"/>
        <v>149.76085628305805</v>
      </c>
      <c r="O7" s="3">
        <f t="shared" si="1"/>
        <v>7.7116316434283574</v>
      </c>
      <c r="P7" s="3">
        <f t="shared" si="2"/>
        <v>-28.046743640463998</v>
      </c>
      <c r="Q7" s="3">
        <f t="shared" si="3"/>
        <v>102.00433127589071</v>
      </c>
    </row>
    <row r="8" spans="1:17" x14ac:dyDescent="0.2">
      <c r="A8" s="1" t="s">
        <v>61</v>
      </c>
      <c r="B8" s="2">
        <v>8</v>
      </c>
      <c r="C8" s="3">
        <v>135.286</v>
      </c>
      <c r="D8" s="3">
        <v>4.5110000000000001</v>
      </c>
      <c r="E8" s="2">
        <v>-10</v>
      </c>
      <c r="F8" s="3">
        <f t="shared" si="4"/>
        <v>-0.17453292519943295</v>
      </c>
      <c r="I8" s="1">
        <v>7</v>
      </c>
      <c r="J8" s="2">
        <f t="shared" si="7"/>
        <v>103</v>
      </c>
      <c r="K8" s="2">
        <f t="shared" si="7"/>
        <v>950.93000000000006</v>
      </c>
      <c r="L8" s="3">
        <f t="shared" si="5"/>
        <v>4.4424677738380707</v>
      </c>
      <c r="M8" s="3">
        <f t="shared" si="6"/>
        <v>0.78332692945552274</v>
      </c>
      <c r="N8" s="3">
        <f t="shared" si="0"/>
        <v>1.6736126466942298</v>
      </c>
      <c r="O8" s="3">
        <f t="shared" si="1"/>
        <v>9.8615007578291589</v>
      </c>
      <c r="P8" s="3">
        <f t="shared" si="2"/>
        <v>1.2221290790433519</v>
      </c>
      <c r="Q8" s="3">
        <f t="shared" si="3"/>
        <v>0.15145762521567172</v>
      </c>
    </row>
    <row r="9" spans="1:17" x14ac:dyDescent="0.2">
      <c r="A9" s="1" t="s">
        <v>61</v>
      </c>
      <c r="B9" s="2">
        <v>29</v>
      </c>
      <c r="C9" s="3">
        <v>131.56800000000001</v>
      </c>
      <c r="D9" s="3">
        <v>12.41</v>
      </c>
      <c r="E9" s="2">
        <v>-60</v>
      </c>
      <c r="F9" s="3">
        <f t="shared" si="4"/>
        <v>-1.0471975511965976</v>
      </c>
      <c r="I9" s="1">
        <v>8</v>
      </c>
      <c r="J9" s="2">
        <f t="shared" si="7"/>
        <v>132</v>
      </c>
      <c r="K9" s="2">
        <f t="shared" si="7"/>
        <v>1082.498</v>
      </c>
      <c r="L9" s="3">
        <f t="shared" si="5"/>
        <v>6.2050000000000018</v>
      </c>
      <c r="M9" s="3">
        <f t="shared" si="6"/>
        <v>10.747375260964883</v>
      </c>
      <c r="N9" s="3">
        <f t="shared" si="0"/>
        <v>25.116954646694165</v>
      </c>
      <c r="O9" s="3">
        <f t="shared" si="1"/>
        <v>24.037789860742489</v>
      </c>
      <c r="P9" s="3">
        <f t="shared" si="2"/>
        <v>50.760147270842111</v>
      </c>
      <c r="Q9" s="3">
        <f t="shared" si="3"/>
        <v>107.18924517954801</v>
      </c>
    </row>
    <row r="10" spans="1:17" x14ac:dyDescent="0.2">
      <c r="A10" s="1" t="s">
        <v>61</v>
      </c>
      <c r="B10" s="2">
        <v>9</v>
      </c>
      <c r="C10" s="3">
        <v>130.03299999999999</v>
      </c>
      <c r="D10" s="3">
        <v>5.9050000000000002</v>
      </c>
      <c r="E10" s="2">
        <v>-17</v>
      </c>
      <c r="F10" s="3">
        <f t="shared" si="4"/>
        <v>-0.29670597283903605</v>
      </c>
      <c r="I10" s="1">
        <v>9</v>
      </c>
      <c r="J10" s="2">
        <f t="shared" si="7"/>
        <v>141</v>
      </c>
      <c r="K10" s="2">
        <f t="shared" si="7"/>
        <v>1212.5309999999999</v>
      </c>
      <c r="L10" s="3">
        <f t="shared" si="5"/>
        <v>5.6469795839617243</v>
      </c>
      <c r="M10" s="3">
        <f t="shared" si="6"/>
        <v>1.7264549163877607</v>
      </c>
      <c r="N10" s="3">
        <f t="shared" si="0"/>
        <v>42.859042828512656</v>
      </c>
      <c r="O10" s="3">
        <f t="shared" si="1"/>
        <v>18.877412726426343</v>
      </c>
      <c r="P10" s="3">
        <f t="shared" si="2"/>
        <v>5.7886117697697799</v>
      </c>
      <c r="Q10" s="3">
        <f t="shared" si="3"/>
        <v>1.7750327710009541</v>
      </c>
    </row>
    <row r="11" spans="1:17" x14ac:dyDescent="0.2">
      <c r="A11" s="1" t="s">
        <v>61</v>
      </c>
      <c r="B11" s="2">
        <v>7</v>
      </c>
      <c r="C11" s="3">
        <v>128.96899999999999</v>
      </c>
      <c r="D11" s="3">
        <v>3.4359999999999999</v>
      </c>
      <c r="E11" s="2">
        <v>-210</v>
      </c>
      <c r="F11" s="3">
        <f t="shared" si="4"/>
        <v>-3.6651914291880923</v>
      </c>
      <c r="I11" s="1">
        <v>10</v>
      </c>
      <c r="J11" s="2">
        <f t="shared" si="7"/>
        <v>148</v>
      </c>
      <c r="K11" s="2">
        <f t="shared" si="7"/>
        <v>1341.5</v>
      </c>
      <c r="L11" s="3">
        <f t="shared" si="5"/>
        <v>-2.9756632874033309</v>
      </c>
      <c r="M11" s="3">
        <f t="shared" si="6"/>
        <v>-1.7180000000000004</v>
      </c>
      <c r="N11" s="3">
        <f t="shared" si="0"/>
        <v>57.922477737603501</v>
      </c>
      <c r="O11" s="3">
        <f t="shared" si="1"/>
        <v>18.299815883014279</v>
      </c>
      <c r="P11" s="3">
        <f t="shared" si="2"/>
        <v>9.0354210810558353</v>
      </c>
      <c r="Q11" s="3">
        <f t="shared" si="3"/>
        <v>4.4611833601978814</v>
      </c>
    </row>
    <row r="12" spans="1:17" x14ac:dyDescent="0.2">
      <c r="A12" s="1" t="s">
        <v>61</v>
      </c>
      <c r="B12" s="2">
        <v>3</v>
      </c>
      <c r="C12" s="3">
        <v>127.905</v>
      </c>
      <c r="D12" s="3">
        <v>2.8580000000000001</v>
      </c>
      <c r="E12" s="2">
        <v>-14</v>
      </c>
      <c r="F12" s="3">
        <f t="shared" si="4"/>
        <v>-0.24434609527920614</v>
      </c>
      <c r="I12" s="1">
        <v>11</v>
      </c>
      <c r="J12" s="2">
        <f t="shared" si="7"/>
        <v>151</v>
      </c>
      <c r="K12" s="2">
        <f t="shared" si="7"/>
        <v>1469.405</v>
      </c>
      <c r="L12" s="3">
        <f t="shared" si="5"/>
        <v>2.7731051856967981</v>
      </c>
      <c r="M12" s="3">
        <f t="shared" si="6"/>
        <v>0.69141277762385045</v>
      </c>
      <c r="N12" s="3">
        <f t="shared" si="0"/>
        <v>75.250104646694325</v>
      </c>
      <c r="O12" s="3">
        <f t="shared" si="1"/>
        <v>2.1636646769314622</v>
      </c>
      <c r="P12" s="3">
        <f t="shared" si="2"/>
        <v>0.43725373173477028</v>
      </c>
      <c r="Q12" s="3">
        <f t="shared" si="3"/>
        <v>8.8364351442448003E-2</v>
      </c>
    </row>
    <row r="13" spans="1:17" x14ac:dyDescent="0.2">
      <c r="A13" s="1" t="s">
        <v>61</v>
      </c>
      <c r="B13" s="2">
        <v>22</v>
      </c>
      <c r="C13" s="3">
        <v>137.346</v>
      </c>
      <c r="D13" s="3">
        <v>7.7590000000000003</v>
      </c>
      <c r="E13" s="2">
        <v>-338</v>
      </c>
      <c r="F13" s="3">
        <f t="shared" si="4"/>
        <v>-5.8992128717408336</v>
      </c>
      <c r="I13" s="1">
        <v>12</v>
      </c>
      <c r="J13" s="2">
        <f t="shared" si="7"/>
        <v>173</v>
      </c>
      <c r="K13" s="2">
        <f t="shared" si="7"/>
        <v>1606.751</v>
      </c>
      <c r="L13" s="3">
        <f t="shared" si="5"/>
        <v>7.1940195275837029</v>
      </c>
      <c r="M13" s="3">
        <f t="shared" si="6"/>
        <v>-2.906572558314064</v>
      </c>
      <c r="N13" s="3">
        <f t="shared" si="0"/>
        <v>0.58724355578511866</v>
      </c>
      <c r="O13" s="3">
        <f t="shared" si="1"/>
        <v>34.713948360401275</v>
      </c>
      <c r="P13" s="3">
        <f t="shared" si="2"/>
        <v>-19.447384756148097</v>
      </c>
      <c r="Q13" s="3">
        <f t="shared" si="3"/>
        <v>10.894778373441397</v>
      </c>
    </row>
    <row r="14" spans="1:17" x14ac:dyDescent="0.2">
      <c r="A14" s="1" t="s">
        <v>24</v>
      </c>
      <c r="B14" s="2">
        <v>15</v>
      </c>
      <c r="C14" s="3">
        <v>129.607</v>
      </c>
      <c r="D14" s="3">
        <v>4.6740000000000004</v>
      </c>
      <c r="E14" s="2">
        <v>-84</v>
      </c>
      <c r="F14" s="3">
        <f t="shared" si="4"/>
        <v>-1.4660765716752369</v>
      </c>
      <c r="I14" s="1">
        <v>13</v>
      </c>
      <c r="J14" s="2">
        <f t="shared" si="7"/>
        <v>188</v>
      </c>
      <c r="K14" s="2">
        <f t="shared" si="7"/>
        <v>1736.3579999999999</v>
      </c>
      <c r="L14" s="3">
        <f t="shared" si="5"/>
        <v>0.48856603731301229</v>
      </c>
      <c r="M14" s="3">
        <f t="shared" si="6"/>
        <v>4.6483953389513095</v>
      </c>
      <c r="N14" s="3">
        <f t="shared" si="0"/>
        <v>48.618291737603414</v>
      </c>
      <c r="O14" s="3">
        <f t="shared" si="1"/>
        <v>0.66194346731627407</v>
      </c>
      <c r="P14" s="3">
        <f t="shared" si="2"/>
        <v>-3.4612490001315699</v>
      </c>
      <c r="Q14" s="3">
        <f t="shared" si="3"/>
        <v>18.09859184725163</v>
      </c>
    </row>
    <row r="15" spans="1:17" x14ac:dyDescent="0.2">
      <c r="A15" s="1" t="s">
        <v>24</v>
      </c>
      <c r="B15" s="2">
        <v>40</v>
      </c>
      <c r="C15" s="3">
        <v>130.13</v>
      </c>
      <c r="D15" s="3">
        <v>7.3949999999999996</v>
      </c>
      <c r="E15" s="2">
        <v>-56</v>
      </c>
      <c r="F15" s="3">
        <f t="shared" si="4"/>
        <v>-0.97738438111682457</v>
      </c>
      <c r="I15" s="1">
        <v>14</v>
      </c>
      <c r="J15" s="2">
        <f t="shared" si="7"/>
        <v>228</v>
      </c>
      <c r="K15" s="2">
        <f t="shared" si="7"/>
        <v>1866.4879999999998</v>
      </c>
      <c r="L15" s="3">
        <f t="shared" si="5"/>
        <v>4.1352315211661725</v>
      </c>
      <c r="M15" s="3">
        <f t="shared" si="6"/>
        <v>6.1307328490445334</v>
      </c>
      <c r="N15" s="3">
        <f t="shared" si="0"/>
        <v>41.598395555785274</v>
      </c>
      <c r="O15" s="3">
        <f t="shared" si="1"/>
        <v>8.0262652335309799</v>
      </c>
      <c r="P15" s="3">
        <f t="shared" si="2"/>
        <v>16.252116279210295</v>
      </c>
      <c r="Q15" s="3">
        <f t="shared" si="3"/>
        <v>32.908367200416272</v>
      </c>
    </row>
    <row r="16" spans="1:17" x14ac:dyDescent="0.2">
      <c r="A16" s="1" t="s">
        <v>61</v>
      </c>
      <c r="B16" s="2">
        <v>5</v>
      </c>
      <c r="C16" s="3">
        <v>154.749</v>
      </c>
      <c r="D16" s="3">
        <v>1.913</v>
      </c>
      <c r="E16" s="2">
        <v>-338</v>
      </c>
      <c r="F16" s="3">
        <f t="shared" si="4"/>
        <v>-5.8992128717408336</v>
      </c>
      <c r="I16" s="1">
        <v>15</v>
      </c>
      <c r="J16" s="2">
        <f t="shared" si="7"/>
        <v>233</v>
      </c>
      <c r="K16" s="2">
        <f t="shared" si="7"/>
        <v>2021.2369999999999</v>
      </c>
      <c r="L16" s="3">
        <f t="shared" si="5"/>
        <v>1.7737027137862642</v>
      </c>
      <c r="M16" s="3">
        <f t="shared" si="6"/>
        <v>-0.71662241320464037</v>
      </c>
      <c r="N16" s="3">
        <f t="shared" si="0"/>
        <v>330.12412319214832</v>
      </c>
      <c r="O16" s="3">
        <f t="shared" si="1"/>
        <v>0.22234770237276941</v>
      </c>
      <c r="P16" s="3">
        <f t="shared" si="2"/>
        <v>-0.52377159145955554</v>
      </c>
      <c r="Q16" s="3">
        <f t="shared" si="3"/>
        <v>1.2338183713728952</v>
      </c>
    </row>
    <row r="17" spans="1:17" x14ac:dyDescent="0.2">
      <c r="A17" s="1" t="s">
        <v>61</v>
      </c>
      <c r="B17" s="2">
        <v>19</v>
      </c>
      <c r="C17" s="3">
        <v>150.072</v>
      </c>
      <c r="D17" s="3">
        <v>6.8019999999999996</v>
      </c>
      <c r="E17" s="2">
        <v>-19</v>
      </c>
      <c r="F17" s="3">
        <f t="shared" si="4"/>
        <v>-0.33161255787892258</v>
      </c>
      <c r="I17" s="1">
        <v>16</v>
      </c>
      <c r="J17" s="2">
        <f t="shared" si="7"/>
        <v>252</v>
      </c>
      <c r="K17" s="2">
        <f t="shared" si="7"/>
        <v>2171.3089999999997</v>
      </c>
      <c r="L17" s="3">
        <f t="shared" si="5"/>
        <v>6.4314173512265524</v>
      </c>
      <c r="M17" s="3">
        <f t="shared" si="6"/>
        <v>2.2145145866175793</v>
      </c>
      <c r="N17" s="3">
        <f t="shared" si="0"/>
        <v>182.04264991942136</v>
      </c>
      <c r="O17" s="3">
        <f t="shared" si="1"/>
        <v>26.309228451749561</v>
      </c>
      <c r="P17" s="3">
        <f t="shared" si="2"/>
        <v>9.3371021507346601</v>
      </c>
      <c r="Q17" s="3">
        <f t="shared" si="3"/>
        <v>3.3137222831578801</v>
      </c>
    </row>
    <row r="18" spans="1:17" x14ac:dyDescent="0.2">
      <c r="A18" s="1" t="s">
        <v>61</v>
      </c>
      <c r="B18" s="2">
        <v>14</v>
      </c>
      <c r="C18" s="3">
        <v>142.803</v>
      </c>
      <c r="D18" s="3">
        <v>5.6740000000000004</v>
      </c>
      <c r="E18" s="2">
        <v>-254</v>
      </c>
      <c r="F18" s="3">
        <f t="shared" si="4"/>
        <v>-4.4331363000655974</v>
      </c>
      <c r="I18" s="1">
        <v>17</v>
      </c>
      <c r="J18" s="2">
        <f t="shared" si="7"/>
        <v>266</v>
      </c>
      <c r="K18" s="2">
        <f t="shared" si="7"/>
        <v>2314.1119999999996</v>
      </c>
      <c r="L18" s="3">
        <f t="shared" si="5"/>
        <v>-1.5639663569056519</v>
      </c>
      <c r="M18" s="3">
        <f t="shared" si="6"/>
        <v>-5.4541988627540228</v>
      </c>
      <c r="N18" s="3">
        <f t="shared" si="0"/>
        <v>38.729689192148641</v>
      </c>
      <c r="O18" s="3">
        <f t="shared" si="1"/>
        <v>8.2147096427937054</v>
      </c>
      <c r="P18" s="3">
        <f t="shared" si="2"/>
        <v>16.762140656297266</v>
      </c>
      <c r="Q18" s="3">
        <f t="shared" si="3"/>
        <v>34.203200307630105</v>
      </c>
    </row>
    <row r="19" spans="1:17" x14ac:dyDescent="0.2">
      <c r="A19" s="1" t="s">
        <v>61</v>
      </c>
      <c r="B19" s="2">
        <v>26</v>
      </c>
      <c r="C19" s="3">
        <v>137.024</v>
      </c>
      <c r="D19" s="3">
        <v>10.673999999999999</v>
      </c>
      <c r="E19" s="2">
        <v>-252</v>
      </c>
      <c r="F19" s="3">
        <f t="shared" si="4"/>
        <v>-4.3982297150257104</v>
      </c>
      <c r="I19" s="1">
        <v>18</v>
      </c>
      <c r="J19" s="2">
        <f t="shared" si="7"/>
        <v>292</v>
      </c>
      <c r="K19" s="2">
        <f t="shared" si="7"/>
        <v>2451.1359999999995</v>
      </c>
      <c r="L19" s="3">
        <f t="shared" si="5"/>
        <v>-3.2984473979581903</v>
      </c>
      <c r="M19" s="3">
        <f t="shared" si="6"/>
        <v>-10.151577254934468</v>
      </c>
      <c r="N19" s="3">
        <f t="shared" si="0"/>
        <v>0.19741864669420936</v>
      </c>
      <c r="O19" s="3">
        <f t="shared" si="1"/>
        <v>21.165635540207937</v>
      </c>
      <c r="P19" s="3">
        <f t="shared" si="2"/>
        <v>48.516811068637708</v>
      </c>
      <c r="Q19" s="3">
        <f t="shared" si="3"/>
        <v>111.21239198314009</v>
      </c>
    </row>
    <row r="20" spans="1:17" x14ac:dyDescent="0.2">
      <c r="A20" s="1" t="s">
        <v>5</v>
      </c>
      <c r="B20" s="2">
        <v>36</v>
      </c>
      <c r="C20" s="3">
        <v>137.78399999999999</v>
      </c>
      <c r="D20" s="3">
        <v>8.0350000000000001</v>
      </c>
      <c r="E20" s="2">
        <v>-139</v>
      </c>
      <c r="F20" s="3">
        <f t="shared" si="4"/>
        <v>-2.4260076602721181</v>
      </c>
      <c r="I20" s="1">
        <v>19</v>
      </c>
      <c r="J20" s="2">
        <f t="shared" ref="J20:K35" si="8">J19+B20</f>
        <v>328</v>
      </c>
      <c r="K20" s="2">
        <f t="shared" si="8"/>
        <v>2588.9199999999996</v>
      </c>
      <c r="L20" s="3">
        <f t="shared" si="5"/>
        <v>-6.0640914770899732</v>
      </c>
      <c r="M20" s="3">
        <f t="shared" si="6"/>
        <v>5.2714342979387263</v>
      </c>
      <c r="N20" s="3">
        <f t="shared" si="0"/>
        <v>1.4503822830578144</v>
      </c>
      <c r="O20" s="3">
        <f t="shared" si="1"/>
        <v>54.261736253874282</v>
      </c>
      <c r="P20" s="3">
        <f t="shared" si="2"/>
        <v>-35.927317630187318</v>
      </c>
      <c r="Q20" s="3">
        <f t="shared" si="3"/>
        <v>23.787888873685045</v>
      </c>
    </row>
    <row r="21" spans="1:17" x14ac:dyDescent="0.2">
      <c r="A21" s="1" t="s">
        <v>5</v>
      </c>
      <c r="B21" s="2">
        <v>27</v>
      </c>
      <c r="C21" s="3">
        <v>129.15199999999999</v>
      </c>
      <c r="D21" s="3">
        <v>5.4640000000000004</v>
      </c>
      <c r="E21" s="2">
        <v>-110</v>
      </c>
      <c r="F21" s="3">
        <f t="shared" si="4"/>
        <v>-1.9198621771937625</v>
      </c>
      <c r="I21" s="1">
        <v>20</v>
      </c>
      <c r="J21" s="2">
        <f t="shared" si="8"/>
        <v>355</v>
      </c>
      <c r="K21" s="2">
        <f t="shared" si="8"/>
        <v>2718.0719999999997</v>
      </c>
      <c r="L21" s="3">
        <f t="shared" si="5"/>
        <v>-1.868798063131454</v>
      </c>
      <c r="M21" s="3">
        <f t="shared" si="6"/>
        <v>5.1344804799742043</v>
      </c>
      <c r="N21" s="3">
        <f t="shared" si="0"/>
        <v>55.170457192149065</v>
      </c>
      <c r="O21" s="3">
        <f t="shared" si="1"/>
        <v>10.055007508647195</v>
      </c>
      <c r="P21" s="3">
        <f t="shared" si="2"/>
        <v>-15.031409120787217</v>
      </c>
      <c r="Q21" s="3">
        <f t="shared" si="3"/>
        <v>22.470720182175537</v>
      </c>
    </row>
    <row r="22" spans="1:17" x14ac:dyDescent="0.2">
      <c r="A22" s="1" t="s">
        <v>5</v>
      </c>
      <c r="B22" s="2">
        <v>29</v>
      </c>
      <c r="C22" s="3">
        <v>149.15299999999999</v>
      </c>
      <c r="D22" s="3">
        <v>11.222</v>
      </c>
      <c r="E22" s="2">
        <v>-49</v>
      </c>
      <c r="F22" s="3">
        <f t="shared" si="4"/>
        <v>-0.85521133347722145</v>
      </c>
      <c r="I22" s="1">
        <v>21</v>
      </c>
      <c r="J22" s="2">
        <f t="shared" si="8"/>
        <v>384</v>
      </c>
      <c r="K22" s="2">
        <f t="shared" si="8"/>
        <v>2867.2249999999995</v>
      </c>
      <c r="L22" s="3">
        <f t="shared" si="5"/>
        <v>7.3622944233314724</v>
      </c>
      <c r="M22" s="3">
        <f t="shared" si="6"/>
        <v>8.4693509092599477</v>
      </c>
      <c r="N22" s="3">
        <f t="shared" si="0"/>
        <v>158.08833010123928</v>
      </c>
      <c r="O22" s="3">
        <f t="shared" si="1"/>
        <v>36.725167173341362</v>
      </c>
      <c r="P22" s="3">
        <f t="shared" si="2"/>
        <v>48.936753429429295</v>
      </c>
      <c r="Q22" s="3">
        <f t="shared" si="3"/>
        <v>65.208847788476206</v>
      </c>
    </row>
    <row r="23" spans="1:17" x14ac:dyDescent="0.2">
      <c r="A23" s="1" t="s">
        <v>5</v>
      </c>
      <c r="B23" s="2">
        <v>12</v>
      </c>
      <c r="C23" s="3">
        <v>142.404</v>
      </c>
      <c r="D23" s="3">
        <v>4.3849999999999998</v>
      </c>
      <c r="E23" s="2">
        <v>-48</v>
      </c>
      <c r="F23" s="3">
        <f t="shared" si="4"/>
        <v>-0.83775804095727813</v>
      </c>
      <c r="I23" s="1">
        <v>22</v>
      </c>
      <c r="J23" s="2">
        <f t="shared" si="8"/>
        <v>396</v>
      </c>
      <c r="K23" s="2">
        <f t="shared" si="8"/>
        <v>3009.6289999999995</v>
      </c>
      <c r="L23" s="3">
        <f t="shared" si="5"/>
        <v>2.9341377088835934</v>
      </c>
      <c r="M23" s="3">
        <f t="shared" si="6"/>
        <v>3.258690059718373</v>
      </c>
      <c r="N23" s="3">
        <f t="shared" si="0"/>
        <v>33.922682283057725</v>
      </c>
      <c r="O23" s="3">
        <f t="shared" si="1"/>
        <v>2.6633345309332785</v>
      </c>
      <c r="P23" s="3">
        <f t="shared" si="2"/>
        <v>4.6748486406347194</v>
      </c>
      <c r="Q23" s="3">
        <f t="shared" si="3"/>
        <v>8.2055819721551053</v>
      </c>
    </row>
    <row r="24" spans="1:17" x14ac:dyDescent="0.2">
      <c r="A24" s="1" t="s">
        <v>24</v>
      </c>
      <c r="B24" s="2">
        <v>12</v>
      </c>
      <c r="C24" s="3">
        <v>145.786</v>
      </c>
      <c r="D24" s="3">
        <v>4.3810000000000002</v>
      </c>
      <c r="E24" s="2">
        <v>-137</v>
      </c>
      <c r="F24" s="3">
        <f t="shared" si="4"/>
        <v>-2.3911010752322315</v>
      </c>
      <c r="I24" s="1">
        <v>23</v>
      </c>
      <c r="J24" s="2">
        <f t="shared" si="8"/>
        <v>408</v>
      </c>
      <c r="K24" s="2">
        <f t="shared" si="8"/>
        <v>3155.4149999999995</v>
      </c>
      <c r="L24" s="3">
        <f t="shared" si="5"/>
        <v>-3.204060566793586</v>
      </c>
      <c r="M24" s="3">
        <f t="shared" si="6"/>
        <v>2.9878348154338066</v>
      </c>
      <c r="N24" s="3">
        <f t="shared" si="0"/>
        <v>84.756294464875921</v>
      </c>
      <c r="O24" s="3">
        <f t="shared" si="1"/>
        <v>20.306069940136471</v>
      </c>
      <c r="P24" s="3">
        <f t="shared" si="2"/>
        <v>-11.687723018077659</v>
      </c>
      <c r="Q24" s="3">
        <f t="shared" si="3"/>
        <v>6.727193876019137</v>
      </c>
    </row>
    <row r="25" spans="1:17" x14ac:dyDescent="0.2">
      <c r="A25" s="1" t="s">
        <v>24</v>
      </c>
      <c r="B25" s="2">
        <v>13</v>
      </c>
      <c r="C25" s="3">
        <v>137.66900000000001</v>
      </c>
      <c r="D25" s="3">
        <v>7.8579999999999997</v>
      </c>
      <c r="E25" s="2">
        <v>-280</v>
      </c>
      <c r="F25" s="3">
        <f t="shared" si="4"/>
        <v>-4.8869219055841224</v>
      </c>
      <c r="I25" s="1">
        <v>24</v>
      </c>
      <c r="J25" s="2">
        <f t="shared" si="8"/>
        <v>421</v>
      </c>
      <c r="K25" s="2">
        <f t="shared" si="8"/>
        <v>3293.0839999999994</v>
      </c>
      <c r="L25" s="3">
        <f t="shared" si="5"/>
        <v>1.3645273801067357</v>
      </c>
      <c r="M25" s="3">
        <f t="shared" si="6"/>
        <v>-7.7386193231699307</v>
      </c>
      <c r="N25" s="3">
        <f t="shared" si="0"/>
        <v>1.1866141012396783</v>
      </c>
      <c r="O25" s="3">
        <f t="shared" si="1"/>
        <v>3.8890514881368648E-3</v>
      </c>
      <c r="P25" s="3">
        <f t="shared" si="2"/>
        <v>-0.5071779607878466</v>
      </c>
      <c r="Q25" s="3">
        <f t="shared" si="3"/>
        <v>66.141958956719776</v>
      </c>
    </row>
    <row r="26" spans="1:17" x14ac:dyDescent="0.2">
      <c r="A26" s="1" t="s">
        <v>5</v>
      </c>
      <c r="B26" s="2">
        <v>11</v>
      </c>
      <c r="C26" s="3">
        <v>160.124</v>
      </c>
      <c r="D26" s="3">
        <v>6.6180000000000003</v>
      </c>
      <c r="E26" s="2">
        <v>-319</v>
      </c>
      <c r="F26" s="3">
        <f t="shared" si="4"/>
        <v>-5.5676003138619112</v>
      </c>
      <c r="I26" s="1">
        <v>25</v>
      </c>
      <c r="J26" s="2">
        <f t="shared" si="8"/>
        <v>432</v>
      </c>
      <c r="K26" s="2">
        <f t="shared" si="8"/>
        <v>3453.2079999999992</v>
      </c>
      <c r="L26" s="3">
        <f t="shared" si="5"/>
        <v>4.994668001914305</v>
      </c>
      <c r="M26" s="3">
        <f t="shared" si="6"/>
        <v>-4.3417986538591782</v>
      </c>
      <c r="N26" s="3">
        <f t="shared" si="0"/>
        <v>554.33491864669361</v>
      </c>
      <c r="O26" s="3">
        <f t="shared" si="1"/>
        <v>13.634577533094463</v>
      </c>
      <c r="P26" s="3">
        <f t="shared" si="2"/>
        <v>-17.487509068446244</v>
      </c>
      <c r="Q26" s="3">
        <f t="shared" si="3"/>
        <v>22.429222517287869</v>
      </c>
    </row>
    <row r="27" spans="1:17" x14ac:dyDescent="0.2">
      <c r="A27" s="1" t="s">
        <v>5</v>
      </c>
      <c r="B27" s="2">
        <v>19</v>
      </c>
      <c r="C27" s="3">
        <v>161.30099999999999</v>
      </c>
      <c r="D27" s="3">
        <v>8.3420000000000005</v>
      </c>
      <c r="E27" s="2">
        <v>-307</v>
      </c>
      <c r="F27" s="3">
        <f t="shared" si="4"/>
        <v>-5.3581608036225914</v>
      </c>
      <c r="I27" s="1">
        <v>26</v>
      </c>
      <c r="J27" s="2">
        <f t="shared" si="8"/>
        <v>451</v>
      </c>
      <c r="K27" s="2">
        <f t="shared" si="8"/>
        <v>3614.5089999999991</v>
      </c>
      <c r="L27" s="3">
        <f t="shared" si="5"/>
        <v>5.0203409231343841</v>
      </c>
      <c r="M27" s="3">
        <f t="shared" si="6"/>
        <v>-6.6622174248145187</v>
      </c>
      <c r="N27" s="3">
        <f t="shared" si="0"/>
        <v>611.1435726466932</v>
      </c>
      <c r="O27" s="3">
        <f t="shared" si="1"/>
        <v>13.824831303164071</v>
      </c>
      <c r="P27" s="3">
        <f t="shared" si="2"/>
        <v>-26.236819667361395</v>
      </c>
      <c r="Q27" s="3">
        <f t="shared" si="3"/>
        <v>49.792340402742937</v>
      </c>
    </row>
    <row r="28" spans="1:17" x14ac:dyDescent="0.2">
      <c r="A28" s="1" t="s">
        <v>61</v>
      </c>
      <c r="B28" s="2">
        <v>52</v>
      </c>
      <c r="C28" s="3">
        <v>130.63200000000001</v>
      </c>
      <c r="D28" s="3">
        <v>8.57</v>
      </c>
      <c r="E28" s="2">
        <v>-13</v>
      </c>
      <c r="F28" s="3">
        <f t="shared" si="4"/>
        <v>-0.22689280275926285</v>
      </c>
      <c r="I28" s="1">
        <v>27</v>
      </c>
      <c r="J28" s="2">
        <f t="shared" si="8"/>
        <v>503</v>
      </c>
      <c r="K28" s="2">
        <f t="shared" si="8"/>
        <v>3745.1409999999992</v>
      </c>
      <c r="L28" s="3">
        <f t="shared" si="5"/>
        <v>8.3503514552094664</v>
      </c>
      <c r="M28" s="3">
        <f t="shared" si="6"/>
        <v>1.9278305357269232</v>
      </c>
      <c r="N28" s="3">
        <f t="shared" si="0"/>
        <v>35.374919010330601</v>
      </c>
      <c r="O28" s="3">
        <f t="shared" si="1"/>
        <v>49.676930616117886</v>
      </c>
      <c r="P28" s="3">
        <f t="shared" si="2"/>
        <v>10.809656621251419</v>
      </c>
      <c r="Q28" s="3">
        <f t="shared" si="3"/>
        <v>2.3521718193968413</v>
      </c>
    </row>
    <row r="29" spans="1:17" x14ac:dyDescent="0.2">
      <c r="A29" s="1" t="s">
        <v>61</v>
      </c>
      <c r="B29" s="2">
        <v>6</v>
      </c>
      <c r="C29" s="3">
        <v>137.91200000000001</v>
      </c>
      <c r="D29" s="3">
        <v>3.5640000000000001</v>
      </c>
      <c r="E29" s="2">
        <v>-117</v>
      </c>
      <c r="F29" s="3">
        <f t="shared" si="4"/>
        <v>-2.0420352248333655</v>
      </c>
      <c r="I29" s="1">
        <v>28</v>
      </c>
      <c r="J29" s="2">
        <f t="shared" si="8"/>
        <v>509</v>
      </c>
      <c r="K29" s="2">
        <f t="shared" si="8"/>
        <v>3883.052999999999</v>
      </c>
      <c r="L29" s="3">
        <f t="shared" si="5"/>
        <v>-1.6180221410717444</v>
      </c>
      <c r="M29" s="3">
        <f t="shared" si="6"/>
        <v>3.1755472522073434</v>
      </c>
      <c r="N29" s="3">
        <f t="shared" si="0"/>
        <v>1.7750717376033032</v>
      </c>
      <c r="O29" s="3">
        <f t="shared" si="1"/>
        <v>8.5274936396078491</v>
      </c>
      <c r="P29" s="3">
        <f t="shared" si="2"/>
        <v>-8.1221968574473298</v>
      </c>
      <c r="Q29" s="3">
        <f t="shared" si="3"/>
        <v>7.7361631188693583</v>
      </c>
    </row>
    <row r="30" spans="1:17" x14ac:dyDescent="0.2">
      <c r="A30" s="1" t="s">
        <v>61</v>
      </c>
      <c r="B30" s="2">
        <v>39</v>
      </c>
      <c r="C30" s="3">
        <v>136.84800000000001</v>
      </c>
      <c r="D30" s="3">
        <v>13.021000000000001</v>
      </c>
      <c r="E30" s="2">
        <v>-17</v>
      </c>
      <c r="F30" s="3">
        <f t="shared" si="4"/>
        <v>-0.29670597283903605</v>
      </c>
      <c r="I30" s="1">
        <v>29</v>
      </c>
      <c r="J30" s="2">
        <f t="shared" si="8"/>
        <v>548</v>
      </c>
      <c r="K30" s="2">
        <f t="shared" si="8"/>
        <v>4019.9009999999989</v>
      </c>
      <c r="L30" s="3">
        <f t="shared" si="5"/>
        <v>12.452044227394685</v>
      </c>
      <c r="M30" s="3">
        <f t="shared" si="6"/>
        <v>3.8069719671947557</v>
      </c>
      <c r="N30" s="3">
        <f t="shared" si="0"/>
        <v>7.1994646694218137E-2</v>
      </c>
      <c r="O30" s="3">
        <f t="shared" si="1"/>
        <v>124.31980410996647</v>
      </c>
      <c r="P30" s="3">
        <f t="shared" si="2"/>
        <v>38.052537204920945</v>
      </c>
      <c r="Q30" s="3">
        <f t="shared" si="3"/>
        <v>11.647344508772518</v>
      </c>
    </row>
    <row r="31" spans="1:17" x14ac:dyDescent="0.2">
      <c r="A31" s="1" t="s">
        <v>61</v>
      </c>
      <c r="B31" s="2">
        <v>17</v>
      </c>
      <c r="C31" s="3">
        <v>139.964</v>
      </c>
      <c r="D31" s="3">
        <v>5.391</v>
      </c>
      <c r="E31" s="2">
        <v>-233</v>
      </c>
      <c r="F31" s="3">
        <f t="shared" si="4"/>
        <v>-4.066617157146788</v>
      </c>
      <c r="I31" s="1">
        <v>30</v>
      </c>
      <c r="J31" s="2">
        <f t="shared" si="8"/>
        <v>565</v>
      </c>
      <c r="K31" s="2">
        <f t="shared" si="8"/>
        <v>4159.8649999999989</v>
      </c>
      <c r="L31" s="3">
        <f t="shared" si="5"/>
        <v>-3.2443847898126923</v>
      </c>
      <c r="M31" s="3">
        <f t="shared" si="6"/>
        <v>-4.3054440346649558</v>
      </c>
      <c r="N31" s="3">
        <f t="shared" si="0"/>
        <v>11.453609555785066</v>
      </c>
      <c r="O31" s="3">
        <f t="shared" si="1"/>
        <v>20.671116082234317</v>
      </c>
      <c r="P31" s="3">
        <f t="shared" si="2"/>
        <v>21.36694500976246</v>
      </c>
      <c r="Q31" s="3">
        <f t="shared" si="3"/>
        <v>22.086196857197724</v>
      </c>
    </row>
    <row r="32" spans="1:17" x14ac:dyDescent="0.2">
      <c r="A32" s="1" t="s">
        <v>61</v>
      </c>
      <c r="B32" s="2">
        <v>7</v>
      </c>
      <c r="C32" s="3">
        <v>131.50399999999999</v>
      </c>
      <c r="D32" s="3">
        <v>4.6470000000000002</v>
      </c>
      <c r="E32" s="2">
        <v>-331</v>
      </c>
      <c r="F32" s="3">
        <f t="shared" si="4"/>
        <v>-5.7770398241012311</v>
      </c>
      <c r="I32" s="1">
        <v>31</v>
      </c>
      <c r="J32" s="2">
        <f t="shared" si="8"/>
        <v>572</v>
      </c>
      <c r="K32" s="2">
        <f t="shared" si="8"/>
        <v>4291.3689999999988</v>
      </c>
      <c r="L32" s="3">
        <f t="shared" si="5"/>
        <v>4.0643577790767731</v>
      </c>
      <c r="M32" s="3">
        <f t="shared" si="6"/>
        <v>-2.2529103052847277</v>
      </c>
      <c r="N32" s="3">
        <f t="shared" si="0"/>
        <v>25.762545919421655</v>
      </c>
      <c r="O32" s="3">
        <f t="shared" si="1"/>
        <v>7.6297082859690848</v>
      </c>
      <c r="P32" s="3">
        <f t="shared" si="2"/>
        <v>-7.3116942952191089</v>
      </c>
      <c r="Q32" s="3">
        <f t="shared" si="3"/>
        <v>7.006935450606071</v>
      </c>
    </row>
    <row r="33" spans="1:17" x14ac:dyDescent="0.2">
      <c r="A33" s="1" t="s">
        <v>61</v>
      </c>
      <c r="B33" s="2">
        <v>46</v>
      </c>
      <c r="C33" s="3">
        <v>125.877</v>
      </c>
      <c r="D33" s="3">
        <v>7.6710000000000003</v>
      </c>
      <c r="E33" s="2">
        <v>-300</v>
      </c>
      <c r="F33" s="3">
        <f t="shared" si="4"/>
        <v>-5.2359877559829888</v>
      </c>
      <c r="I33" s="1">
        <v>32</v>
      </c>
      <c r="J33" s="2">
        <f t="shared" si="8"/>
        <v>618</v>
      </c>
      <c r="K33" s="2">
        <f t="shared" si="8"/>
        <v>4417.2459999999992</v>
      </c>
      <c r="L33" s="3">
        <f t="shared" si="5"/>
        <v>3.835500000000001</v>
      </c>
      <c r="M33" s="3">
        <f t="shared" si="6"/>
        <v>-6.6432808724304291</v>
      </c>
      <c r="N33" s="3">
        <f t="shared" si="0"/>
        <v>114.54739810123992</v>
      </c>
      <c r="O33" s="3">
        <f t="shared" si="1"/>
        <v>6.4177856143268563</v>
      </c>
      <c r="P33" s="3">
        <f t="shared" si="2"/>
        <v>-17.828172535785271</v>
      </c>
      <c r="Q33" s="3">
        <f t="shared" si="3"/>
        <v>49.525452401554858</v>
      </c>
    </row>
    <row r="34" spans="1:17" x14ac:dyDescent="0.2">
      <c r="A34" s="1" t="s">
        <v>61</v>
      </c>
      <c r="B34" s="2">
        <v>3</v>
      </c>
      <c r="C34" s="3">
        <v>151.06399999999999</v>
      </c>
      <c r="D34" s="3">
        <v>2.5619999999999998</v>
      </c>
      <c r="E34" s="2">
        <v>-95</v>
      </c>
      <c r="F34" s="3">
        <f t="shared" si="4"/>
        <v>-1.6580627893946132</v>
      </c>
      <c r="I34" s="1">
        <v>33</v>
      </c>
      <c r="J34" s="2">
        <f t="shared" si="8"/>
        <v>621</v>
      </c>
      <c r="K34" s="2">
        <f t="shared" si="8"/>
        <v>4568.3099999999995</v>
      </c>
      <c r="L34" s="3">
        <f t="shared" si="5"/>
        <v>-0.22329301291950038</v>
      </c>
      <c r="M34" s="3">
        <f t="shared" si="6"/>
        <v>2.552250816511052</v>
      </c>
      <c r="N34" s="3">
        <f t="shared" ref="N34:N65" si="9">(C34-K$104)^2</f>
        <v>209.79547319214836</v>
      </c>
      <c r="O34" s="3">
        <f t="shared" ref="O34:O65" si="10">(L34-L$105)^2</f>
        <v>2.3270225152286863</v>
      </c>
      <c r="P34" s="3">
        <f t="shared" ref="P34:P65" si="11">(L34-L$105)*(M34-M$106)</f>
        <v>-3.2920903701952966</v>
      </c>
      <c r="Q34" s="3">
        <f t="shared" ref="Q34:Q65" si="12">(M34-M$106)^2</f>
        <v>4.657393271705204</v>
      </c>
    </row>
    <row r="35" spans="1:17" x14ac:dyDescent="0.2">
      <c r="A35" s="1" t="s">
        <v>61</v>
      </c>
      <c r="B35" s="2">
        <v>12</v>
      </c>
      <c r="C35" s="3">
        <v>125.298</v>
      </c>
      <c r="D35" s="3">
        <v>5.0149999999999997</v>
      </c>
      <c r="E35" s="2">
        <v>-66</v>
      </c>
      <c r="F35" s="3">
        <f t="shared" si="4"/>
        <v>-1.1519173063162575</v>
      </c>
      <c r="I35" s="1">
        <v>34</v>
      </c>
      <c r="J35" s="2">
        <f t="shared" si="8"/>
        <v>633</v>
      </c>
      <c r="K35" s="2">
        <f t="shared" si="8"/>
        <v>4693.6079999999993</v>
      </c>
      <c r="L35" s="3">
        <f t="shared" si="5"/>
        <v>2.0397842650251379</v>
      </c>
      <c r="M35" s="3">
        <f t="shared" si="6"/>
        <v>4.5814304700776427</v>
      </c>
      <c r="N35" s="3">
        <f t="shared" si="9"/>
        <v>127.27634464669434</v>
      </c>
      <c r="O35" s="3">
        <f t="shared" si="10"/>
        <v>0.54408200313738297</v>
      </c>
      <c r="P35" s="3">
        <f t="shared" si="11"/>
        <v>3.0886172385253339</v>
      </c>
      <c r="Q35" s="3">
        <f t="shared" si="12"/>
        <v>17.533306360267684</v>
      </c>
    </row>
    <row r="36" spans="1:17" x14ac:dyDescent="0.2">
      <c r="A36" s="1" t="s">
        <v>24</v>
      </c>
      <c r="B36" s="2">
        <v>27</v>
      </c>
      <c r="C36" s="3">
        <v>131.827</v>
      </c>
      <c r="D36" s="3">
        <v>11.238</v>
      </c>
      <c r="E36" s="2">
        <v>-320</v>
      </c>
      <c r="F36" s="3">
        <f t="shared" si="4"/>
        <v>-5.5850536063818543</v>
      </c>
      <c r="I36" s="1">
        <v>35</v>
      </c>
      <c r="J36" s="2">
        <f t="shared" ref="J36:K51" si="13">J35+B36</f>
        <v>660</v>
      </c>
      <c r="K36" s="2">
        <f t="shared" si="13"/>
        <v>4825.4349999999995</v>
      </c>
      <c r="L36" s="3">
        <f t="shared" si="5"/>
        <v>8.6088074517710726</v>
      </c>
      <c r="M36" s="3">
        <f t="shared" si="6"/>
        <v>-7.2236471576573313</v>
      </c>
      <c r="N36" s="3">
        <f t="shared" si="9"/>
        <v>22.587984464876119</v>
      </c>
      <c r="O36" s="3">
        <f t="shared" si="10"/>
        <v>53.387022164723881</v>
      </c>
      <c r="P36" s="3">
        <f t="shared" si="11"/>
        <v>-55.660529111455226</v>
      </c>
      <c r="Q36" s="3">
        <f t="shared" si="12"/>
        <v>58.030854229106225</v>
      </c>
    </row>
    <row r="37" spans="1:17" x14ac:dyDescent="0.2">
      <c r="A37" s="1" t="s">
        <v>24</v>
      </c>
      <c r="B37" s="2">
        <v>25</v>
      </c>
      <c r="C37" s="3">
        <v>135.73400000000001</v>
      </c>
      <c r="D37" s="3">
        <v>6.9470000000000001</v>
      </c>
      <c r="E37" s="2">
        <v>-349</v>
      </c>
      <c r="F37" s="3">
        <f t="shared" si="4"/>
        <v>-6.0911990894602104</v>
      </c>
      <c r="I37" s="1">
        <v>36</v>
      </c>
      <c r="J37" s="2">
        <f t="shared" si="13"/>
        <v>685</v>
      </c>
      <c r="K37" s="2">
        <f t="shared" si="13"/>
        <v>4961.1689999999999</v>
      </c>
      <c r="L37" s="3">
        <f t="shared" si="5"/>
        <v>6.8193640434109213</v>
      </c>
      <c r="M37" s="3">
        <f t="shared" si="6"/>
        <v>-1.3255500908808557</v>
      </c>
      <c r="N37" s="3">
        <f t="shared" si="9"/>
        <v>0.71517773760330283</v>
      </c>
      <c r="O37" s="3">
        <f t="shared" si="10"/>
        <v>30.439483960709278</v>
      </c>
      <c r="P37" s="3">
        <f t="shared" si="11"/>
        <v>-9.4879349838206295</v>
      </c>
      <c r="Q37" s="3">
        <f t="shared" si="12"/>
        <v>2.9573730741757878</v>
      </c>
    </row>
    <row r="38" spans="1:17" x14ac:dyDescent="0.2">
      <c r="A38" s="1" t="s">
        <v>61</v>
      </c>
      <c r="B38" s="2">
        <v>5</v>
      </c>
      <c r="C38" s="3">
        <v>140.273</v>
      </c>
      <c r="D38" s="3">
        <v>2.7240000000000002</v>
      </c>
      <c r="E38" s="2">
        <v>-317</v>
      </c>
      <c r="F38" s="3">
        <f t="shared" si="4"/>
        <v>-5.532693728822025</v>
      </c>
      <c r="I38" s="1">
        <v>37</v>
      </c>
      <c r="J38" s="2">
        <f t="shared" si="13"/>
        <v>690</v>
      </c>
      <c r="K38" s="2">
        <f t="shared" si="13"/>
        <v>5101.442</v>
      </c>
      <c r="L38" s="3">
        <f t="shared" si="5"/>
        <v>1.9922074832106211</v>
      </c>
      <c r="M38" s="3">
        <f t="shared" si="6"/>
        <v>-1.8577635328102453</v>
      </c>
      <c r="N38" s="3">
        <f t="shared" si="9"/>
        <v>13.640599192148679</v>
      </c>
      <c r="O38" s="3">
        <f t="shared" si="10"/>
        <v>0.4761584630531463</v>
      </c>
      <c r="P38" s="3">
        <f t="shared" si="11"/>
        <v>-1.5539166732284648</v>
      </c>
      <c r="Q38" s="3">
        <f t="shared" si="12"/>
        <v>5.0711206766221189</v>
      </c>
    </row>
    <row r="39" spans="1:17" x14ac:dyDescent="0.2">
      <c r="A39" s="1" t="s">
        <v>61</v>
      </c>
      <c r="B39" s="2">
        <v>46</v>
      </c>
      <c r="C39" s="3">
        <v>129.43700000000001</v>
      </c>
      <c r="D39" s="3">
        <v>8.577</v>
      </c>
      <c r="E39" s="2">
        <v>-327</v>
      </c>
      <c r="F39" s="3">
        <f t="shared" si="4"/>
        <v>-5.7072266540214578</v>
      </c>
      <c r="I39" s="1">
        <v>38</v>
      </c>
      <c r="J39" s="2">
        <f t="shared" si="13"/>
        <v>736</v>
      </c>
      <c r="K39" s="2">
        <f t="shared" si="13"/>
        <v>5230.8789999999999</v>
      </c>
      <c r="L39" s="3">
        <f t="shared" si="5"/>
        <v>7.1932774612679022</v>
      </c>
      <c r="M39" s="3">
        <f t="shared" si="6"/>
        <v>-4.6713690033238864</v>
      </c>
      <c r="N39" s="3">
        <f t="shared" si="9"/>
        <v>51.017903555785054</v>
      </c>
      <c r="O39" s="3">
        <f t="shared" si="10"/>
        <v>34.705204617676728</v>
      </c>
      <c r="P39" s="3">
        <f t="shared" si="11"/>
        <v>-29.841549517170542</v>
      </c>
      <c r="Q39" s="3">
        <f t="shared" si="12"/>
        <v>25.65949653361691</v>
      </c>
    </row>
    <row r="40" spans="1:17" x14ac:dyDescent="0.2">
      <c r="A40" s="1" t="s">
        <v>24</v>
      </c>
      <c r="B40" s="2">
        <v>23</v>
      </c>
      <c r="C40" s="3">
        <v>134.596</v>
      </c>
      <c r="D40" s="3">
        <v>5.3550000000000004</v>
      </c>
      <c r="E40" s="2">
        <v>-49</v>
      </c>
      <c r="F40" s="3">
        <f t="shared" si="4"/>
        <v>-0.85521133347722145</v>
      </c>
      <c r="I40" s="1">
        <v>39</v>
      </c>
      <c r="J40" s="2">
        <f t="shared" si="13"/>
        <v>759</v>
      </c>
      <c r="K40" s="2">
        <f t="shared" si="13"/>
        <v>5365.4750000000004</v>
      </c>
      <c r="L40" s="3">
        <f t="shared" si="5"/>
        <v>3.513196100244167</v>
      </c>
      <c r="M40" s="3">
        <f t="shared" si="6"/>
        <v>4.0414698020929443</v>
      </c>
      <c r="N40" s="3">
        <f t="shared" si="9"/>
        <v>3.9349935557851379</v>
      </c>
      <c r="O40" s="3">
        <f t="shared" si="10"/>
        <v>4.8886579956887113</v>
      </c>
      <c r="P40" s="3">
        <f t="shared" si="11"/>
        <v>8.0643340742050622</v>
      </c>
      <c r="Q40" s="3">
        <f t="shared" si="12"/>
        <v>13.302931830726877</v>
      </c>
    </row>
    <row r="41" spans="1:17" x14ac:dyDescent="0.2">
      <c r="A41" s="1" t="s">
        <v>24</v>
      </c>
      <c r="B41" s="2">
        <v>2</v>
      </c>
      <c r="C41" s="3">
        <v>125.78</v>
      </c>
      <c r="D41" s="3">
        <v>1.4770000000000001</v>
      </c>
      <c r="E41" s="2">
        <v>-177</v>
      </c>
      <c r="F41" s="3">
        <f t="shared" si="4"/>
        <v>-3.0892327760299634</v>
      </c>
      <c r="I41" s="1">
        <v>40</v>
      </c>
      <c r="J41" s="2">
        <f t="shared" si="13"/>
        <v>761</v>
      </c>
      <c r="K41" s="2">
        <f t="shared" si="13"/>
        <v>5491.2550000000001</v>
      </c>
      <c r="L41" s="3">
        <f t="shared" si="5"/>
        <v>-1.4749758228325056</v>
      </c>
      <c r="M41" s="3">
        <f t="shared" si="6"/>
        <v>7.7300207370828003E-2</v>
      </c>
      <c r="N41" s="3">
        <f t="shared" si="9"/>
        <v>116.63312737396707</v>
      </c>
      <c r="O41" s="3">
        <f t="shared" si="10"/>
        <v>7.7125118162445432</v>
      </c>
      <c r="P41" s="3">
        <f t="shared" si="11"/>
        <v>0.87994030391041889</v>
      </c>
      <c r="Q41" s="3">
        <f t="shared" si="12"/>
        <v>0.10039465181954019</v>
      </c>
    </row>
    <row r="42" spans="1:17" x14ac:dyDescent="0.2">
      <c r="A42" s="1" t="s">
        <v>24</v>
      </c>
      <c r="B42" s="2">
        <v>10</v>
      </c>
      <c r="C42" s="3">
        <v>142.28800000000001</v>
      </c>
      <c r="D42" s="3">
        <v>8.2789999999999999</v>
      </c>
      <c r="E42" s="2">
        <v>-3</v>
      </c>
      <c r="F42" s="3">
        <f t="shared" si="4"/>
        <v>-5.2359877559829883E-2</v>
      </c>
      <c r="I42" s="1">
        <v>41</v>
      </c>
      <c r="J42" s="2">
        <f t="shared" si="13"/>
        <v>771</v>
      </c>
      <c r="K42" s="2">
        <f t="shared" si="13"/>
        <v>5633.5429999999997</v>
      </c>
      <c r="L42" s="3">
        <f t="shared" si="5"/>
        <v>8.2676539182331172</v>
      </c>
      <c r="M42" s="3">
        <f t="shared" si="6"/>
        <v>0.43328938173533194</v>
      </c>
      <c r="N42" s="3">
        <f t="shared" si="9"/>
        <v>32.584896464876074</v>
      </c>
      <c r="O42" s="3">
        <f t="shared" si="10"/>
        <v>48.518034198592133</v>
      </c>
      <c r="P42" s="3">
        <f t="shared" si="11"/>
        <v>0.27261546410597631</v>
      </c>
      <c r="Q42" s="3">
        <f t="shared" si="12"/>
        <v>1.531784881586843E-3</v>
      </c>
    </row>
    <row r="43" spans="1:17" x14ac:dyDescent="0.2">
      <c r="A43" s="1" t="s">
        <v>24</v>
      </c>
      <c r="B43" s="2">
        <v>16</v>
      </c>
      <c r="C43" s="3">
        <v>144.01499999999999</v>
      </c>
      <c r="D43" s="3">
        <v>6.55</v>
      </c>
      <c r="E43" s="2">
        <v>-43</v>
      </c>
      <c r="F43" s="3">
        <f t="shared" si="4"/>
        <v>-0.75049157835756164</v>
      </c>
      <c r="I43" s="1">
        <v>42</v>
      </c>
      <c r="J43" s="2">
        <f t="shared" si="13"/>
        <v>787</v>
      </c>
      <c r="K43" s="2">
        <f t="shared" si="13"/>
        <v>5777.558</v>
      </c>
      <c r="L43" s="3">
        <f t="shared" si="5"/>
        <v>4.7903667456055672</v>
      </c>
      <c r="M43" s="3">
        <f t="shared" si="6"/>
        <v>4.4670892584093647</v>
      </c>
      <c r="N43" s="3">
        <f t="shared" si="9"/>
        <v>55.283956464875722</v>
      </c>
      <c r="O43" s="3">
        <f t="shared" si="10"/>
        <v>12.167550581018091</v>
      </c>
      <c r="P43" s="3">
        <f t="shared" si="11"/>
        <v>14.207228604375112</v>
      </c>
      <c r="Q43" s="3">
        <f t="shared" si="12"/>
        <v>16.588823138476361</v>
      </c>
    </row>
    <row r="44" spans="1:17" x14ac:dyDescent="0.2">
      <c r="A44" s="1" t="s">
        <v>24</v>
      </c>
      <c r="B44" s="2">
        <v>19</v>
      </c>
      <c r="C44" s="3">
        <v>116.967</v>
      </c>
      <c r="D44" s="3">
        <v>8.2110000000000003</v>
      </c>
      <c r="E44" s="2">
        <v>-118</v>
      </c>
      <c r="F44" s="3">
        <f t="shared" si="4"/>
        <v>-2.0594885173533086</v>
      </c>
      <c r="I44" s="1">
        <v>43</v>
      </c>
      <c r="J44" s="2">
        <f t="shared" si="13"/>
        <v>806</v>
      </c>
      <c r="K44" s="2">
        <f t="shared" si="13"/>
        <v>5894.5249999999996</v>
      </c>
      <c r="L44" s="3">
        <f t="shared" si="5"/>
        <v>-3.8548310020349472</v>
      </c>
      <c r="M44" s="3">
        <f t="shared" si="6"/>
        <v>7.2498826849646507</v>
      </c>
      <c r="N44" s="3">
        <f t="shared" si="9"/>
        <v>384.65728810124</v>
      </c>
      <c r="O44" s="3">
        <f t="shared" si="10"/>
        <v>26.594609002475369</v>
      </c>
      <c r="P44" s="3">
        <f t="shared" si="11"/>
        <v>-35.354979865393112</v>
      </c>
      <c r="Q44" s="3">
        <f t="shared" si="12"/>
        <v>47.001052023964974</v>
      </c>
    </row>
    <row r="45" spans="1:17" x14ac:dyDescent="0.2">
      <c r="A45" s="1" t="s">
        <v>24</v>
      </c>
      <c r="B45" s="2">
        <v>14</v>
      </c>
      <c r="C45" s="3">
        <v>112.96599999999999</v>
      </c>
      <c r="D45" s="3">
        <v>5.843</v>
      </c>
      <c r="E45" s="2">
        <v>-140</v>
      </c>
      <c r="F45" s="3">
        <f t="shared" si="4"/>
        <v>-2.4434609527920612</v>
      </c>
      <c r="I45" s="1">
        <v>44</v>
      </c>
      <c r="J45" s="2">
        <f t="shared" si="13"/>
        <v>820</v>
      </c>
      <c r="K45" s="2">
        <f t="shared" si="13"/>
        <v>6007.491</v>
      </c>
      <c r="L45" s="3">
        <f t="shared" si="5"/>
        <v>-4.4759976811441877</v>
      </c>
      <c r="M45" s="3">
        <f t="shared" si="6"/>
        <v>3.75580800339845</v>
      </c>
      <c r="N45" s="3">
        <f t="shared" si="9"/>
        <v>557.60596901033125</v>
      </c>
      <c r="O45" s="3">
        <f t="shared" si="10"/>
        <v>33.387165356293266</v>
      </c>
      <c r="P45" s="3">
        <f t="shared" si="11"/>
        <v>-19.424199377092631</v>
      </c>
      <c r="Q45" s="3">
        <f t="shared" si="12"/>
        <v>11.300735399806179</v>
      </c>
    </row>
    <row r="46" spans="1:17" x14ac:dyDescent="0.2">
      <c r="A46" s="1" t="s">
        <v>24</v>
      </c>
      <c r="B46" s="2">
        <v>7</v>
      </c>
      <c r="C46" s="3">
        <v>136.34399999999999</v>
      </c>
      <c r="D46" s="3">
        <v>7.41</v>
      </c>
      <c r="E46" s="2">
        <v>-115</v>
      </c>
      <c r="F46" s="3">
        <f t="shared" si="4"/>
        <v>-2.0071286397934789</v>
      </c>
      <c r="I46" s="1">
        <v>45</v>
      </c>
      <c r="J46" s="2">
        <f t="shared" si="13"/>
        <v>827</v>
      </c>
      <c r="K46" s="2">
        <f t="shared" si="13"/>
        <v>6143.835</v>
      </c>
      <c r="L46" s="3">
        <f t="shared" si="5"/>
        <v>-3.1316013194985821</v>
      </c>
      <c r="M46" s="3">
        <f t="shared" si="6"/>
        <v>6.7157407019415771</v>
      </c>
      <c r="N46" s="3">
        <f t="shared" si="9"/>
        <v>5.5545919421493742E-2</v>
      </c>
      <c r="O46" s="3">
        <f t="shared" si="10"/>
        <v>19.658284839845006</v>
      </c>
      <c r="P46" s="3">
        <f t="shared" si="11"/>
        <v>-28.028450676181457</v>
      </c>
      <c r="Q46" s="3">
        <f t="shared" si="12"/>
        <v>39.96249183015351</v>
      </c>
    </row>
    <row r="47" spans="1:17" x14ac:dyDescent="0.2">
      <c r="A47" s="1" t="s">
        <v>24</v>
      </c>
      <c r="B47" s="2">
        <v>11</v>
      </c>
      <c r="C47" s="3">
        <v>148.923</v>
      </c>
      <c r="D47" s="3">
        <v>5.3979999999999997</v>
      </c>
      <c r="E47" s="2">
        <v>-197</v>
      </c>
      <c r="F47" s="3">
        <f t="shared" si="4"/>
        <v>-3.4382986264288289</v>
      </c>
      <c r="I47" s="1">
        <v>46</v>
      </c>
      <c r="J47" s="2">
        <f t="shared" si="13"/>
        <v>838</v>
      </c>
      <c r="K47" s="2">
        <f t="shared" si="13"/>
        <v>6292.7579999999998</v>
      </c>
      <c r="L47" s="3">
        <f t="shared" si="5"/>
        <v>-5.1621330726884658</v>
      </c>
      <c r="M47" s="3">
        <f t="shared" si="6"/>
        <v>-1.5782224620933309</v>
      </c>
      <c r="N47" s="3">
        <f t="shared" si="9"/>
        <v>152.35750373760317</v>
      </c>
      <c r="O47" s="3">
        <f t="shared" si="10"/>
        <v>41.787151123734496</v>
      </c>
      <c r="P47" s="3">
        <f t="shared" si="11"/>
        <v>12.750012522173705</v>
      </c>
      <c r="Q47" s="3">
        <f t="shared" si="12"/>
        <v>3.8902584872136208</v>
      </c>
    </row>
    <row r="48" spans="1:17" x14ac:dyDescent="0.2">
      <c r="A48" s="1" t="s">
        <v>24</v>
      </c>
      <c r="B48" s="2">
        <v>10</v>
      </c>
      <c r="C48" s="3">
        <v>130.50200000000001</v>
      </c>
      <c r="D48" s="3">
        <v>7.133</v>
      </c>
      <c r="E48" s="2">
        <v>-40</v>
      </c>
      <c r="F48" s="3">
        <f t="shared" si="4"/>
        <v>-0.69813170079773179</v>
      </c>
      <c r="I48" s="1">
        <v>47</v>
      </c>
      <c r="J48" s="2">
        <f t="shared" si="13"/>
        <v>848</v>
      </c>
      <c r="K48" s="2">
        <f t="shared" si="13"/>
        <v>6423.26</v>
      </c>
      <c r="L48" s="3">
        <f t="shared" si="5"/>
        <v>5.4641950127676706</v>
      </c>
      <c r="M48" s="3">
        <f t="shared" si="6"/>
        <v>4.5850040198940842</v>
      </c>
      <c r="N48" s="3">
        <f t="shared" si="9"/>
        <v>36.93821628305782</v>
      </c>
      <c r="O48" s="3">
        <f t="shared" si="10"/>
        <v>17.32249282845963</v>
      </c>
      <c r="P48" s="3">
        <f t="shared" si="11"/>
        <v>17.442454053992236</v>
      </c>
      <c r="Q48" s="3">
        <f t="shared" si="12"/>
        <v>17.563246031528827</v>
      </c>
    </row>
    <row r="49" spans="1:17" x14ac:dyDescent="0.2">
      <c r="A49" s="1" t="s">
        <v>24</v>
      </c>
      <c r="B49" s="2">
        <v>6</v>
      </c>
      <c r="C49" s="3">
        <v>129.91200000000001</v>
      </c>
      <c r="D49" s="3">
        <v>3.6659999999999999</v>
      </c>
      <c r="E49" s="2">
        <v>-88</v>
      </c>
      <c r="F49" s="3">
        <f t="shared" si="4"/>
        <v>-1.5358897417550099</v>
      </c>
      <c r="I49" s="1">
        <v>48</v>
      </c>
      <c r="J49" s="2">
        <f t="shared" si="13"/>
        <v>854</v>
      </c>
      <c r="K49" s="2">
        <f t="shared" si="13"/>
        <v>6553.1720000000005</v>
      </c>
      <c r="L49" s="3">
        <f t="shared" si="5"/>
        <v>0.12794155491136897</v>
      </c>
      <c r="M49" s="3">
        <f t="shared" si="6"/>
        <v>3.6637667718520048</v>
      </c>
      <c r="N49" s="3">
        <f t="shared" si="9"/>
        <v>44.457980828512412</v>
      </c>
      <c r="O49" s="3">
        <f t="shared" si="10"/>
        <v>1.3788009807620674</v>
      </c>
      <c r="P49" s="3">
        <f t="shared" si="11"/>
        <v>-3.8392594673512361</v>
      </c>
      <c r="Q49" s="3">
        <f t="shared" si="12"/>
        <v>10.690384952801024</v>
      </c>
    </row>
    <row r="50" spans="1:17" x14ac:dyDescent="0.2">
      <c r="A50" s="1" t="s">
        <v>5</v>
      </c>
      <c r="B50" s="2">
        <v>4</v>
      </c>
      <c r="C50" s="3">
        <v>144.61099999999999</v>
      </c>
      <c r="D50" s="3">
        <v>3.774</v>
      </c>
      <c r="E50" s="2">
        <v>-199</v>
      </c>
      <c r="F50" s="3">
        <f t="shared" si="4"/>
        <v>-3.473205211468716</v>
      </c>
      <c r="I50" s="1">
        <v>49</v>
      </c>
      <c r="J50" s="2">
        <f t="shared" si="13"/>
        <v>858</v>
      </c>
      <c r="K50" s="2">
        <f t="shared" si="13"/>
        <v>6697.7830000000004</v>
      </c>
      <c r="L50" s="3">
        <f t="shared" si="5"/>
        <v>-3.5683871043118214</v>
      </c>
      <c r="M50" s="3">
        <f t="shared" si="6"/>
        <v>-1.2286942149213096</v>
      </c>
      <c r="N50" s="3">
        <f t="shared" si="9"/>
        <v>64.502071737603032</v>
      </c>
      <c r="O50" s="3">
        <f t="shared" si="10"/>
        <v>23.722278969552271</v>
      </c>
      <c r="P50" s="3">
        <f t="shared" si="11"/>
        <v>7.9041541161381312</v>
      </c>
      <c r="Q50" s="3">
        <f t="shared" si="12"/>
        <v>2.633627754392879</v>
      </c>
    </row>
    <row r="51" spans="1:17" x14ac:dyDescent="0.2">
      <c r="A51" s="1" t="s">
        <v>5</v>
      </c>
      <c r="B51" s="2">
        <v>0</v>
      </c>
      <c r="C51" s="3">
        <v>141.75700000000001</v>
      </c>
      <c r="D51" s="3">
        <v>0.92600000000000005</v>
      </c>
      <c r="E51" s="2">
        <v>-85</v>
      </c>
      <c r="F51" s="3">
        <f t="shared" si="4"/>
        <v>-1.4835298641951802</v>
      </c>
      <c r="I51" s="1">
        <v>50</v>
      </c>
      <c r="J51" s="2">
        <f t="shared" si="13"/>
        <v>858</v>
      </c>
      <c r="K51" s="2">
        <f t="shared" si="13"/>
        <v>6839.54</v>
      </c>
      <c r="L51" s="3">
        <f t="shared" si="5"/>
        <v>8.0706217784331444E-2</v>
      </c>
      <c r="M51" s="3">
        <f t="shared" si="6"/>
        <v>0.92247629043295643</v>
      </c>
      <c r="N51" s="3">
        <f t="shared" si="9"/>
        <v>26.804623555785103</v>
      </c>
      <c r="O51" s="3">
        <f t="shared" si="10"/>
        <v>1.4919618497526128</v>
      </c>
      <c r="P51" s="3">
        <f t="shared" si="11"/>
        <v>-0.64532719165497343</v>
      </c>
      <c r="Q51" s="3">
        <f t="shared" si="12"/>
        <v>0.27912723395598038</v>
      </c>
    </row>
    <row r="52" spans="1:17" x14ac:dyDescent="0.2">
      <c r="A52" s="1" t="s">
        <v>24</v>
      </c>
      <c r="B52" s="2">
        <v>6</v>
      </c>
      <c r="C52" s="3">
        <v>128.22800000000001</v>
      </c>
      <c r="D52" s="3">
        <v>4.3639999999999999</v>
      </c>
      <c r="E52" s="2">
        <v>-43</v>
      </c>
      <c r="F52" s="3">
        <f t="shared" si="4"/>
        <v>-0.75049157835756164</v>
      </c>
      <c r="I52" s="1">
        <v>51</v>
      </c>
      <c r="J52" s="2">
        <f t="shared" ref="J52:K67" si="14">J51+B52</f>
        <v>864</v>
      </c>
      <c r="K52" s="2">
        <f t="shared" si="14"/>
        <v>6967.768</v>
      </c>
      <c r="L52" s="3">
        <f t="shared" si="5"/>
        <v>3.1916275538660601</v>
      </c>
      <c r="M52" s="3">
        <f t="shared" si="6"/>
        <v>2.9762408433127434</v>
      </c>
      <c r="N52" s="3">
        <f t="shared" si="9"/>
        <v>69.750589192148738</v>
      </c>
      <c r="O52" s="3">
        <f t="shared" si="10"/>
        <v>3.5700682890673074</v>
      </c>
      <c r="P52" s="3">
        <f t="shared" si="11"/>
        <v>4.8787610829405734</v>
      </c>
      <c r="Q52" s="3">
        <f t="shared" si="12"/>
        <v>6.6671861088219995</v>
      </c>
    </row>
    <row r="53" spans="1:17" x14ac:dyDescent="0.2">
      <c r="A53" s="1" t="s">
        <v>24</v>
      </c>
      <c r="B53" s="2">
        <v>23</v>
      </c>
      <c r="C53" s="3">
        <v>130.566</v>
      </c>
      <c r="D53" s="3">
        <v>6.22</v>
      </c>
      <c r="E53" s="2">
        <v>-64</v>
      </c>
      <c r="F53" s="3">
        <f t="shared" si="4"/>
        <v>-1.1170107212763709</v>
      </c>
      <c r="I53" s="1">
        <v>52</v>
      </c>
      <c r="J53" s="2">
        <f t="shared" si="14"/>
        <v>887</v>
      </c>
      <c r="K53" s="2">
        <f t="shared" si="14"/>
        <v>7098.3339999999998</v>
      </c>
      <c r="L53" s="3">
        <f t="shared" si="5"/>
        <v>2.7266685330280618</v>
      </c>
      <c r="M53" s="3">
        <f t="shared" si="6"/>
        <v>5.5904989679808184</v>
      </c>
      <c r="N53" s="3">
        <f t="shared" si="9"/>
        <v>36.164369010330631</v>
      </c>
      <c r="O53" s="3">
        <f t="shared" si="10"/>
        <v>2.0292099737860845</v>
      </c>
      <c r="P53" s="3">
        <f t="shared" si="11"/>
        <v>7.4022149054329365</v>
      </c>
      <c r="Q53" s="3">
        <f t="shared" si="12"/>
        <v>27.002028481055405</v>
      </c>
    </row>
    <row r="54" spans="1:17" x14ac:dyDescent="0.2">
      <c r="A54" s="1" t="s">
        <v>61</v>
      </c>
      <c r="B54" s="2">
        <v>15</v>
      </c>
      <c r="C54" s="3">
        <v>137.649</v>
      </c>
      <c r="D54" s="3">
        <v>5.6120000000000001</v>
      </c>
      <c r="E54" s="2">
        <v>-191</v>
      </c>
      <c r="F54" s="3">
        <f t="shared" si="4"/>
        <v>-3.3335788713091694</v>
      </c>
      <c r="I54" s="1">
        <v>53</v>
      </c>
      <c r="J54" s="2">
        <f t="shared" si="14"/>
        <v>902</v>
      </c>
      <c r="K54" s="2">
        <f t="shared" si="14"/>
        <v>7235.9830000000002</v>
      </c>
      <c r="L54" s="3">
        <f t="shared" si="5"/>
        <v>-5.5088917535082906</v>
      </c>
      <c r="M54" s="3">
        <f t="shared" si="6"/>
        <v>-1.070820082053169</v>
      </c>
      <c r="N54" s="3">
        <f t="shared" si="9"/>
        <v>1.1434413739669289</v>
      </c>
      <c r="O54" s="3">
        <f t="shared" si="10"/>
        <v>46.390495733889665</v>
      </c>
      <c r="P54" s="3">
        <f t="shared" si="11"/>
        <v>9.9780037980060747</v>
      </c>
      <c r="Q54" s="3">
        <f t="shared" si="12"/>
        <v>2.1461413209320725</v>
      </c>
    </row>
    <row r="55" spans="1:17" x14ac:dyDescent="0.2">
      <c r="A55" s="1" t="s">
        <v>61</v>
      </c>
      <c r="B55" s="2">
        <v>29</v>
      </c>
      <c r="C55" s="3">
        <v>123.685</v>
      </c>
      <c r="D55" s="3">
        <v>8.4489999999999998</v>
      </c>
      <c r="E55" s="2">
        <v>-134</v>
      </c>
      <c r="F55" s="3">
        <f t="shared" si="4"/>
        <v>-2.3387411976724013</v>
      </c>
      <c r="I55" s="1">
        <v>54</v>
      </c>
      <c r="J55" s="2">
        <f t="shared" si="14"/>
        <v>931</v>
      </c>
      <c r="K55" s="2">
        <f t="shared" si="14"/>
        <v>7359.6680000000006</v>
      </c>
      <c r="L55" s="3">
        <f t="shared" si="5"/>
        <v>-5.869168572008066</v>
      </c>
      <c r="M55" s="3">
        <f t="shared" si="6"/>
        <v>6.0777019730612656</v>
      </c>
      <c r="N55" s="3">
        <f t="shared" si="9"/>
        <v>166.27281919214889</v>
      </c>
      <c r="O55" s="3">
        <f t="shared" si="10"/>
        <v>51.428026921840633</v>
      </c>
      <c r="P55" s="3">
        <f t="shared" si="11"/>
        <v>-40.758638014045651</v>
      </c>
      <c r="Q55" s="3">
        <f t="shared" si="12"/>
        <v>32.302747591012377</v>
      </c>
    </row>
    <row r="56" spans="1:17" x14ac:dyDescent="0.2">
      <c r="A56" s="1" t="s">
        <v>5</v>
      </c>
      <c r="B56" s="2">
        <v>41</v>
      </c>
      <c r="C56" s="3">
        <v>134.733</v>
      </c>
      <c r="D56" s="3">
        <v>10.428000000000001</v>
      </c>
      <c r="E56" s="2">
        <v>-54</v>
      </c>
      <c r="F56" s="3">
        <f t="shared" si="4"/>
        <v>-0.94247779607693793</v>
      </c>
      <c r="I56" s="1">
        <v>55</v>
      </c>
      <c r="J56" s="2">
        <f t="shared" si="14"/>
        <v>972</v>
      </c>
      <c r="K56" s="2">
        <f t="shared" si="14"/>
        <v>7494.4010000000007</v>
      </c>
      <c r="L56" s="3">
        <f t="shared" si="5"/>
        <v>6.1294246109059101</v>
      </c>
      <c r="M56" s="3">
        <f t="shared" si="6"/>
        <v>8.4364292173419528</v>
      </c>
      <c r="N56" s="3">
        <f t="shared" si="9"/>
        <v>3.4102337376033169</v>
      </c>
      <c r="O56" s="3">
        <f t="shared" si="10"/>
        <v>23.302434192735994</v>
      </c>
      <c r="P56" s="3">
        <f t="shared" si="11"/>
        <v>38.822162123920023</v>
      </c>
      <c r="Q56" s="3">
        <f t="shared" si="12"/>
        <v>64.678233162686226</v>
      </c>
    </row>
    <row r="57" spans="1:17" x14ac:dyDescent="0.2">
      <c r="A57" s="1" t="s">
        <v>5</v>
      </c>
      <c r="B57" s="2">
        <v>15</v>
      </c>
      <c r="C57" s="3">
        <v>134.72200000000001</v>
      </c>
      <c r="D57" s="3">
        <v>5.38</v>
      </c>
      <c r="E57" s="2">
        <v>-129</v>
      </c>
      <c r="F57" s="3">
        <f t="shared" si="4"/>
        <v>-2.2514747350726849</v>
      </c>
      <c r="I57" s="1">
        <v>56</v>
      </c>
      <c r="J57" s="2">
        <f t="shared" si="14"/>
        <v>987</v>
      </c>
      <c r="K57" s="2">
        <f t="shared" si="14"/>
        <v>7629.1230000000005</v>
      </c>
      <c r="L57" s="3">
        <f t="shared" si="5"/>
        <v>-3.3857437038481244</v>
      </c>
      <c r="M57" s="3">
        <f t="shared" si="6"/>
        <v>4.1810452726385039</v>
      </c>
      <c r="N57" s="3">
        <f t="shared" si="9"/>
        <v>3.4509817376033007</v>
      </c>
      <c r="O57" s="3">
        <f t="shared" si="10"/>
        <v>21.97648914052392</v>
      </c>
      <c r="P57" s="3">
        <f t="shared" si="11"/>
        <v>-17.752613396117209</v>
      </c>
      <c r="Q57" s="3">
        <f t="shared" si="12"/>
        <v>14.340565518759966</v>
      </c>
    </row>
    <row r="58" spans="1:17" x14ac:dyDescent="0.2">
      <c r="A58" s="1" t="s">
        <v>61</v>
      </c>
      <c r="B58" s="2">
        <v>10</v>
      </c>
      <c r="C58" s="3">
        <v>127.351</v>
      </c>
      <c r="D58" s="3">
        <v>3.0009999999999999</v>
      </c>
      <c r="E58" s="2">
        <v>-307</v>
      </c>
      <c r="F58" s="3">
        <f t="shared" si="4"/>
        <v>-5.3581608036225914</v>
      </c>
      <c r="I58" s="1">
        <v>57</v>
      </c>
      <c r="J58" s="2">
        <f t="shared" si="14"/>
        <v>997</v>
      </c>
      <c r="K58" s="2">
        <f t="shared" si="14"/>
        <v>7756.4740000000002</v>
      </c>
      <c r="L58" s="3">
        <f t="shared" si="5"/>
        <v>1.8060468844792958</v>
      </c>
      <c r="M58" s="3">
        <f t="shared" si="6"/>
        <v>-2.3967051656519263</v>
      </c>
      <c r="N58" s="3">
        <f t="shared" si="9"/>
        <v>85.168568101239813</v>
      </c>
      <c r="O58" s="3">
        <f t="shared" si="10"/>
        <v>0.25389683259510337</v>
      </c>
      <c r="P58" s="3">
        <f t="shared" si="11"/>
        <v>-1.4062617097334089</v>
      </c>
      <c r="Q58" s="3">
        <f t="shared" si="12"/>
        <v>7.788880137059536</v>
      </c>
    </row>
    <row r="59" spans="1:17" x14ac:dyDescent="0.2">
      <c r="A59" s="1" t="s">
        <v>61</v>
      </c>
      <c r="B59" s="2">
        <v>43</v>
      </c>
      <c r="C59" s="3">
        <v>128.078</v>
      </c>
      <c r="D59" s="3">
        <v>13.353999999999999</v>
      </c>
      <c r="E59" s="2">
        <v>-307</v>
      </c>
      <c r="F59" s="3">
        <f t="shared" si="4"/>
        <v>-5.3581608036225914</v>
      </c>
      <c r="I59" s="1">
        <v>58</v>
      </c>
      <c r="J59" s="2">
        <f t="shared" si="14"/>
        <v>1040</v>
      </c>
      <c r="K59" s="2">
        <f t="shared" si="14"/>
        <v>7884.5520000000006</v>
      </c>
      <c r="L59" s="3">
        <f t="shared" si="5"/>
        <v>8.0366378191724479</v>
      </c>
      <c r="M59" s="3">
        <f t="shared" si="6"/>
        <v>-10.664978601171551</v>
      </c>
      <c r="N59" s="3">
        <f t="shared" si="9"/>
        <v>72.278593737603373</v>
      </c>
      <c r="O59" s="3">
        <f t="shared" si="10"/>
        <v>45.353122536170808</v>
      </c>
      <c r="P59" s="3">
        <f t="shared" si="11"/>
        <v>-74.477408788612337</v>
      </c>
      <c r="Q59" s="3">
        <f t="shared" si="12"/>
        <v>122.30435545958767</v>
      </c>
    </row>
    <row r="60" spans="1:17" x14ac:dyDescent="0.2">
      <c r="A60" s="1" t="s">
        <v>24</v>
      </c>
      <c r="B60" s="2">
        <v>6</v>
      </c>
      <c r="C60" s="3">
        <v>132.047</v>
      </c>
      <c r="D60" s="3">
        <v>4.3719999999999999</v>
      </c>
      <c r="E60" s="2">
        <v>-66</v>
      </c>
      <c r="F60" s="3">
        <f t="shared" si="4"/>
        <v>-1.1519173063162575</v>
      </c>
      <c r="I60" s="1">
        <v>59</v>
      </c>
      <c r="J60" s="2">
        <f t="shared" si="14"/>
        <v>1046</v>
      </c>
      <c r="K60" s="2">
        <f t="shared" si="14"/>
        <v>8016.5990000000002</v>
      </c>
      <c r="L60" s="3">
        <f t="shared" si="5"/>
        <v>1.7782526035273984</v>
      </c>
      <c r="M60" s="3">
        <f t="shared" si="6"/>
        <v>3.9940207408134509</v>
      </c>
      <c r="N60" s="3">
        <f t="shared" si="9"/>
        <v>20.545204464876125</v>
      </c>
      <c r="O60" s="3">
        <f t="shared" si="10"/>
        <v>0.22665929199066401</v>
      </c>
      <c r="P60" s="3">
        <f t="shared" si="11"/>
        <v>1.7138527554400305</v>
      </c>
      <c r="Q60" s="3">
        <f t="shared" si="12"/>
        <v>12.959059571448634</v>
      </c>
    </row>
    <row r="61" spans="1:17" x14ac:dyDescent="0.2">
      <c r="A61" s="1" t="s">
        <v>24</v>
      </c>
      <c r="B61" s="2">
        <v>14</v>
      </c>
      <c r="C61" s="3">
        <v>143.49299999999999</v>
      </c>
      <c r="D61" s="3">
        <v>6.48</v>
      </c>
      <c r="E61" s="2">
        <v>-209</v>
      </c>
      <c r="F61" s="3">
        <f t="shared" si="4"/>
        <v>-3.6477381366681487</v>
      </c>
      <c r="I61" s="1">
        <v>60</v>
      </c>
      <c r="J61" s="2">
        <f t="shared" si="14"/>
        <v>1060</v>
      </c>
      <c r="K61" s="2">
        <f t="shared" si="14"/>
        <v>8160.0920000000006</v>
      </c>
      <c r="L61" s="3">
        <f t="shared" si="5"/>
        <v>-5.6675357022632857</v>
      </c>
      <c r="M61" s="3">
        <f t="shared" si="6"/>
        <v>-3.1415663391962636</v>
      </c>
      <c r="N61" s="3">
        <f t="shared" si="9"/>
        <v>47.793968283057687</v>
      </c>
      <c r="O61" s="3">
        <f t="shared" si="10"/>
        <v>48.57672955157625</v>
      </c>
      <c r="P61" s="3">
        <f t="shared" si="11"/>
        <v>24.64289454317765</v>
      </c>
      <c r="Q61" s="3">
        <f t="shared" si="12"/>
        <v>12.501299636102605</v>
      </c>
    </row>
    <row r="62" spans="1:17" x14ac:dyDescent="0.2">
      <c r="A62" s="1" t="s">
        <v>24</v>
      </c>
      <c r="B62" s="2">
        <v>14</v>
      </c>
      <c r="C62" s="3">
        <v>128.62</v>
      </c>
      <c r="D62" s="3">
        <v>4.0869999999999997</v>
      </c>
      <c r="E62" s="2">
        <v>-204</v>
      </c>
      <c r="F62" s="3">
        <f t="shared" si="4"/>
        <v>-3.5604716740684319</v>
      </c>
      <c r="I62" s="1">
        <v>61</v>
      </c>
      <c r="J62" s="2">
        <f t="shared" si="14"/>
        <v>1074</v>
      </c>
      <c r="K62" s="2">
        <f t="shared" si="14"/>
        <v>8288.7120000000014</v>
      </c>
      <c r="L62" s="3">
        <f t="shared" si="5"/>
        <v>-3.7336602853853105</v>
      </c>
      <c r="M62" s="3">
        <f t="shared" si="6"/>
        <v>-1.6623326602507937</v>
      </c>
      <c r="N62" s="3">
        <f t="shared" si="9"/>
        <v>63.356534646694257</v>
      </c>
      <c r="O62" s="3">
        <f t="shared" si="10"/>
        <v>25.359537513320902</v>
      </c>
      <c r="P62" s="3">
        <f t="shared" si="11"/>
        <v>10.356094466142027</v>
      </c>
      <c r="Q62" s="3">
        <f t="shared" si="12"/>
        <v>4.2291265183886635</v>
      </c>
    </row>
    <row r="63" spans="1:17" x14ac:dyDescent="0.2">
      <c r="A63" s="1" t="s">
        <v>24</v>
      </c>
      <c r="B63" s="2">
        <v>7</v>
      </c>
      <c r="C63" s="3">
        <v>129.69</v>
      </c>
      <c r="D63" s="3">
        <v>1.891</v>
      </c>
      <c r="E63" s="2">
        <v>-131</v>
      </c>
      <c r="F63" s="3">
        <f t="shared" si="4"/>
        <v>-2.286381320112572</v>
      </c>
      <c r="I63" s="1">
        <v>62</v>
      </c>
      <c r="J63" s="2">
        <f t="shared" si="14"/>
        <v>1081</v>
      </c>
      <c r="K63" s="2">
        <f t="shared" si="14"/>
        <v>8418.4020000000019</v>
      </c>
      <c r="L63" s="3">
        <f t="shared" si="5"/>
        <v>-1.2406076238210497</v>
      </c>
      <c r="M63" s="3">
        <f t="shared" si="6"/>
        <v>1.4271558162012614</v>
      </c>
      <c r="N63" s="3">
        <f t="shared" si="9"/>
        <v>47.467715555785254</v>
      </c>
      <c r="O63" s="3">
        <f t="shared" si="10"/>
        <v>6.4656932266166143</v>
      </c>
      <c r="P63" s="3">
        <f t="shared" si="11"/>
        <v>-2.6266955798788474</v>
      </c>
      <c r="Q63" s="3">
        <f t="shared" si="12"/>
        <v>1.0670982101273432</v>
      </c>
    </row>
    <row r="64" spans="1:17" x14ac:dyDescent="0.2">
      <c r="A64" s="1" t="s">
        <v>24</v>
      </c>
      <c r="B64" s="2">
        <v>36</v>
      </c>
      <c r="C64" s="3">
        <v>143.51900000000001</v>
      </c>
      <c r="D64" s="3">
        <v>8.4730000000000008</v>
      </c>
      <c r="E64" s="2">
        <v>-223</v>
      </c>
      <c r="F64" s="3">
        <f t="shared" si="4"/>
        <v>-3.8920842319473548</v>
      </c>
      <c r="I64" s="1">
        <v>63</v>
      </c>
      <c r="J64" s="2">
        <f t="shared" si="14"/>
        <v>1117</v>
      </c>
      <c r="K64" s="2">
        <f t="shared" si="14"/>
        <v>8561.9210000000021</v>
      </c>
      <c r="L64" s="3">
        <f t="shared" si="5"/>
        <v>-6.1967599138192329</v>
      </c>
      <c r="M64" s="3">
        <f t="shared" si="6"/>
        <v>-5.7785721048095491</v>
      </c>
      <c r="N64" s="3">
        <f t="shared" si="9"/>
        <v>48.154136828512371</v>
      </c>
      <c r="O64" s="3">
        <f t="shared" si="10"/>
        <v>56.233876662538158</v>
      </c>
      <c r="P64" s="3">
        <f t="shared" si="11"/>
        <v>46.288790503928048</v>
      </c>
      <c r="Q64" s="3">
        <f t="shared" si="12"/>
        <v>38.102514951524405</v>
      </c>
    </row>
    <row r="65" spans="1:17" x14ac:dyDescent="0.2">
      <c r="A65" s="1" t="s">
        <v>24</v>
      </c>
      <c r="B65" s="2">
        <v>13</v>
      </c>
      <c r="C65" s="3">
        <v>138.755</v>
      </c>
      <c r="D65" s="3">
        <v>4.7750000000000004</v>
      </c>
      <c r="E65" s="2">
        <v>-73</v>
      </c>
      <c r="F65" s="3">
        <f t="shared" si="4"/>
        <v>-1.2740903539558606</v>
      </c>
      <c r="I65" s="1">
        <v>64</v>
      </c>
      <c r="J65" s="2">
        <f t="shared" si="14"/>
        <v>1130</v>
      </c>
      <c r="K65" s="2">
        <f t="shared" si="14"/>
        <v>8700.6760000000013</v>
      </c>
      <c r="L65" s="3">
        <f t="shared" si="5"/>
        <v>1.3960748900510682</v>
      </c>
      <c r="M65" s="3">
        <f t="shared" si="6"/>
        <v>4.5663552097234943</v>
      </c>
      <c r="N65" s="3">
        <f t="shared" si="9"/>
        <v>4.73200919214871</v>
      </c>
      <c r="O65" s="3">
        <f t="shared" si="10"/>
        <v>8.8190449148343557E-3</v>
      </c>
      <c r="P65" s="3">
        <f t="shared" si="11"/>
        <v>0.39181070438134263</v>
      </c>
      <c r="Q65" s="3">
        <f t="shared" si="12"/>
        <v>17.407284978170143</v>
      </c>
    </row>
    <row r="66" spans="1:17" x14ac:dyDescent="0.2">
      <c r="A66" s="1" t="s">
        <v>5</v>
      </c>
      <c r="B66" s="2">
        <v>16</v>
      </c>
      <c r="C66" s="3">
        <v>137.95099999999999</v>
      </c>
      <c r="D66" s="3">
        <v>6.032</v>
      </c>
      <c r="E66" s="2">
        <v>-12</v>
      </c>
      <c r="F66" s="3">
        <f t="shared" si="4"/>
        <v>-0.20943951023931953</v>
      </c>
      <c r="I66" s="1">
        <v>65</v>
      </c>
      <c r="J66" s="2">
        <f t="shared" si="14"/>
        <v>1146</v>
      </c>
      <c r="K66" s="2">
        <f t="shared" si="14"/>
        <v>8838.6270000000004</v>
      </c>
      <c r="L66" s="3">
        <f t="shared" si="5"/>
        <v>5.900186327626316</v>
      </c>
      <c r="M66" s="3">
        <f t="shared" si="6"/>
        <v>1.2541233190127241</v>
      </c>
      <c r="N66" s="3">
        <f t="shared" ref="N66:N89" si="15">(C66-K$104)^2</f>
        <v>1.8805135557850863</v>
      </c>
      <c r="O66" s="3">
        <f t="shared" ref="O66:O89" si="16">(L66-L$105)^2</f>
        <v>21.141799025966922</v>
      </c>
      <c r="P66" s="3">
        <f t="shared" ref="P66:P89" si="17">(L66-L$105)*(M66-M$106)</f>
        <v>3.9541693135241975</v>
      </c>
      <c r="Q66" s="3">
        <f t="shared" ref="Q66:Q89" si="18">(M66-M$106)^2</f>
        <v>0.73955177328157073</v>
      </c>
    </row>
    <row r="67" spans="1:17" x14ac:dyDescent="0.2">
      <c r="A67" s="1" t="s">
        <v>5</v>
      </c>
      <c r="B67" s="2">
        <v>0</v>
      </c>
      <c r="C67" s="3">
        <v>143.08699999999999</v>
      </c>
      <c r="D67" s="3">
        <v>0.59099999999999997</v>
      </c>
      <c r="E67" s="2">
        <v>-115</v>
      </c>
      <c r="F67" s="3">
        <f t="shared" ref="F67:F89" si="19">E67*PI()/180</f>
        <v>-2.0071286397934789</v>
      </c>
      <c r="I67" s="1">
        <v>66</v>
      </c>
      <c r="J67" s="2">
        <f t="shared" si="14"/>
        <v>1146</v>
      </c>
      <c r="K67" s="2">
        <f t="shared" si="14"/>
        <v>8981.7139999999999</v>
      </c>
      <c r="L67" s="3">
        <f t="shared" ref="L67:L89" si="20">D67*COS(F67)</f>
        <v>-0.24976739268875328</v>
      </c>
      <c r="M67" s="3">
        <f t="shared" ref="M67:M89" si="21">-D67*SIN(F67)</f>
        <v>0.53562790213866018</v>
      </c>
      <c r="N67" s="3">
        <f t="shared" si="15"/>
        <v>42.345189919421252</v>
      </c>
      <c r="O67" s="3">
        <f t="shared" si="16"/>
        <v>2.4084945238777973</v>
      </c>
      <c r="P67" s="3">
        <f t="shared" si="17"/>
        <v>-0.21956204822589381</v>
      </c>
      <c r="Q67" s="3">
        <f t="shared" si="18"/>
        <v>2.0015612467963274E-2</v>
      </c>
    </row>
    <row r="68" spans="1:17" x14ac:dyDescent="0.2">
      <c r="A68" s="1" t="s">
        <v>5</v>
      </c>
      <c r="B68" s="2">
        <v>13</v>
      </c>
      <c r="C68" s="3">
        <v>160.55600000000001</v>
      </c>
      <c r="D68" s="3">
        <v>4.9749999999999996</v>
      </c>
      <c r="E68" s="2">
        <v>-292</v>
      </c>
      <c r="F68" s="3">
        <f t="shared" si="19"/>
        <v>-5.0963614158234423</v>
      </c>
      <c r="I68" s="1">
        <v>67</v>
      </c>
      <c r="J68" s="2">
        <f t="shared" ref="J68:K83" si="22">J67+B68</f>
        <v>1159</v>
      </c>
      <c r="K68" s="2">
        <f t="shared" si="22"/>
        <v>9142.27</v>
      </c>
      <c r="L68" s="3">
        <f t="shared" si="20"/>
        <v>1.863667802244162</v>
      </c>
      <c r="M68" s="3">
        <f t="shared" si="21"/>
        <v>-4.6127396764697668</v>
      </c>
      <c r="N68" s="3">
        <f t="shared" si="15"/>
        <v>574.86383355578539</v>
      </c>
      <c r="O68" s="3">
        <f t="shared" si="16"/>
        <v>0.31528526219004843</v>
      </c>
      <c r="P68" s="3">
        <f t="shared" si="17"/>
        <v>-2.8113827458058176</v>
      </c>
      <c r="Q68" s="3">
        <f t="shared" si="18"/>
        <v>25.068957833653325</v>
      </c>
    </row>
    <row r="69" spans="1:17" x14ac:dyDescent="0.2">
      <c r="A69" s="1" t="s">
        <v>5</v>
      </c>
      <c r="B69" s="2">
        <v>3</v>
      </c>
      <c r="C69" s="3">
        <v>151.02000000000001</v>
      </c>
      <c r="D69" s="3">
        <v>1.552</v>
      </c>
      <c r="E69" s="2">
        <v>-162</v>
      </c>
      <c r="F69" s="3">
        <f t="shared" si="19"/>
        <v>-2.8274333882308138</v>
      </c>
      <c r="I69" s="1">
        <v>68</v>
      </c>
      <c r="J69" s="2">
        <f t="shared" si="22"/>
        <v>1162</v>
      </c>
      <c r="K69" s="2">
        <f t="shared" si="22"/>
        <v>9293.2900000000009</v>
      </c>
      <c r="L69" s="3">
        <f t="shared" si="20"/>
        <v>-1.4760397132900782</v>
      </c>
      <c r="M69" s="3">
        <f t="shared" si="21"/>
        <v>0.47959437526991855</v>
      </c>
      <c r="N69" s="3">
        <f t="shared" si="15"/>
        <v>208.52278919214885</v>
      </c>
      <c r="O69" s="3">
        <f t="shared" si="16"/>
        <v>7.7184220956042324</v>
      </c>
      <c r="P69" s="3">
        <f t="shared" si="17"/>
        <v>-0.23737820282722566</v>
      </c>
      <c r="Q69" s="3">
        <f t="shared" si="18"/>
        <v>7.3005091558253641E-3</v>
      </c>
    </row>
    <row r="70" spans="1:17" x14ac:dyDescent="0.2">
      <c r="A70" s="1" t="s">
        <v>24</v>
      </c>
      <c r="B70" s="2">
        <v>9</v>
      </c>
      <c r="C70" s="3">
        <v>128.55600000000001</v>
      </c>
      <c r="D70" s="3">
        <v>4.4980000000000002</v>
      </c>
      <c r="E70" s="2">
        <v>-296</v>
      </c>
      <c r="F70" s="3">
        <f t="shared" si="19"/>
        <v>-5.1661745859032155</v>
      </c>
      <c r="I70" s="1">
        <v>69</v>
      </c>
      <c r="J70" s="2">
        <f t="shared" si="22"/>
        <v>1171</v>
      </c>
      <c r="K70" s="2">
        <f t="shared" si="22"/>
        <v>9421.8460000000014</v>
      </c>
      <c r="L70" s="3">
        <f t="shared" si="20"/>
        <v>1.9717934182572703</v>
      </c>
      <c r="M70" s="3">
        <f t="shared" si="21"/>
        <v>-4.0427756202536536</v>
      </c>
      <c r="N70" s="3">
        <f t="shared" si="15"/>
        <v>64.37946991942141</v>
      </c>
      <c r="O70" s="3">
        <f t="shared" si="16"/>
        <v>0.44840205785395143</v>
      </c>
      <c r="P70" s="3">
        <f t="shared" si="17"/>
        <v>-2.9710918622031319</v>
      </c>
      <c r="Q70" s="3">
        <f t="shared" si="18"/>
        <v>19.686321012658762</v>
      </c>
    </row>
    <row r="71" spans="1:17" x14ac:dyDescent="0.2">
      <c r="A71" s="1" t="s">
        <v>24</v>
      </c>
      <c r="B71" s="2">
        <v>10</v>
      </c>
      <c r="C71" s="3">
        <v>138.66900000000001</v>
      </c>
      <c r="D71" s="3">
        <v>4.2220000000000004</v>
      </c>
      <c r="E71" s="2">
        <v>-242</v>
      </c>
      <c r="F71" s="3">
        <f t="shared" si="19"/>
        <v>-4.2236967898262776</v>
      </c>
      <c r="I71" s="1">
        <v>70</v>
      </c>
      <c r="J71" s="2">
        <f t="shared" si="22"/>
        <v>1181</v>
      </c>
      <c r="K71" s="2">
        <f t="shared" si="22"/>
        <v>9560.5150000000012</v>
      </c>
      <c r="L71" s="3">
        <f t="shared" si="20"/>
        <v>-1.9821089380820309</v>
      </c>
      <c r="M71" s="3">
        <f t="shared" si="21"/>
        <v>-3.7278047370503899</v>
      </c>
      <c r="N71" s="3">
        <f t="shared" si="15"/>
        <v>4.3652504648760502</v>
      </c>
      <c r="O71" s="3">
        <f t="shared" si="16"/>
        <v>10.786456088458072</v>
      </c>
      <c r="P71" s="3">
        <f t="shared" si="17"/>
        <v>13.537633472296534</v>
      </c>
      <c r="Q71" s="3">
        <f t="shared" si="18"/>
        <v>16.990522051663188</v>
      </c>
    </row>
    <row r="72" spans="1:17" x14ac:dyDescent="0.2">
      <c r="A72" s="1" t="s">
        <v>24</v>
      </c>
      <c r="B72" s="2">
        <v>1</v>
      </c>
      <c r="C72" s="3">
        <v>142.61199999999999</v>
      </c>
      <c r="D72" s="3">
        <v>1.19</v>
      </c>
      <c r="E72" s="2">
        <v>-287</v>
      </c>
      <c r="F72" s="3">
        <f t="shared" si="19"/>
        <v>-5.0090949532237259</v>
      </c>
      <c r="I72" s="1">
        <v>71</v>
      </c>
      <c r="J72" s="2">
        <f t="shared" si="22"/>
        <v>1182</v>
      </c>
      <c r="K72" s="2">
        <f t="shared" si="22"/>
        <v>9703.1270000000004</v>
      </c>
      <c r="L72" s="3">
        <f t="shared" si="20"/>
        <v>0.34792232862005668</v>
      </c>
      <c r="M72" s="3">
        <f t="shared" si="21"/>
        <v>-1.1380026595960122</v>
      </c>
      <c r="N72" s="3">
        <f t="shared" si="15"/>
        <v>36.388862646694065</v>
      </c>
      <c r="O72" s="3">
        <f t="shared" si="16"/>
        <v>0.91057930486207639</v>
      </c>
      <c r="P72" s="3">
        <f t="shared" si="17"/>
        <v>1.4620469267916201</v>
      </c>
      <c r="Q72" s="3">
        <f t="shared" si="18"/>
        <v>2.3474959344310995</v>
      </c>
    </row>
    <row r="73" spans="1:17" x14ac:dyDescent="0.2">
      <c r="A73" s="1" t="s">
        <v>24</v>
      </c>
      <c r="B73" s="2">
        <v>2</v>
      </c>
      <c r="C73" s="3">
        <v>156.41200000000001</v>
      </c>
      <c r="D73" s="3">
        <v>1.7030000000000001</v>
      </c>
      <c r="E73" s="2">
        <v>-260</v>
      </c>
      <c r="F73" s="3">
        <f t="shared" si="19"/>
        <v>-4.5378560551852569</v>
      </c>
      <c r="I73" s="1">
        <v>72</v>
      </c>
      <c r="J73" s="2">
        <f t="shared" si="22"/>
        <v>1184</v>
      </c>
      <c r="K73" s="2">
        <f t="shared" si="22"/>
        <v>9859.5390000000007</v>
      </c>
      <c r="L73" s="3">
        <f t="shared" si="20"/>
        <v>-0.29572284656678238</v>
      </c>
      <c r="M73" s="3">
        <f t="shared" si="21"/>
        <v>-1.6771276033797904</v>
      </c>
      <c r="N73" s="3">
        <f t="shared" si="15"/>
        <v>393.32084446487602</v>
      </c>
      <c r="O73" s="3">
        <f t="shared" si="16"/>
        <v>2.5532459536344416</v>
      </c>
      <c r="P73" s="3">
        <f t="shared" si="17"/>
        <v>3.3096717281647292</v>
      </c>
      <c r="Q73" s="3">
        <f t="shared" si="18"/>
        <v>4.2901965369299564</v>
      </c>
    </row>
    <row r="74" spans="1:17" x14ac:dyDescent="0.2">
      <c r="A74" s="1" t="s">
        <v>5</v>
      </c>
      <c r="B74" s="2">
        <v>0</v>
      </c>
      <c r="C74" s="3">
        <v>137.49700000000001</v>
      </c>
      <c r="D74" s="3">
        <v>0.39300000000000002</v>
      </c>
      <c r="E74" s="2">
        <v>-162</v>
      </c>
      <c r="F74" s="3">
        <f t="shared" si="19"/>
        <v>-2.8274333882308138</v>
      </c>
      <c r="I74" s="1">
        <v>73</v>
      </c>
      <c r="J74" s="2">
        <f t="shared" si="22"/>
        <v>1184</v>
      </c>
      <c r="K74" s="2">
        <f t="shared" si="22"/>
        <v>9997.0360000000001</v>
      </c>
      <c r="L74" s="3">
        <f t="shared" si="20"/>
        <v>-0.37376521090399534</v>
      </c>
      <c r="M74" s="3">
        <f t="shared" si="21"/>
        <v>0.12144367878935437</v>
      </c>
      <c r="N74" s="3">
        <f t="shared" si="15"/>
        <v>0.84147264669422772</v>
      </c>
      <c r="O74" s="3">
        <f t="shared" si="16"/>
        <v>2.8087424739763409</v>
      </c>
      <c r="P74" s="3">
        <f t="shared" si="17"/>
        <v>0.45703907148912887</v>
      </c>
      <c r="Q74" s="3">
        <f t="shared" si="18"/>
        <v>7.4369478442046943E-2</v>
      </c>
    </row>
    <row r="75" spans="1:17" x14ac:dyDescent="0.2">
      <c r="A75" s="1" t="s">
        <v>5</v>
      </c>
      <c r="B75" s="2">
        <v>0</v>
      </c>
      <c r="C75" s="3">
        <v>146.80199999999999</v>
      </c>
      <c r="D75" s="3">
        <v>0.88500000000000001</v>
      </c>
      <c r="E75" s="2">
        <v>-81</v>
      </c>
      <c r="F75" s="3">
        <f t="shared" si="19"/>
        <v>-1.4137166941154069</v>
      </c>
      <c r="I75" s="1">
        <v>74</v>
      </c>
      <c r="J75" s="2">
        <f t="shared" si="22"/>
        <v>1184</v>
      </c>
      <c r="K75" s="2">
        <f t="shared" si="22"/>
        <v>10143.838</v>
      </c>
      <c r="L75" s="3">
        <f t="shared" si="20"/>
        <v>0.13844450156060437</v>
      </c>
      <c r="M75" s="3">
        <f t="shared" si="21"/>
        <v>0.87410418142669688</v>
      </c>
      <c r="N75" s="3">
        <f t="shared" si="15"/>
        <v>104.49578901033028</v>
      </c>
      <c r="O75" s="3">
        <f t="shared" si="16"/>
        <v>1.3542456777340059</v>
      </c>
      <c r="P75" s="3">
        <f t="shared" si="17"/>
        <v>-0.55853099618806179</v>
      </c>
      <c r="Q75" s="3">
        <f t="shared" si="18"/>
        <v>0.23035471246606531</v>
      </c>
    </row>
    <row r="76" spans="1:17" x14ac:dyDescent="0.2">
      <c r="A76" s="1" t="s">
        <v>61</v>
      </c>
      <c r="B76" s="2">
        <v>43</v>
      </c>
      <c r="C76" s="3">
        <v>140.649</v>
      </c>
      <c r="D76" s="3">
        <v>9.1460000000000008</v>
      </c>
      <c r="E76" s="2">
        <v>-232</v>
      </c>
      <c r="F76" s="3">
        <f t="shared" si="19"/>
        <v>-4.0491638646268449</v>
      </c>
      <c r="I76" s="1">
        <v>75</v>
      </c>
      <c r="J76" s="2">
        <f t="shared" si="22"/>
        <v>1227</v>
      </c>
      <c r="K76" s="2">
        <f t="shared" si="22"/>
        <v>10284.486999999999</v>
      </c>
      <c r="L76" s="3">
        <f t="shared" si="20"/>
        <v>-5.6308398533284691</v>
      </c>
      <c r="M76" s="3">
        <f t="shared" si="21"/>
        <v>-7.2071463524870811</v>
      </c>
      <c r="N76" s="3">
        <f t="shared" si="15"/>
        <v>16.559350464875983</v>
      </c>
      <c r="O76" s="3">
        <f t="shared" si="16"/>
        <v>48.066557959917503</v>
      </c>
      <c r="P76" s="3">
        <f t="shared" si="17"/>
        <v>52.699834832203678</v>
      </c>
      <c r="Q76" s="3">
        <f t="shared" si="18"/>
        <v>57.779726887402759</v>
      </c>
    </row>
    <row r="77" spans="1:17" x14ac:dyDescent="0.2">
      <c r="A77" s="1" t="s">
        <v>61</v>
      </c>
      <c r="B77" s="2">
        <v>33</v>
      </c>
      <c r="C77" s="3">
        <v>144.965</v>
      </c>
      <c r="D77" s="3">
        <v>6.5179999999999998</v>
      </c>
      <c r="E77" s="2">
        <v>-236</v>
      </c>
      <c r="F77" s="3">
        <f t="shared" si="19"/>
        <v>-4.1189770347066172</v>
      </c>
      <c r="I77" s="1">
        <v>76</v>
      </c>
      <c r="J77" s="2">
        <f t="shared" si="22"/>
        <v>1260</v>
      </c>
      <c r="K77" s="2">
        <f t="shared" si="22"/>
        <v>10429.451999999999</v>
      </c>
      <c r="L77" s="3">
        <f t="shared" si="20"/>
        <v>-3.6448193448223303</v>
      </c>
      <c r="M77" s="3">
        <f t="shared" si="21"/>
        <v>-5.4036668979137596</v>
      </c>
      <c r="N77" s="3">
        <f t="shared" si="15"/>
        <v>70.313561010330517</v>
      </c>
      <c r="O77" s="3">
        <f t="shared" si="16"/>
        <v>24.472655294993835</v>
      </c>
      <c r="P77" s="3">
        <f t="shared" si="17"/>
        <v>28.681716843035922</v>
      </c>
      <c r="Q77" s="3">
        <f t="shared" si="18"/>
        <v>33.614696531617113</v>
      </c>
    </row>
    <row r="78" spans="1:17" x14ac:dyDescent="0.2">
      <c r="A78" s="1" t="s">
        <v>24</v>
      </c>
      <c r="B78" s="2">
        <v>9</v>
      </c>
      <c r="C78" s="3">
        <v>129.75800000000001</v>
      </c>
      <c r="D78" s="3">
        <v>3.3959999999999999</v>
      </c>
      <c r="E78" s="2">
        <v>-135</v>
      </c>
      <c r="F78" s="3">
        <f t="shared" si="19"/>
        <v>-2.3561944901923448</v>
      </c>
      <c r="I78" s="1">
        <v>77</v>
      </c>
      <c r="J78" s="2">
        <f t="shared" si="22"/>
        <v>1269</v>
      </c>
      <c r="K78" s="2">
        <f t="shared" si="22"/>
        <v>10559.21</v>
      </c>
      <c r="L78" s="3">
        <f t="shared" si="20"/>
        <v>-2.401334628909515</v>
      </c>
      <c r="M78" s="3">
        <f t="shared" si="21"/>
        <v>2.4013346289095154</v>
      </c>
      <c r="N78" s="3">
        <f t="shared" si="15"/>
        <v>46.535342828512363</v>
      </c>
      <c r="O78" s="3">
        <f t="shared" si="16"/>
        <v>13.715910390023383</v>
      </c>
      <c r="P78" s="3">
        <f t="shared" si="17"/>
        <v>-7.4336027388268349</v>
      </c>
      <c r="Q78" s="3">
        <f t="shared" si="18"/>
        <v>4.0287846819768856</v>
      </c>
    </row>
    <row r="79" spans="1:17" x14ac:dyDescent="0.2">
      <c r="A79" s="1" t="s">
        <v>24</v>
      </c>
      <c r="B79" s="2">
        <v>25</v>
      </c>
      <c r="C79" s="3">
        <v>136.18199999999999</v>
      </c>
      <c r="D79" s="3">
        <v>4.79</v>
      </c>
      <c r="E79" s="2">
        <v>-228</v>
      </c>
      <c r="F79" s="3">
        <f t="shared" si="19"/>
        <v>-3.9793506945470711</v>
      </c>
      <c r="I79" s="1">
        <v>78</v>
      </c>
      <c r="J79" s="2">
        <f t="shared" si="22"/>
        <v>1294</v>
      </c>
      <c r="K79" s="2">
        <f t="shared" si="22"/>
        <v>10695.392</v>
      </c>
      <c r="L79" s="3">
        <f t="shared" si="20"/>
        <v>-3.2051356044589321</v>
      </c>
      <c r="M79" s="3">
        <f t="shared" si="21"/>
        <v>-3.5596637140367173</v>
      </c>
      <c r="N79" s="3">
        <f t="shared" si="15"/>
        <v>0.15815082851241194</v>
      </c>
      <c r="O79" s="3">
        <f t="shared" si="16"/>
        <v>20.315759820526118</v>
      </c>
      <c r="P79" s="3">
        <f t="shared" si="17"/>
        <v>17.821033539658064</v>
      </c>
      <c r="Q79" s="3">
        <f t="shared" si="18"/>
        <v>15.632653625917545</v>
      </c>
    </row>
    <row r="80" spans="1:17" x14ac:dyDescent="0.2">
      <c r="A80" s="1" t="s">
        <v>24</v>
      </c>
      <c r="B80" s="2">
        <v>32</v>
      </c>
      <c r="C80" s="3">
        <v>140.90299999999999</v>
      </c>
      <c r="D80" s="3">
        <v>7.306</v>
      </c>
      <c r="E80" s="2">
        <v>-258</v>
      </c>
      <c r="F80" s="3">
        <f t="shared" si="19"/>
        <v>-4.5029494701453698</v>
      </c>
      <c r="I80" s="1">
        <v>79</v>
      </c>
      <c r="J80" s="2">
        <f t="shared" si="22"/>
        <v>1326</v>
      </c>
      <c r="K80" s="2">
        <f t="shared" si="22"/>
        <v>10836.295</v>
      </c>
      <c r="L80" s="3">
        <f t="shared" si="20"/>
        <v>-1.519002813114553</v>
      </c>
      <c r="M80" s="3">
        <f t="shared" si="21"/>
        <v>-7.1463463709611839</v>
      </c>
      <c r="N80" s="3">
        <f t="shared" si="15"/>
        <v>18.691080101239535</v>
      </c>
      <c r="O80" s="3">
        <f t="shared" si="16"/>
        <v>7.9589885067199884</v>
      </c>
      <c r="P80" s="3">
        <f t="shared" si="17"/>
        <v>21.273010393248633</v>
      </c>
      <c r="Q80" s="3">
        <f t="shared" si="18"/>
        <v>56.859106004383818</v>
      </c>
    </row>
    <row r="81" spans="1:17" x14ac:dyDescent="0.2">
      <c r="A81" s="1" t="s">
        <v>24</v>
      </c>
      <c r="B81" s="2">
        <v>34</v>
      </c>
      <c r="C81" s="3">
        <v>134.59399999999999</v>
      </c>
      <c r="D81" s="3">
        <v>8.1219999999999999</v>
      </c>
      <c r="E81" s="2">
        <v>-328</v>
      </c>
      <c r="F81" s="3">
        <f t="shared" si="19"/>
        <v>-5.7246799465414</v>
      </c>
      <c r="I81" s="1">
        <v>80</v>
      </c>
      <c r="J81" s="2">
        <f t="shared" si="22"/>
        <v>1360</v>
      </c>
      <c r="K81" s="2">
        <f t="shared" si="22"/>
        <v>10970.888999999999</v>
      </c>
      <c r="L81" s="3">
        <f t="shared" si="20"/>
        <v>6.8878466369824869</v>
      </c>
      <c r="M81" s="3">
        <f t="shared" si="21"/>
        <v>-4.3040042641020975</v>
      </c>
      <c r="N81" s="3">
        <f t="shared" si="15"/>
        <v>3.9429322830579028</v>
      </c>
      <c r="O81" s="3">
        <f t="shared" si="16"/>
        <v>31.199838009385189</v>
      </c>
      <c r="P81" s="3">
        <f t="shared" si="17"/>
        <v>-26.242401023827892</v>
      </c>
      <c r="Q81" s="3">
        <f t="shared" si="18"/>
        <v>22.072666251928844</v>
      </c>
    </row>
    <row r="82" spans="1:17" x14ac:dyDescent="0.2">
      <c r="A82" s="1" t="s">
        <v>61</v>
      </c>
      <c r="B82" s="2">
        <v>5</v>
      </c>
      <c r="C82" s="3">
        <v>132.76499999999999</v>
      </c>
      <c r="D82" s="3">
        <v>3.2050000000000001</v>
      </c>
      <c r="E82" s="2">
        <v>-109</v>
      </c>
      <c r="F82" s="3">
        <f t="shared" si="19"/>
        <v>-1.902408884673819</v>
      </c>
      <c r="I82" s="1">
        <v>81</v>
      </c>
      <c r="J82" s="2">
        <f t="shared" si="22"/>
        <v>1365</v>
      </c>
      <c r="K82" s="2">
        <f t="shared" si="22"/>
        <v>11103.653999999999</v>
      </c>
      <c r="L82" s="3">
        <f t="shared" si="20"/>
        <v>-1.0434459350351863</v>
      </c>
      <c r="M82" s="3">
        <f t="shared" si="21"/>
        <v>3.0303870347958104</v>
      </c>
      <c r="N82" s="3">
        <f t="shared" si="15"/>
        <v>14.5517973739671</v>
      </c>
      <c r="O82" s="3">
        <f t="shared" si="16"/>
        <v>5.5018912214086209</v>
      </c>
      <c r="P82" s="3">
        <f t="shared" si="17"/>
        <v>-6.1835835465083013</v>
      </c>
      <c r="Q82" s="3">
        <f t="shared" si="18"/>
        <v>6.949738542242323</v>
      </c>
    </row>
    <row r="83" spans="1:17" x14ac:dyDescent="0.2">
      <c r="A83" s="1" t="s">
        <v>61</v>
      </c>
      <c r="B83" s="2">
        <v>2</v>
      </c>
      <c r="C83" s="3">
        <v>129.279</v>
      </c>
      <c r="D83" s="3">
        <v>1.6579999999999999</v>
      </c>
      <c r="E83" s="2">
        <v>-38</v>
      </c>
      <c r="F83" s="3">
        <f t="shared" si="19"/>
        <v>-0.66322511575784515</v>
      </c>
      <c r="I83" s="1">
        <v>82</v>
      </c>
      <c r="J83" s="2">
        <f t="shared" si="22"/>
        <v>1367</v>
      </c>
      <c r="K83" s="2">
        <f t="shared" si="22"/>
        <v>11232.932999999999</v>
      </c>
      <c r="L83" s="3">
        <f t="shared" si="20"/>
        <v>1.306521829479945</v>
      </c>
      <c r="M83" s="3">
        <f t="shared" si="21"/>
        <v>1.0207667260899411</v>
      </c>
      <c r="N83" s="3">
        <f t="shared" si="15"/>
        <v>53.299955010330734</v>
      </c>
      <c r="O83" s="3">
        <f t="shared" si="16"/>
        <v>1.8980917668463077E-5</v>
      </c>
      <c r="P83" s="3">
        <f t="shared" si="17"/>
        <v>2.7299811259495874E-3</v>
      </c>
      <c r="Q83" s="3">
        <f t="shared" si="18"/>
        <v>0.39264681920115213</v>
      </c>
    </row>
    <row r="84" spans="1:17" x14ac:dyDescent="0.2">
      <c r="A84" s="1" t="s">
        <v>24</v>
      </c>
      <c r="B84" s="2">
        <v>5</v>
      </c>
      <c r="C84" s="3">
        <v>134.26300000000001</v>
      </c>
      <c r="D84" s="3">
        <v>5.1769999999999996</v>
      </c>
      <c r="E84" s="2">
        <v>-298</v>
      </c>
      <c r="F84" s="3">
        <f t="shared" si="19"/>
        <v>-5.2010811709431017</v>
      </c>
      <c r="I84" s="1">
        <v>83</v>
      </c>
      <c r="J84" s="2">
        <f t="shared" ref="J84:K89" si="23">J83+B84</f>
        <v>1372</v>
      </c>
      <c r="K84" s="2">
        <f t="shared" si="23"/>
        <v>11367.196</v>
      </c>
      <c r="L84" s="3">
        <f t="shared" si="20"/>
        <v>2.4304542805425546</v>
      </c>
      <c r="M84" s="3">
        <f t="shared" si="21"/>
        <v>-4.5710196882306651</v>
      </c>
      <c r="N84" s="3">
        <f t="shared" si="15"/>
        <v>5.3670146466942237</v>
      </c>
      <c r="O84" s="3">
        <f t="shared" si="16"/>
        <v>1.2730364298433561</v>
      </c>
      <c r="P84" s="3">
        <f t="shared" si="17"/>
        <v>-5.6021486720948879</v>
      </c>
      <c r="Q84" s="3">
        <f t="shared" si="18"/>
        <v>24.652923520905247</v>
      </c>
    </row>
    <row r="85" spans="1:17" x14ac:dyDescent="0.2">
      <c r="A85" s="1" t="s">
        <v>24</v>
      </c>
      <c r="B85" s="2">
        <v>16</v>
      </c>
      <c r="C85" s="3">
        <v>131.453</v>
      </c>
      <c r="D85" s="3">
        <v>6.5819999999999999</v>
      </c>
      <c r="E85" s="2">
        <v>-266</v>
      </c>
      <c r="F85" s="3">
        <f t="shared" si="19"/>
        <v>-4.6425758103049164</v>
      </c>
      <c r="I85" s="1">
        <v>84</v>
      </c>
      <c r="J85" s="2">
        <f t="shared" si="23"/>
        <v>1388</v>
      </c>
      <c r="K85" s="2">
        <f t="shared" si="23"/>
        <v>11498.648999999999</v>
      </c>
      <c r="L85" s="3">
        <f t="shared" si="20"/>
        <v>-0.45913711018383457</v>
      </c>
      <c r="M85" s="3">
        <f t="shared" si="21"/>
        <v>-6.5659665788101629</v>
      </c>
      <c r="N85" s="3">
        <f t="shared" si="15"/>
        <v>26.282866464876076</v>
      </c>
      <c r="O85" s="3">
        <f t="shared" si="16"/>
        <v>3.10218554597947</v>
      </c>
      <c r="P85" s="3">
        <f t="shared" si="17"/>
        <v>12.258871244763045</v>
      </c>
      <c r="Q85" s="3">
        <f t="shared" si="18"/>
        <v>48.443241697920271</v>
      </c>
    </row>
    <row r="86" spans="1:17" x14ac:dyDescent="0.2">
      <c r="A86" s="1" t="s">
        <v>5</v>
      </c>
      <c r="B86" s="2">
        <v>27</v>
      </c>
      <c r="C86" s="3">
        <v>124.18300000000001</v>
      </c>
      <c r="D86" s="3">
        <v>6.3070000000000004</v>
      </c>
      <c r="E86" s="2">
        <v>-22</v>
      </c>
      <c r="F86" s="3">
        <f t="shared" si="19"/>
        <v>-0.38397243543875248</v>
      </c>
      <c r="I86" s="1">
        <v>85</v>
      </c>
      <c r="J86" s="2">
        <f t="shared" si="23"/>
        <v>1415</v>
      </c>
      <c r="K86" s="2">
        <f t="shared" si="23"/>
        <v>11622.832</v>
      </c>
      <c r="L86" s="3">
        <f t="shared" si="20"/>
        <v>5.8477485707527288</v>
      </c>
      <c r="M86" s="3">
        <f t="shared" si="21"/>
        <v>2.362643784674157</v>
      </c>
      <c r="N86" s="3">
        <f t="shared" si="15"/>
        <v>153.67772010123969</v>
      </c>
      <c r="O86" s="3">
        <f t="shared" si="16"/>
        <v>20.662328907940527</v>
      </c>
      <c r="P86" s="3">
        <f t="shared" si="17"/>
        <v>8.9479465964818079</v>
      </c>
      <c r="Q86" s="3">
        <f t="shared" si="18"/>
        <v>3.8749624328514654</v>
      </c>
    </row>
    <row r="87" spans="1:17" x14ac:dyDescent="0.2">
      <c r="A87" s="1" t="s">
        <v>5</v>
      </c>
      <c r="B87" s="2">
        <v>32</v>
      </c>
      <c r="C87" s="3">
        <v>114.07</v>
      </c>
      <c r="D87" s="3">
        <v>6.2880000000000003</v>
      </c>
      <c r="E87" s="2">
        <v>-18</v>
      </c>
      <c r="F87" s="3">
        <f t="shared" si="19"/>
        <v>-0.31415926535897931</v>
      </c>
      <c r="I87" s="1">
        <v>86</v>
      </c>
      <c r="J87" s="2">
        <f t="shared" si="23"/>
        <v>1447</v>
      </c>
      <c r="K87" s="2">
        <f t="shared" si="23"/>
        <v>11736.902</v>
      </c>
      <c r="L87" s="3">
        <f t="shared" si="20"/>
        <v>5.9802433744639254</v>
      </c>
      <c r="M87" s="3">
        <f t="shared" si="21"/>
        <v>1.9430988606296693</v>
      </c>
      <c r="N87" s="3">
        <f t="shared" si="15"/>
        <v>506.68577555578577</v>
      </c>
      <c r="O87" s="3">
        <f t="shared" si="16"/>
        <v>21.884416155077034</v>
      </c>
      <c r="P87" s="3">
        <f t="shared" si="17"/>
        <v>7.2460976281748799</v>
      </c>
      <c r="Q87" s="3">
        <f t="shared" si="18"/>
        <v>2.3992383650984719</v>
      </c>
    </row>
    <row r="88" spans="1:17" x14ac:dyDescent="0.2">
      <c r="A88" s="1" t="s">
        <v>61</v>
      </c>
      <c r="B88" s="2">
        <v>6</v>
      </c>
      <c r="C88" s="3">
        <v>144.28</v>
      </c>
      <c r="D88" s="3">
        <v>3.0459999999999998</v>
      </c>
      <c r="E88" s="2">
        <v>-64</v>
      </c>
      <c r="F88" s="3">
        <f t="shared" si="19"/>
        <v>-1.1170107212763709</v>
      </c>
      <c r="I88" s="1">
        <v>87</v>
      </c>
      <c r="J88" s="2">
        <f t="shared" si="23"/>
        <v>1453</v>
      </c>
      <c r="K88" s="2">
        <f t="shared" si="23"/>
        <v>11881.182000000001</v>
      </c>
      <c r="L88" s="3">
        <f t="shared" si="20"/>
        <v>1.3352785131195299</v>
      </c>
      <c r="M88" s="3">
        <f t="shared" si="21"/>
        <v>2.7377266650272625</v>
      </c>
      <c r="N88" s="3">
        <f t="shared" si="15"/>
        <v>59.294900101239577</v>
      </c>
      <c r="O88" s="3">
        <f t="shared" si="16"/>
        <v>1.0964968052248655E-3</v>
      </c>
      <c r="P88" s="3">
        <f t="shared" si="17"/>
        <v>7.7603730485509503E-2</v>
      </c>
      <c r="Q88" s="3">
        <f t="shared" si="18"/>
        <v>5.4923452184911365</v>
      </c>
    </row>
    <row r="89" spans="1:17" x14ac:dyDescent="0.2">
      <c r="A89" s="1" t="s">
        <v>61</v>
      </c>
      <c r="B89" s="2">
        <v>10</v>
      </c>
      <c r="C89" s="3">
        <v>137.83000000000001</v>
      </c>
      <c r="D89" s="3">
        <v>5.8730000000000002</v>
      </c>
      <c r="E89" s="2">
        <v>-137</v>
      </c>
      <c r="F89" s="3">
        <f t="shared" si="19"/>
        <v>-2.3911010752322315</v>
      </c>
      <c r="I89" s="1">
        <v>88</v>
      </c>
      <c r="J89" s="2">
        <f t="shared" si="23"/>
        <v>1463</v>
      </c>
      <c r="K89" s="2">
        <f t="shared" si="23"/>
        <v>12019.012000000001</v>
      </c>
      <c r="L89" s="3">
        <f t="shared" si="20"/>
        <v>-4.2952402896093886</v>
      </c>
      <c r="M89" s="3">
        <f t="shared" si="21"/>
        <v>4.0053763686470543</v>
      </c>
      <c r="N89" s="3">
        <f t="shared" si="15"/>
        <v>1.5632955557851373</v>
      </c>
      <c r="O89" s="3">
        <f t="shared" si="16"/>
        <v>31.330947319298559</v>
      </c>
      <c r="P89" s="3">
        <f t="shared" si="17"/>
        <v>-20.213490408386583</v>
      </c>
      <c r="Q89" s="3">
        <f t="shared" si="18"/>
        <v>13.040946075647859</v>
      </c>
    </row>
    <row r="102" spans="8:18" ht="17" x14ac:dyDescent="0.2">
      <c r="H102" t="s">
        <v>96</v>
      </c>
      <c r="I102" s="1">
        <f>MAX(I2:I100)</f>
        <v>88</v>
      </c>
      <c r="O102" s="3">
        <f>SUM(O2:O100)/(I102-1)</f>
        <v>18.202888286842605</v>
      </c>
      <c r="R102" t="s">
        <v>106</v>
      </c>
    </row>
    <row r="103" spans="8:18" x14ac:dyDescent="0.2">
      <c r="H103" t="s">
        <v>98</v>
      </c>
      <c r="J103" s="1">
        <f>MAX(J2:J100)/I102</f>
        <v>16.625</v>
      </c>
      <c r="P103" s="3">
        <f>SUM(P2:P100)/(I102-1)</f>
        <v>1.1543604688702997</v>
      </c>
      <c r="R103" t="s">
        <v>107</v>
      </c>
    </row>
    <row r="104" spans="8:18" ht="17" x14ac:dyDescent="0.2">
      <c r="H104" t="s">
        <v>99</v>
      </c>
      <c r="K104" s="1">
        <f>MAX(K2:K100)/I102</f>
        <v>136.57968181818183</v>
      </c>
      <c r="Q104" s="3">
        <f>SUM(Q2:Q100)/(I102-1)</f>
        <v>21.357440773202509</v>
      </c>
      <c r="R104" t="s">
        <v>108</v>
      </c>
    </row>
    <row r="105" spans="8:18" x14ac:dyDescent="0.2">
      <c r="H105" t="s">
        <v>100</v>
      </c>
      <c r="L105" s="3">
        <f>SUM(L2:L100)/I102</f>
        <v>1.3021651199798219</v>
      </c>
      <c r="O105" s="3" t="s">
        <v>109</v>
      </c>
    </row>
    <row r="106" spans="8:18" x14ac:dyDescent="0.2">
      <c r="H106" t="s">
        <v>101</v>
      </c>
      <c r="M106" s="3">
        <f>SUM(M2:M100)/I102</f>
        <v>0.39415135825960129</v>
      </c>
      <c r="O106" s="3">
        <f>O102</f>
        <v>18.202888286842605</v>
      </c>
      <c r="P106" s="3">
        <f>P103</f>
        <v>1.1543604688702997</v>
      </c>
    </row>
    <row r="107" spans="8:18" x14ac:dyDescent="0.2">
      <c r="H107" t="s">
        <v>110</v>
      </c>
      <c r="L107" s="3">
        <f>SQRT(L105^2+M106^2)</f>
        <v>1.3605106735744312</v>
      </c>
      <c r="O107" s="3">
        <f>P103</f>
        <v>1.1543604688702997</v>
      </c>
      <c r="P107" s="3">
        <f>Q104</f>
        <v>21.357440773202509</v>
      </c>
    </row>
    <row r="108" spans="8:18" x14ac:dyDescent="0.2">
      <c r="H108" t="s">
        <v>111</v>
      </c>
      <c r="M108" s="3">
        <f>ATAN(ABS(M106/L105))</f>
        <v>0.29392214875629574</v>
      </c>
      <c r="O108" s="4" t="s">
        <v>112</v>
      </c>
    </row>
    <row r="109" spans="8:18" x14ac:dyDescent="0.2">
      <c r="H109" t="s">
        <v>113</v>
      </c>
      <c r="M109" s="5">
        <f>IF(L105*M106&gt;0,-1,1)</f>
        <v>-1</v>
      </c>
      <c r="N109" s="5"/>
      <c r="O109" s="3">
        <f t="array" ref="O109:P110">MINVERSE(O106:P107)</f>
        <v>5.512528554862918E-2</v>
      </c>
      <c r="P109" s="3">
        <v>-2.9794979252555304E-3</v>
      </c>
    </row>
    <row r="110" spans="8:18" x14ac:dyDescent="0.2">
      <c r="H110" t="s">
        <v>114</v>
      </c>
      <c r="M110" s="3">
        <f>IF(L105&lt;0,-PI(),0)</f>
        <v>0</v>
      </c>
      <c r="O110" s="3">
        <v>-2.9794979252555304E-3</v>
      </c>
      <c r="P110" s="3">
        <v>4.6983129920745284E-2</v>
      </c>
    </row>
    <row r="111" spans="8:18" x14ac:dyDescent="0.2">
      <c r="H111" t="s">
        <v>115</v>
      </c>
      <c r="M111" s="3">
        <f>M110+M109*M108</f>
        <v>-0.29392214875629574</v>
      </c>
    </row>
    <row r="112" spans="8:18" x14ac:dyDescent="0.2">
      <c r="H112" t="s">
        <v>115</v>
      </c>
      <c r="M112" s="3">
        <f>M111*180/PI()</f>
        <v>-16.840498629152105</v>
      </c>
      <c r="Q112" s="3">
        <f>P103/SQRT((O102*Q104))</f>
        <v>5.8545927240082798E-2</v>
      </c>
      <c r="R112" t="s">
        <v>116</v>
      </c>
    </row>
    <row r="113" spans="8:19" x14ac:dyDescent="0.2">
      <c r="Q113" s="3">
        <f>(L105^2/O102) - 2*Q112*L105*M106/SQRT(O102*Q104) + (M106^2/Q104)</f>
        <v>9.7378007482918513E-2</v>
      </c>
      <c r="R113" t="s">
        <v>117</v>
      </c>
    </row>
    <row r="114" spans="8:19" ht="17" x14ac:dyDescent="0.2">
      <c r="H114" t="s">
        <v>118</v>
      </c>
      <c r="N114" s="3">
        <f>SUM(N2:N100)/(I102-1)</f>
        <v>90.615992748171365</v>
      </c>
      <c r="Q114" s="3">
        <f>(I102*(I102-2))/((2*(I102-1))*(1-Q112^2))</f>
        <v>43.643847642869346</v>
      </c>
      <c r="R114" t="s">
        <v>119</v>
      </c>
    </row>
    <row r="115" spans="8:19" x14ac:dyDescent="0.2">
      <c r="H115" t="s">
        <v>120</v>
      </c>
      <c r="N115" s="3">
        <f>SQRT(N114)</f>
        <v>9.5192432865313066</v>
      </c>
      <c r="Q115" s="3">
        <f>Q114*Q113</f>
        <v>4.2499509223506866</v>
      </c>
      <c r="R115" t="s">
        <v>121</v>
      </c>
      <c r="S115" s="3"/>
    </row>
    <row r="116" spans="8:19" x14ac:dyDescent="0.2">
      <c r="H116" t="s">
        <v>122</v>
      </c>
      <c r="N116" s="3">
        <f>_xlfn.T.INV(1-0.05/2,I102-1)</f>
        <v>1.9876082815890699</v>
      </c>
      <c r="Q116" s="3">
        <f>FDIST(Q115,2,I102-2)</f>
        <v>1.7373408631056075E-2</v>
      </c>
      <c r="R116" t="s">
        <v>123</v>
      </c>
      <c r="S116" s="1"/>
    </row>
    <row r="117" spans="8:19" x14ac:dyDescent="0.2">
      <c r="H117" s="6" t="s">
        <v>124</v>
      </c>
      <c r="N117" s="3">
        <f>N116*N115/SQRT(I102)</f>
        <v>2.0169349328089243</v>
      </c>
      <c r="Q117" s="3">
        <f>(1+2*Q115/(I102-2))^(-(I102-2)/2)</f>
        <v>1.7373408631056096E-2</v>
      </c>
      <c r="R117" t="s">
        <v>123</v>
      </c>
    </row>
    <row r="120" spans="8:19" x14ac:dyDescent="0.2">
      <c r="Q120" s="7">
        <f>(O102*L105^2 +2*P103*L105*M106 +Q104*M106^2)/(I102*L107^2)</f>
        <v>0.21713437272195596</v>
      </c>
      <c r="R120" t="s">
        <v>125</v>
      </c>
    </row>
    <row r="121" spans="8:19" x14ac:dyDescent="0.2">
      <c r="Q121" s="3">
        <f>(-(O102-Q104)*L105*M106 + P103*(L105^2-M106^2))/(I102*L107^2)</f>
        <v>2.085562496646989E-2</v>
      </c>
      <c r="R121" t="s">
        <v>126</v>
      </c>
    </row>
    <row r="122" spans="8:19" x14ac:dyDescent="0.2">
      <c r="H122" s="6" t="s">
        <v>127</v>
      </c>
      <c r="N122" s="3">
        <f>N116*SQRT(Q120)</f>
        <v>0.92617933515688544</v>
      </c>
      <c r="Q122" s="3">
        <f>(O102*M106^2 - 2*P103*L105*M106 + Q104*L105^2)/(I102*L107^2)</f>
        <v>0.23241482114219303</v>
      </c>
      <c r="R122" t="s">
        <v>128</v>
      </c>
    </row>
    <row r="123" spans="8:19" x14ac:dyDescent="0.2">
      <c r="H123" t="s">
        <v>129</v>
      </c>
      <c r="N123" s="3">
        <f>L107-N122</f>
        <v>0.43433133841754579</v>
      </c>
    </row>
    <row r="124" spans="8:19" x14ac:dyDescent="0.2">
      <c r="H124" t="s">
        <v>130</v>
      </c>
      <c r="N124" s="3">
        <f>L107+N122</f>
        <v>2.2866900087313167</v>
      </c>
      <c r="Q124" s="3">
        <f>L107^2-N116^2*Q120</f>
        <v>0.99318113203830227</v>
      </c>
      <c r="R124" t="s">
        <v>131</v>
      </c>
    </row>
    <row r="125" spans="8:19" x14ac:dyDescent="0.2">
      <c r="Q125" s="3">
        <f>N116^2*Q121</f>
        <v>8.2391954217331587E-2</v>
      </c>
      <c r="R125" t="s">
        <v>132</v>
      </c>
    </row>
    <row r="126" spans="8:19" x14ac:dyDescent="0.2">
      <c r="Q126" s="3">
        <f>N116*SQRT(Q122)</f>
        <v>0.95821443157624164</v>
      </c>
      <c r="R126" t="s">
        <v>133</v>
      </c>
    </row>
    <row r="127" spans="8:19" x14ac:dyDescent="0.2">
      <c r="O127" s="3" t="s">
        <v>134</v>
      </c>
      <c r="P127" s="3">
        <f>SQRT(Q127)</f>
        <v>1.0002872246814614</v>
      </c>
      <c r="Q127" s="3">
        <f>L107^2 - (Q120*Q122-Q121^2)*N116^2/Q122</f>
        <v>1.0005745318609405</v>
      </c>
      <c r="R127" t="s">
        <v>135</v>
      </c>
    </row>
    <row r="128" spans="8:19" x14ac:dyDescent="0.2">
      <c r="O128" s="3" t="s">
        <v>136</v>
      </c>
      <c r="P128" s="3">
        <f>(Q125+Q126*SQRT(Q127))/Q124</f>
        <v>1.0480279729964832</v>
      </c>
      <c r="Q128" s="7">
        <f>(Q125+Q126*SQRT(Q127))/Q124</f>
        <v>1.0480279729964832</v>
      </c>
      <c r="R128" t="s">
        <v>137</v>
      </c>
    </row>
    <row r="129" spans="15:18" x14ac:dyDescent="0.2">
      <c r="O129" s="3" t="s">
        <v>138</v>
      </c>
      <c r="P129" s="3">
        <f>(Q125-Q126*SQRT(Q127))/Q124</f>
        <v>-0.88211271029261185</v>
      </c>
      <c r="Q129" s="7">
        <f>(Q125-Q126*SQRT(Q127))/Q124</f>
        <v>-0.88211271029261185</v>
      </c>
      <c r="R129" t="s">
        <v>139</v>
      </c>
    </row>
    <row r="131" spans="15:18" x14ac:dyDescent="0.2">
      <c r="Q131" s="3">
        <f>ATAN(Q128)</f>
        <v>0.80884470433174505</v>
      </c>
      <c r="R131" t="s">
        <v>140</v>
      </c>
    </row>
    <row r="132" spans="15:18" x14ac:dyDescent="0.2">
      <c r="Q132" s="3">
        <f>ATAN(Q129)</f>
        <v>-0.72284426585222206</v>
      </c>
      <c r="R132" t="s">
        <v>141</v>
      </c>
    </row>
    <row r="133" spans="15:18" x14ac:dyDescent="0.2">
      <c r="Q133" s="3">
        <f>Q131*180/PI()</f>
        <v>46.34338783971593</v>
      </c>
      <c r="R133" t="s">
        <v>140</v>
      </c>
    </row>
    <row r="134" spans="15:18" x14ac:dyDescent="0.2">
      <c r="Q134" s="3">
        <f>Q132*180/PI()</f>
        <v>-41.415925678564776</v>
      </c>
      <c r="R134" t="s">
        <v>141</v>
      </c>
    </row>
    <row r="136" spans="15:18" x14ac:dyDescent="0.2">
      <c r="Q136" s="3">
        <f>ATAN(P128)</f>
        <v>0.80884470433174505</v>
      </c>
      <c r="R136" t="s">
        <v>142</v>
      </c>
    </row>
    <row r="137" spans="15:18" x14ac:dyDescent="0.2">
      <c r="Q137" s="3">
        <f>Q122*COS(Q136)+Q121*SIN(Q136)</f>
        <v>0.17553286330726753</v>
      </c>
      <c r="R137" t="s">
        <v>143</v>
      </c>
    </row>
    <row r="138" spans="15:18" x14ac:dyDescent="0.2">
      <c r="Q138" s="3">
        <f>IF(Q137&lt;0,Q136+PI(),Q136)</f>
        <v>0.80884470433174505</v>
      </c>
      <c r="R138" t="s">
        <v>142</v>
      </c>
    </row>
    <row r="139" spans="15:18" x14ac:dyDescent="0.2">
      <c r="Q139" s="3">
        <f>Q138*180/PI()</f>
        <v>46.34338783971593</v>
      </c>
      <c r="R139" t="s">
        <v>142</v>
      </c>
    </row>
    <row r="140" spans="15:18" x14ac:dyDescent="0.2">
      <c r="Q140" s="3">
        <f>Q139+M112</f>
        <v>29.502889210563826</v>
      </c>
      <c r="R140" t="s">
        <v>144</v>
      </c>
    </row>
    <row r="141" spans="15:18" x14ac:dyDescent="0.2">
      <c r="Q141" s="3">
        <f>IF(Q140&gt;0,Q140-360,Q140)</f>
        <v>-330.49711078943619</v>
      </c>
      <c r="R141" t="s">
        <v>145</v>
      </c>
    </row>
    <row r="143" spans="15:18" x14ac:dyDescent="0.2">
      <c r="Q143" s="3">
        <f>ATAN(P129)</f>
        <v>-0.72284426585222206</v>
      </c>
      <c r="R143" t="s">
        <v>146</v>
      </c>
    </row>
    <row r="144" spans="15:18" x14ac:dyDescent="0.2">
      <c r="Q144" s="3">
        <f>Q122*COS(Q136)+Q121*SIN(Q136)</f>
        <v>0.17553286330726753</v>
      </c>
      <c r="R144" t="s">
        <v>147</v>
      </c>
    </row>
    <row r="145" spans="17:18" x14ac:dyDescent="0.2">
      <c r="Q145" s="3">
        <f>IF(Q144&lt;0,Q143+PI(),Q143)</f>
        <v>-0.72284426585222206</v>
      </c>
      <c r="R145" t="s">
        <v>146</v>
      </c>
    </row>
    <row r="146" spans="17:18" x14ac:dyDescent="0.2">
      <c r="Q146" s="3">
        <f>Q145*180/PI()</f>
        <v>-41.415925678564776</v>
      </c>
      <c r="R146" t="s">
        <v>146</v>
      </c>
    </row>
    <row r="147" spans="17:18" x14ac:dyDescent="0.2">
      <c r="Q147" s="3">
        <f>Q146+M112</f>
        <v>-58.256424307716884</v>
      </c>
      <c r="R147" t="s">
        <v>148</v>
      </c>
    </row>
    <row r="148" spans="17:18" x14ac:dyDescent="0.2">
      <c r="Q148" s="3">
        <f>IF(Q147&gt;0,Q147-360,Q147)</f>
        <v>-58.256424307716884</v>
      </c>
      <c r="R148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8"/>
  <sheetViews>
    <sheetView topLeftCell="A94" workbookViewId="0">
      <selection activeCell="A148" sqref="A148:XFD148"/>
    </sheetView>
  </sheetViews>
  <sheetFormatPr baseColWidth="10" defaultColWidth="8.83203125" defaultRowHeight="15" x14ac:dyDescent="0.2"/>
  <cols>
    <col min="1" max="1" width="5.5" style="1" customWidth="1"/>
    <col min="2" max="2" width="6.6640625" style="2" customWidth="1"/>
    <col min="3" max="4" width="8.83203125" style="3"/>
    <col min="5" max="5" width="7.5" style="2" customWidth="1"/>
    <col min="6" max="6" width="7.5" style="3" customWidth="1"/>
    <col min="7" max="7" width="1.83203125" customWidth="1"/>
    <col min="8" max="8" width="6.83203125" customWidth="1"/>
    <col min="9" max="9" width="5" style="1" customWidth="1"/>
    <col min="10" max="10" width="7.1640625" style="1" customWidth="1"/>
    <col min="11" max="11" width="9" style="1" customWidth="1"/>
    <col min="12" max="14" width="8.83203125" style="3"/>
    <col min="15" max="17" width="8.83203125" style="3" customWidth="1"/>
  </cols>
  <sheetData>
    <row r="1" spans="1:17" x14ac:dyDescent="0.2">
      <c r="A1" s="1" t="s">
        <v>1</v>
      </c>
      <c r="B1" s="2" t="s">
        <v>98</v>
      </c>
      <c r="C1" s="3" t="s">
        <v>99</v>
      </c>
      <c r="D1" s="3" t="s">
        <v>2</v>
      </c>
      <c r="E1" s="2" t="s">
        <v>3</v>
      </c>
      <c r="F1" s="3" t="s">
        <v>3</v>
      </c>
      <c r="I1" s="1" t="s">
        <v>96</v>
      </c>
      <c r="J1" s="1" t="s">
        <v>98</v>
      </c>
      <c r="K1" s="1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</row>
    <row r="2" spans="1:17" x14ac:dyDescent="0.2">
      <c r="A2" s="1" t="s">
        <v>95</v>
      </c>
      <c r="B2" s="2">
        <v>3</v>
      </c>
      <c r="C2" s="3">
        <v>137.55500000000001</v>
      </c>
      <c r="D2" s="3">
        <v>2.8220000000000001</v>
      </c>
      <c r="E2" s="2">
        <v>-47</v>
      </c>
      <c r="F2" s="3">
        <f>E2*PI()/180</f>
        <v>-0.82030474843733492</v>
      </c>
      <c r="I2" s="1">
        <v>1</v>
      </c>
      <c r="J2" s="2">
        <f>B2</f>
        <v>3</v>
      </c>
      <c r="K2" s="2">
        <f>C2</f>
        <v>137.55500000000001</v>
      </c>
      <c r="L2" s="3">
        <f>D2*COS(F2)</f>
        <v>1.9245993720963708</v>
      </c>
      <c r="M2" s="3">
        <f>-D2*SIN(F2)</f>
        <v>2.063880145969299</v>
      </c>
      <c r="N2" s="3">
        <f t="shared" ref="N2:N33" si="0">(C2-K$104)^2</f>
        <v>0.95124555578512338</v>
      </c>
      <c r="O2" s="3">
        <f t="shared" ref="O2:O33" si="1">(L2-L$105)^2</f>
        <v>1.8168929368489459</v>
      </c>
      <c r="P2" s="3">
        <f t="shared" ref="P2:P33" si="2">(L2-L$105)*(M2-M$106)</f>
        <v>2.3600385274174309</v>
      </c>
      <c r="Q2" s="3">
        <f t="shared" ref="Q2:Q33" si="3">(M2-M$106)^2</f>
        <v>3.0655531418127255</v>
      </c>
    </row>
    <row r="3" spans="1:17" x14ac:dyDescent="0.2">
      <c r="A3" s="1" t="s">
        <v>61</v>
      </c>
      <c r="B3" s="2">
        <v>12</v>
      </c>
      <c r="C3" s="3">
        <v>139.67099999999999</v>
      </c>
      <c r="D3" s="3">
        <v>9.01</v>
      </c>
      <c r="E3" s="2">
        <v>-61</v>
      </c>
      <c r="F3" s="3">
        <f t="shared" ref="F3:F66" si="4">E3*PI()/180</f>
        <v>-1.064650843716541</v>
      </c>
      <c r="I3" s="1">
        <v>2</v>
      </c>
      <c r="J3" s="2">
        <f>J2+B3</f>
        <v>15</v>
      </c>
      <c r="K3" s="2">
        <f>K2+C3</f>
        <v>277.226</v>
      </c>
      <c r="L3" s="3">
        <f t="shared" ref="L3:L19" si="5">D3*COS(F3)</f>
        <v>4.368134678419497</v>
      </c>
      <c r="M3" s="3">
        <f t="shared" ref="M3:M19" si="6">-D3*SIN(F3)</f>
        <v>7.8803235613259552</v>
      </c>
      <c r="N3" s="3">
        <f t="shared" si="0"/>
        <v>9.5562481012395768</v>
      </c>
      <c r="O3" s="3">
        <f t="shared" si="1"/>
        <v>14.375146308199977</v>
      </c>
      <c r="P3" s="3">
        <f t="shared" si="2"/>
        <v>28.691151540840828</v>
      </c>
      <c r="Q3" s="3">
        <f t="shared" si="3"/>
        <v>57.264264244039545</v>
      </c>
    </row>
    <row r="4" spans="1:17" x14ac:dyDescent="0.2">
      <c r="A4" s="1" t="s">
        <v>61</v>
      </c>
      <c r="B4" s="2">
        <v>20</v>
      </c>
      <c r="C4" s="3">
        <v>137.57300000000001</v>
      </c>
      <c r="D4" s="3">
        <v>6.7320000000000002</v>
      </c>
      <c r="E4" s="2">
        <v>-6</v>
      </c>
      <c r="F4" s="3">
        <f t="shared" si="4"/>
        <v>-0.10471975511965977</v>
      </c>
      <c r="I4" s="1">
        <v>3</v>
      </c>
      <c r="J4" s="2">
        <f t="shared" ref="J4:K19" si="7">J3+B4</f>
        <v>35</v>
      </c>
      <c r="K4" s="2">
        <f t="shared" si="7"/>
        <v>414.79899999999998</v>
      </c>
      <c r="L4" s="3">
        <f t="shared" si="5"/>
        <v>6.6951213996192163</v>
      </c>
      <c r="M4" s="3">
        <f t="shared" si="6"/>
        <v>0.70368561471784308</v>
      </c>
      <c r="N4" s="3">
        <f t="shared" si="0"/>
        <v>0.98668101033057931</v>
      </c>
      <c r="O4" s="3">
        <f t="shared" si="1"/>
        <v>37.435353771772746</v>
      </c>
      <c r="P4" s="3">
        <f t="shared" si="2"/>
        <v>2.3903387785905705</v>
      </c>
      <c r="Q4" s="3">
        <f t="shared" si="3"/>
        <v>0.15262896969714651</v>
      </c>
    </row>
    <row r="5" spans="1:17" x14ac:dyDescent="0.2">
      <c r="A5" s="1" t="s">
        <v>61</v>
      </c>
      <c r="B5" s="2">
        <v>22</v>
      </c>
      <c r="C5" s="3">
        <v>148.35400000000001</v>
      </c>
      <c r="D5" s="3">
        <v>5.0060000000000002</v>
      </c>
      <c r="E5" s="2">
        <v>-357</v>
      </c>
      <c r="F5" s="3">
        <f t="shared" si="4"/>
        <v>-6.2308254296197561</v>
      </c>
      <c r="I5" s="1">
        <v>4</v>
      </c>
      <c r="J5" s="2">
        <f t="shared" si="7"/>
        <v>57</v>
      </c>
      <c r="K5" s="2">
        <f t="shared" si="7"/>
        <v>563.15300000000002</v>
      </c>
      <c r="L5" s="3">
        <f t="shared" si="5"/>
        <v>4.9991394509813967</v>
      </c>
      <c r="M5" s="3">
        <f t="shared" si="6"/>
        <v>-0.2619937969521795</v>
      </c>
      <c r="N5" s="3">
        <f t="shared" si="0"/>
        <v>138.63456864669436</v>
      </c>
      <c r="O5" s="3">
        <f t="shared" si="1"/>
        <v>19.558168275984233</v>
      </c>
      <c r="P5" s="3">
        <f t="shared" si="2"/>
        <v>-2.5429236395060237</v>
      </c>
      <c r="Q5" s="3">
        <f t="shared" si="3"/>
        <v>0.33062710909890403</v>
      </c>
    </row>
    <row r="6" spans="1:17" x14ac:dyDescent="0.2">
      <c r="A6" s="1" t="s">
        <v>24</v>
      </c>
      <c r="B6" s="2">
        <v>8</v>
      </c>
      <c r="C6" s="3">
        <v>128.149</v>
      </c>
      <c r="D6" s="3">
        <v>4.7050000000000001</v>
      </c>
      <c r="E6" s="2">
        <v>-154</v>
      </c>
      <c r="F6" s="3">
        <f t="shared" si="4"/>
        <v>-2.6878070480712677</v>
      </c>
      <c r="I6" s="1">
        <v>5</v>
      </c>
      <c r="J6" s="2">
        <f t="shared" si="7"/>
        <v>65</v>
      </c>
      <c r="K6" s="2">
        <f t="shared" si="7"/>
        <v>691.30200000000002</v>
      </c>
      <c r="L6" s="3">
        <f t="shared" si="5"/>
        <v>-4.2288259878375811</v>
      </c>
      <c r="M6" s="3">
        <f t="shared" si="6"/>
        <v>2.0625362456426086</v>
      </c>
      <c r="N6" s="3">
        <f t="shared" si="0"/>
        <v>71.076395919421586</v>
      </c>
      <c r="O6" s="3">
        <f t="shared" si="1"/>
        <v>23.092865327533413</v>
      </c>
      <c r="P6" s="3">
        <f t="shared" si="2"/>
        <v>-8.4073641917201183</v>
      </c>
      <c r="Q6" s="3">
        <f t="shared" si="3"/>
        <v>3.0608489526824578</v>
      </c>
    </row>
    <row r="7" spans="1:17" x14ac:dyDescent="0.2">
      <c r="A7" s="1" t="s">
        <v>24</v>
      </c>
      <c r="B7" s="2">
        <v>30</v>
      </c>
      <c r="C7" s="3">
        <v>124.342</v>
      </c>
      <c r="D7" s="3">
        <v>10.597</v>
      </c>
      <c r="E7" s="2">
        <v>-98</v>
      </c>
      <c r="F7" s="3">
        <f t="shared" si="4"/>
        <v>-1.7104226669544429</v>
      </c>
      <c r="I7" s="1">
        <v>6</v>
      </c>
      <c r="J7" s="2">
        <f t="shared" si="7"/>
        <v>95</v>
      </c>
      <c r="K7" s="2">
        <f t="shared" si="7"/>
        <v>815.64400000000001</v>
      </c>
      <c r="L7" s="3">
        <f t="shared" si="5"/>
        <v>-1.4748173508738125</v>
      </c>
      <c r="M7" s="3">
        <f t="shared" si="6"/>
        <v>10.493870724454421</v>
      </c>
      <c r="N7" s="3">
        <f t="shared" si="0"/>
        <v>149.76085628305805</v>
      </c>
      <c r="O7" s="3">
        <f t="shared" si="1"/>
        <v>4.2086317873898054</v>
      </c>
      <c r="P7" s="3">
        <f t="shared" si="2"/>
        <v>-20.885989028843401</v>
      </c>
      <c r="Q7" s="3">
        <f t="shared" si="3"/>
        <v>103.6499650599069</v>
      </c>
    </row>
    <row r="8" spans="1:17" x14ac:dyDescent="0.2">
      <c r="A8" s="1" t="s">
        <v>61</v>
      </c>
      <c r="B8" s="2">
        <v>8</v>
      </c>
      <c r="C8" s="3">
        <v>135.286</v>
      </c>
      <c r="D8" s="3">
        <v>4.5110000000000001</v>
      </c>
      <c r="E8" s="2">
        <v>-10</v>
      </c>
      <c r="F8" s="3">
        <f t="shared" si="4"/>
        <v>-0.17453292519943295</v>
      </c>
      <c r="I8" s="1">
        <v>7</v>
      </c>
      <c r="J8" s="2">
        <f t="shared" si="7"/>
        <v>103</v>
      </c>
      <c r="K8" s="2">
        <f t="shared" si="7"/>
        <v>950.93000000000006</v>
      </c>
      <c r="L8" s="3">
        <f t="shared" si="5"/>
        <v>4.4424677738380707</v>
      </c>
      <c r="M8" s="3">
        <f t="shared" si="6"/>
        <v>0.78332692945552274</v>
      </c>
      <c r="N8" s="3">
        <f t="shared" si="0"/>
        <v>1.6736126466942298</v>
      </c>
      <c r="O8" s="3">
        <f t="shared" si="1"/>
        <v>14.94433318964488</v>
      </c>
      <c r="P8" s="3">
        <f t="shared" si="2"/>
        <v>1.8181541237476269</v>
      </c>
      <c r="Q8" s="3">
        <f t="shared" si="3"/>
        <v>0.22119986055925545</v>
      </c>
    </row>
    <row r="9" spans="1:17" x14ac:dyDescent="0.2">
      <c r="A9" s="1" t="s">
        <v>61</v>
      </c>
      <c r="B9" s="2">
        <v>29</v>
      </c>
      <c r="C9" s="3">
        <v>131.56800000000001</v>
      </c>
      <c r="D9" s="3">
        <v>12.41</v>
      </c>
      <c r="E9" s="2">
        <v>-60</v>
      </c>
      <c r="F9" s="3">
        <f t="shared" si="4"/>
        <v>-1.0471975511965976</v>
      </c>
      <c r="I9" s="1">
        <v>8</v>
      </c>
      <c r="J9" s="2">
        <f t="shared" si="7"/>
        <v>132</v>
      </c>
      <c r="K9" s="2">
        <f t="shared" si="7"/>
        <v>1082.498</v>
      </c>
      <c r="L9" s="3">
        <f t="shared" si="5"/>
        <v>6.2050000000000018</v>
      </c>
      <c r="M9" s="3">
        <f t="shared" si="6"/>
        <v>10.747375260964883</v>
      </c>
      <c r="N9" s="3">
        <f t="shared" si="0"/>
        <v>25.116954646694165</v>
      </c>
      <c r="O9" s="3">
        <f t="shared" si="1"/>
        <v>31.678012341681729</v>
      </c>
      <c r="P9" s="3">
        <f t="shared" si="2"/>
        <v>58.727982130449767</v>
      </c>
      <c r="Q9" s="3">
        <f t="shared" si="3"/>
        <v>108.87601936363559</v>
      </c>
    </row>
    <row r="10" spans="1:17" x14ac:dyDescent="0.2">
      <c r="A10" s="1" t="s">
        <v>61</v>
      </c>
      <c r="B10" s="2">
        <v>9</v>
      </c>
      <c r="C10" s="3">
        <v>130.03299999999999</v>
      </c>
      <c r="D10" s="3">
        <v>5.9050000000000002</v>
      </c>
      <c r="E10" s="2">
        <v>-174</v>
      </c>
      <c r="F10" s="3">
        <f t="shared" si="4"/>
        <v>-3.0368728984701332</v>
      </c>
      <c r="I10" s="1">
        <v>9</v>
      </c>
      <c r="J10" s="2">
        <f t="shared" si="7"/>
        <v>141</v>
      </c>
      <c r="K10" s="2">
        <f t="shared" si="7"/>
        <v>1212.5309999999999</v>
      </c>
      <c r="L10" s="3">
        <f t="shared" si="5"/>
        <v>-5.8726517921496537</v>
      </c>
      <c r="M10" s="3">
        <f t="shared" si="6"/>
        <v>0.61724057559549528</v>
      </c>
      <c r="N10" s="3">
        <f t="shared" si="0"/>
        <v>42.859042828512656</v>
      </c>
      <c r="O10" s="3">
        <f t="shared" si="1"/>
        <v>41.593850406727732</v>
      </c>
      <c r="P10" s="3">
        <f t="shared" si="2"/>
        <v>-1.9620958717574128</v>
      </c>
      <c r="Q10" s="3">
        <f t="shared" si="3"/>
        <v>9.2557437513521953E-2</v>
      </c>
    </row>
    <row r="11" spans="1:17" x14ac:dyDescent="0.2">
      <c r="A11" s="1" t="s">
        <v>61</v>
      </c>
      <c r="B11" s="2">
        <v>7</v>
      </c>
      <c r="C11" s="3">
        <v>128.96899999999999</v>
      </c>
      <c r="D11" s="3">
        <v>3.4359999999999999</v>
      </c>
      <c r="E11" s="2">
        <v>-210</v>
      </c>
      <c r="F11" s="3">
        <f t="shared" si="4"/>
        <v>-3.6651914291880923</v>
      </c>
      <c r="I11" s="1">
        <v>10</v>
      </c>
      <c r="J11" s="2">
        <f t="shared" si="7"/>
        <v>148</v>
      </c>
      <c r="K11" s="2">
        <f t="shared" si="7"/>
        <v>1341.5</v>
      </c>
      <c r="L11" s="3">
        <f t="shared" si="5"/>
        <v>-2.9756632874033309</v>
      </c>
      <c r="M11" s="3">
        <f t="shared" si="6"/>
        <v>-1.7180000000000004</v>
      </c>
      <c r="N11" s="3">
        <f t="shared" si="0"/>
        <v>57.922477737603501</v>
      </c>
      <c r="O11" s="3">
        <f t="shared" si="1"/>
        <v>12.619126220017604</v>
      </c>
      <c r="P11" s="3">
        <f t="shared" si="2"/>
        <v>7.2148330183325946</v>
      </c>
      <c r="Q11" s="3">
        <f t="shared" si="3"/>
        <v>4.1249936465370904</v>
      </c>
    </row>
    <row r="12" spans="1:17" x14ac:dyDescent="0.2">
      <c r="A12" s="1" t="s">
        <v>61</v>
      </c>
      <c r="B12" s="2">
        <v>3</v>
      </c>
      <c r="C12" s="3">
        <v>127.905</v>
      </c>
      <c r="D12" s="3">
        <v>2.8580000000000001</v>
      </c>
      <c r="E12" s="2">
        <v>-146</v>
      </c>
      <c r="F12" s="3">
        <f t="shared" si="4"/>
        <v>-2.5481807079117211</v>
      </c>
      <c r="I12" s="1">
        <v>11</v>
      </c>
      <c r="J12" s="2">
        <f t="shared" si="7"/>
        <v>151</v>
      </c>
      <c r="K12" s="2">
        <f t="shared" si="7"/>
        <v>1469.405</v>
      </c>
      <c r="L12" s="3">
        <f t="shared" si="5"/>
        <v>-2.3693893823623089</v>
      </c>
      <c r="M12" s="3">
        <f t="shared" si="6"/>
        <v>1.5981733181193947</v>
      </c>
      <c r="N12" s="3">
        <f t="shared" si="0"/>
        <v>75.250104646694325</v>
      </c>
      <c r="O12" s="3">
        <f t="shared" si="1"/>
        <v>8.6793110292223705</v>
      </c>
      <c r="P12" s="3">
        <f t="shared" si="2"/>
        <v>-3.7861830809920813</v>
      </c>
      <c r="Q12" s="3">
        <f t="shared" si="3"/>
        <v>1.6516497996817454</v>
      </c>
    </row>
    <row r="13" spans="1:17" x14ac:dyDescent="0.2">
      <c r="A13" s="1" t="s">
        <v>61</v>
      </c>
      <c r="B13" s="2">
        <v>22</v>
      </c>
      <c r="C13" s="3">
        <v>137.346</v>
      </c>
      <c r="D13" s="3">
        <v>7.7590000000000003</v>
      </c>
      <c r="E13" s="2">
        <v>-338</v>
      </c>
      <c r="F13" s="3">
        <f t="shared" si="4"/>
        <v>-5.8992128717408336</v>
      </c>
      <c r="I13" s="1">
        <v>12</v>
      </c>
      <c r="J13" s="2">
        <f t="shared" si="7"/>
        <v>173</v>
      </c>
      <c r="K13" s="2">
        <f t="shared" si="7"/>
        <v>1606.751</v>
      </c>
      <c r="L13" s="3">
        <f t="shared" si="5"/>
        <v>7.1940195275837029</v>
      </c>
      <c r="M13" s="3">
        <f t="shared" si="6"/>
        <v>-2.906572558314064</v>
      </c>
      <c r="N13" s="3">
        <f t="shared" si="0"/>
        <v>0.58724355578511866</v>
      </c>
      <c r="O13" s="3">
        <f t="shared" si="1"/>
        <v>43.789213367478709</v>
      </c>
      <c r="P13" s="3">
        <f t="shared" si="2"/>
        <v>-21.305065463641508</v>
      </c>
      <c r="Q13" s="3">
        <f t="shared" si="3"/>
        <v>10.365699210005817</v>
      </c>
    </row>
    <row r="14" spans="1:17" x14ac:dyDescent="0.2">
      <c r="A14" s="1" t="s">
        <v>24</v>
      </c>
      <c r="B14" s="2">
        <v>15</v>
      </c>
      <c r="C14" s="3">
        <v>129.607</v>
      </c>
      <c r="D14" s="3">
        <v>4.6740000000000004</v>
      </c>
      <c r="E14" s="2">
        <v>-84</v>
      </c>
      <c r="F14" s="3">
        <f t="shared" si="4"/>
        <v>-1.4660765716752369</v>
      </c>
      <c r="I14" s="1">
        <v>13</v>
      </c>
      <c r="J14" s="2">
        <f t="shared" si="7"/>
        <v>188</v>
      </c>
      <c r="K14" s="2">
        <f t="shared" si="7"/>
        <v>1736.3579999999999</v>
      </c>
      <c r="L14" s="3">
        <f t="shared" si="5"/>
        <v>0.48856603731301229</v>
      </c>
      <c r="M14" s="3">
        <f t="shared" si="6"/>
        <v>4.6483953389513095</v>
      </c>
      <c r="N14" s="3">
        <f t="shared" si="0"/>
        <v>48.618291737603414</v>
      </c>
      <c r="O14" s="3">
        <f t="shared" si="1"/>
        <v>7.7636583853817366E-3</v>
      </c>
      <c r="P14" s="3">
        <f t="shared" si="2"/>
        <v>-0.38199801833622971</v>
      </c>
      <c r="Q14" s="3">
        <f t="shared" si="3"/>
        <v>18.795583057539634</v>
      </c>
    </row>
    <row r="15" spans="1:17" x14ac:dyDescent="0.2">
      <c r="A15" s="1" t="s">
        <v>24</v>
      </c>
      <c r="B15" s="2">
        <v>40</v>
      </c>
      <c r="C15" s="3">
        <v>130.13</v>
      </c>
      <c r="D15" s="3">
        <v>7.3949999999999996</v>
      </c>
      <c r="E15" s="2">
        <v>-56</v>
      </c>
      <c r="F15" s="3">
        <f t="shared" si="4"/>
        <v>-0.97738438111682457</v>
      </c>
      <c r="I15" s="1">
        <v>14</v>
      </c>
      <c r="J15" s="2">
        <f t="shared" si="7"/>
        <v>228</v>
      </c>
      <c r="K15" s="2">
        <f t="shared" si="7"/>
        <v>1866.4879999999998</v>
      </c>
      <c r="L15" s="3">
        <f t="shared" si="5"/>
        <v>4.1352315211661725</v>
      </c>
      <c r="M15" s="3">
        <f t="shared" si="6"/>
        <v>6.1307328490445334</v>
      </c>
      <c r="N15" s="3">
        <f t="shared" si="0"/>
        <v>41.598395555785274</v>
      </c>
      <c r="O15" s="3">
        <f t="shared" si="1"/>
        <v>12.663305569377997</v>
      </c>
      <c r="P15" s="3">
        <f t="shared" si="2"/>
        <v>20.702687081958523</v>
      </c>
      <c r="Q15" s="3">
        <f t="shared" si="3"/>
        <v>33.845921988167305</v>
      </c>
    </row>
    <row r="16" spans="1:17" x14ac:dyDescent="0.2">
      <c r="A16" s="1" t="s">
        <v>61</v>
      </c>
      <c r="B16" s="2">
        <v>5</v>
      </c>
      <c r="C16" s="3">
        <v>154.749</v>
      </c>
      <c r="D16" s="3">
        <v>1.913</v>
      </c>
      <c r="E16" s="2">
        <v>-338</v>
      </c>
      <c r="F16" s="3">
        <f t="shared" si="4"/>
        <v>-5.8992128717408336</v>
      </c>
      <c r="I16" s="1">
        <v>15</v>
      </c>
      <c r="J16" s="2">
        <f t="shared" si="7"/>
        <v>233</v>
      </c>
      <c r="K16" s="2">
        <f t="shared" si="7"/>
        <v>2021.2369999999999</v>
      </c>
      <c r="L16" s="3">
        <f t="shared" si="5"/>
        <v>1.7737027137862642</v>
      </c>
      <c r="M16" s="3">
        <f t="shared" si="6"/>
        <v>-0.71662241320464037</v>
      </c>
      <c r="N16" s="3">
        <f t="shared" si="0"/>
        <v>330.12412319214832</v>
      </c>
      <c r="O16" s="3">
        <f t="shared" si="1"/>
        <v>1.4328689748701648</v>
      </c>
      <c r="P16" s="3">
        <f t="shared" si="2"/>
        <v>-1.2324934431440357</v>
      </c>
      <c r="Q16" s="3">
        <f t="shared" si="3"/>
        <v>1.0601388640790996</v>
      </c>
    </row>
    <row r="17" spans="1:17" x14ac:dyDescent="0.2">
      <c r="A17" s="1" t="s">
        <v>61</v>
      </c>
      <c r="B17" s="2">
        <v>19</v>
      </c>
      <c r="C17" s="3">
        <v>150.072</v>
      </c>
      <c r="D17" s="3">
        <v>6.8019999999999996</v>
      </c>
      <c r="E17" s="2">
        <v>-197</v>
      </c>
      <c r="F17" s="3">
        <f t="shared" si="4"/>
        <v>-3.4382986264288289</v>
      </c>
      <c r="I17" s="1">
        <v>16</v>
      </c>
      <c r="J17" s="2">
        <f t="shared" si="7"/>
        <v>252</v>
      </c>
      <c r="K17" s="2">
        <f t="shared" si="7"/>
        <v>2171.3089999999997</v>
      </c>
      <c r="L17" s="3">
        <f t="shared" si="5"/>
        <v>-6.504784950060567</v>
      </c>
      <c r="M17" s="3">
        <f t="shared" si="6"/>
        <v>-1.9887123355240528</v>
      </c>
      <c r="N17" s="3">
        <f t="shared" si="0"/>
        <v>182.04264991942136</v>
      </c>
      <c r="O17" s="3">
        <f t="shared" si="1"/>
        <v>50.147112724436525</v>
      </c>
      <c r="P17" s="3">
        <f t="shared" si="2"/>
        <v>16.299546761502391</v>
      </c>
      <c r="Q17" s="3">
        <f t="shared" si="3"/>
        <v>5.2979166734945524</v>
      </c>
    </row>
    <row r="18" spans="1:17" x14ac:dyDescent="0.2">
      <c r="A18" s="1" t="s">
        <v>61</v>
      </c>
      <c r="B18" s="2">
        <v>14</v>
      </c>
      <c r="C18" s="3">
        <v>142.803</v>
      </c>
      <c r="D18" s="3">
        <v>5.6740000000000004</v>
      </c>
      <c r="E18" s="2">
        <v>-254</v>
      </c>
      <c r="F18" s="3">
        <f t="shared" si="4"/>
        <v>-4.4331363000655974</v>
      </c>
      <c r="I18" s="1">
        <v>17</v>
      </c>
      <c r="J18" s="2">
        <f t="shared" si="7"/>
        <v>266</v>
      </c>
      <c r="K18" s="2">
        <f t="shared" si="7"/>
        <v>2314.1119999999996</v>
      </c>
      <c r="L18" s="3">
        <f t="shared" si="5"/>
        <v>-1.5639663569056519</v>
      </c>
      <c r="M18" s="3">
        <f t="shared" si="6"/>
        <v>-5.4541988627540228</v>
      </c>
      <c r="N18" s="3">
        <f t="shared" si="0"/>
        <v>38.729689192148641</v>
      </c>
      <c r="O18" s="3">
        <f t="shared" si="1"/>
        <v>4.5823568152003924</v>
      </c>
      <c r="P18" s="3">
        <f t="shared" si="2"/>
        <v>12.345536955202517</v>
      </c>
      <c r="Q18" s="3">
        <f t="shared" si="3"/>
        <v>33.260675425077267</v>
      </c>
    </row>
    <row r="19" spans="1:17" x14ac:dyDescent="0.2">
      <c r="A19" s="1" t="s">
        <v>61</v>
      </c>
      <c r="B19" s="2">
        <v>26</v>
      </c>
      <c r="C19" s="3">
        <v>137.024</v>
      </c>
      <c r="D19" s="3">
        <v>10.673999999999999</v>
      </c>
      <c r="E19" s="2">
        <v>-252</v>
      </c>
      <c r="F19" s="3">
        <f t="shared" si="4"/>
        <v>-4.3982297150257104</v>
      </c>
      <c r="I19" s="1">
        <v>18</v>
      </c>
      <c r="J19" s="2">
        <f t="shared" si="7"/>
        <v>292</v>
      </c>
      <c r="K19" s="2">
        <f t="shared" si="7"/>
        <v>2451.1359999999995</v>
      </c>
      <c r="L19" s="3">
        <f t="shared" si="5"/>
        <v>-3.2984473979581903</v>
      </c>
      <c r="M19" s="3">
        <f t="shared" si="6"/>
        <v>-10.151577254934468</v>
      </c>
      <c r="N19" s="3">
        <f t="shared" si="0"/>
        <v>0.19741864669420936</v>
      </c>
      <c r="O19" s="3">
        <f t="shared" si="1"/>
        <v>15.016594229454016</v>
      </c>
      <c r="P19" s="3">
        <f t="shared" si="2"/>
        <v>40.551576705851602</v>
      </c>
      <c r="Q19" s="3">
        <f t="shared" si="3"/>
        <v>109.50754533309087</v>
      </c>
    </row>
    <row r="20" spans="1:17" x14ac:dyDescent="0.2">
      <c r="A20" s="1" t="s">
        <v>5</v>
      </c>
      <c r="B20" s="2">
        <v>36</v>
      </c>
      <c r="C20" s="3">
        <v>137.78399999999999</v>
      </c>
      <c r="D20" s="3">
        <v>8.0350000000000001</v>
      </c>
      <c r="E20" s="2">
        <v>-139</v>
      </c>
      <c r="F20" s="3">
        <f t="shared" si="4"/>
        <v>-2.4260076602721181</v>
      </c>
      <c r="I20" s="1">
        <v>19</v>
      </c>
      <c r="J20" s="2">
        <f t="shared" ref="J20:J83" si="8">J19+B20</f>
        <v>328</v>
      </c>
      <c r="K20" s="2">
        <f t="shared" ref="K20:K83" si="9">K19+C20</f>
        <v>2588.9199999999996</v>
      </c>
      <c r="L20" s="3">
        <f t="shared" ref="L20:L83" si="10">D20*COS(F20)</f>
        <v>-6.0640914770899732</v>
      </c>
      <c r="M20" s="3">
        <f t="shared" ref="M20:M83" si="11">-D20*SIN(F20)</f>
        <v>5.2714342979387263</v>
      </c>
      <c r="N20" s="3">
        <f t="shared" si="0"/>
        <v>1.4503822830578144</v>
      </c>
      <c r="O20" s="3">
        <f t="shared" si="1"/>
        <v>44.099814757212663</v>
      </c>
      <c r="P20" s="3">
        <f t="shared" si="2"/>
        <v>-32.927764091251909</v>
      </c>
      <c r="Q20" s="3">
        <f t="shared" si="3"/>
        <v>24.585990984731023</v>
      </c>
    </row>
    <row r="21" spans="1:17" x14ac:dyDescent="0.2">
      <c r="A21" s="1" t="s">
        <v>5</v>
      </c>
      <c r="B21" s="2">
        <v>27</v>
      </c>
      <c r="C21" s="3">
        <v>129.15199999999999</v>
      </c>
      <c r="D21" s="3">
        <v>5.4640000000000004</v>
      </c>
      <c r="E21" s="2">
        <v>-110</v>
      </c>
      <c r="F21" s="3">
        <f t="shared" si="4"/>
        <v>-1.9198621771937625</v>
      </c>
      <c r="I21" s="1">
        <v>20</v>
      </c>
      <c r="J21" s="2">
        <f t="shared" si="8"/>
        <v>355</v>
      </c>
      <c r="K21" s="2">
        <f t="shared" si="9"/>
        <v>2718.0719999999997</v>
      </c>
      <c r="L21" s="3">
        <f t="shared" si="10"/>
        <v>-1.868798063131454</v>
      </c>
      <c r="M21" s="3">
        <f t="shared" si="11"/>
        <v>5.1344804799742043</v>
      </c>
      <c r="N21" s="3">
        <f t="shared" si="0"/>
        <v>55.170457192149065</v>
      </c>
      <c r="O21" s="3">
        <f t="shared" si="1"/>
        <v>5.980351521663259</v>
      </c>
      <c r="P21" s="3">
        <f t="shared" si="2"/>
        <v>-11.79079381803998</v>
      </c>
      <c r="Q21" s="3">
        <f t="shared" si="3"/>
        <v>23.246596517935902</v>
      </c>
    </row>
    <row r="22" spans="1:17" x14ac:dyDescent="0.2">
      <c r="A22" s="1" t="s">
        <v>5</v>
      </c>
      <c r="B22" s="2">
        <v>29</v>
      </c>
      <c r="C22" s="3">
        <v>149.15299999999999</v>
      </c>
      <c r="D22" s="3">
        <v>11.222</v>
      </c>
      <c r="E22" s="2">
        <v>-49</v>
      </c>
      <c r="F22" s="3">
        <f t="shared" si="4"/>
        <v>-0.85521133347722145</v>
      </c>
      <c r="I22" s="1">
        <v>21</v>
      </c>
      <c r="J22" s="2">
        <f t="shared" si="8"/>
        <v>384</v>
      </c>
      <c r="K22" s="2">
        <f t="shared" si="9"/>
        <v>2867.2249999999995</v>
      </c>
      <c r="L22" s="3">
        <f t="shared" si="10"/>
        <v>7.3622944233314724</v>
      </c>
      <c r="M22" s="3">
        <f t="shared" si="11"/>
        <v>8.4693509092599477</v>
      </c>
      <c r="N22" s="3">
        <f t="shared" si="0"/>
        <v>158.08833010123928</v>
      </c>
      <c r="O22" s="3">
        <f t="shared" si="1"/>
        <v>46.044594833171963</v>
      </c>
      <c r="P22" s="3">
        <f t="shared" si="2"/>
        <v>55.34581690578252</v>
      </c>
      <c r="Q22" s="3">
        <f t="shared" si="3"/>
        <v>66.525929049148829</v>
      </c>
    </row>
    <row r="23" spans="1:17" x14ac:dyDescent="0.2">
      <c r="A23" s="1" t="s">
        <v>5</v>
      </c>
      <c r="B23" s="2">
        <v>12</v>
      </c>
      <c r="C23" s="3">
        <v>142.404</v>
      </c>
      <c r="D23" s="3">
        <v>4.3849999999999998</v>
      </c>
      <c r="E23" s="2">
        <v>-48</v>
      </c>
      <c r="F23" s="3">
        <f t="shared" si="4"/>
        <v>-0.83775804095727813</v>
      </c>
      <c r="I23" s="1">
        <v>22</v>
      </c>
      <c r="J23" s="2">
        <f t="shared" si="8"/>
        <v>396</v>
      </c>
      <c r="K23" s="2">
        <f t="shared" si="9"/>
        <v>3009.6289999999995</v>
      </c>
      <c r="L23" s="3">
        <f t="shared" si="10"/>
        <v>2.9341377088835934</v>
      </c>
      <c r="M23" s="3">
        <f t="shared" si="11"/>
        <v>3.258690059718373</v>
      </c>
      <c r="N23" s="3">
        <f t="shared" si="0"/>
        <v>33.922682283057725</v>
      </c>
      <c r="O23" s="3">
        <f t="shared" si="1"/>
        <v>5.5576178731767696</v>
      </c>
      <c r="P23" s="3">
        <f t="shared" si="2"/>
        <v>6.944327679605828</v>
      </c>
      <c r="Q23" s="3">
        <f t="shared" si="3"/>
        <v>8.677042578707324</v>
      </c>
    </row>
    <row r="24" spans="1:17" x14ac:dyDescent="0.2">
      <c r="A24" s="1" t="s">
        <v>24</v>
      </c>
      <c r="B24" s="2">
        <v>12</v>
      </c>
      <c r="C24" s="3">
        <v>145.786</v>
      </c>
      <c r="D24" s="3">
        <v>4.3810000000000002</v>
      </c>
      <c r="E24" s="2">
        <v>-137</v>
      </c>
      <c r="F24" s="3">
        <f t="shared" si="4"/>
        <v>-2.3911010752322315</v>
      </c>
      <c r="I24" s="1">
        <v>23</v>
      </c>
      <c r="J24" s="2">
        <f t="shared" si="8"/>
        <v>408</v>
      </c>
      <c r="K24" s="2">
        <f t="shared" si="9"/>
        <v>3155.4149999999995</v>
      </c>
      <c r="L24" s="3">
        <f t="shared" si="10"/>
        <v>-3.204060566793586</v>
      </c>
      <c r="M24" s="3">
        <f t="shared" si="11"/>
        <v>2.9878348154338066</v>
      </c>
      <c r="N24" s="3">
        <f t="shared" si="0"/>
        <v>84.756294464875921</v>
      </c>
      <c r="O24" s="3">
        <f t="shared" si="1"/>
        <v>14.293981553820304</v>
      </c>
      <c r="P24" s="3">
        <f t="shared" si="2"/>
        <v>-10.112819856161865</v>
      </c>
      <c r="Q24" s="3">
        <f t="shared" si="3"/>
        <v>7.1546982943914985</v>
      </c>
    </row>
    <row r="25" spans="1:17" x14ac:dyDescent="0.2">
      <c r="A25" s="1" t="s">
        <v>24</v>
      </c>
      <c r="B25" s="2">
        <v>13</v>
      </c>
      <c r="C25" s="3">
        <v>137.66900000000001</v>
      </c>
      <c r="D25" s="3">
        <v>7.8579999999999997</v>
      </c>
      <c r="E25" s="2">
        <v>-280</v>
      </c>
      <c r="F25" s="3">
        <f t="shared" si="4"/>
        <v>-4.8869219055841224</v>
      </c>
      <c r="I25" s="1">
        <v>24</v>
      </c>
      <c r="J25" s="2">
        <f t="shared" si="8"/>
        <v>421</v>
      </c>
      <c r="K25" s="2">
        <f t="shared" si="9"/>
        <v>3293.0839999999994</v>
      </c>
      <c r="L25" s="3">
        <f t="shared" si="10"/>
        <v>1.3645273801067357</v>
      </c>
      <c r="M25" s="3">
        <f t="shared" si="11"/>
        <v>-7.7386193231699307</v>
      </c>
      <c r="N25" s="3">
        <f t="shared" si="0"/>
        <v>1.1866141012396783</v>
      </c>
      <c r="O25" s="3">
        <f t="shared" si="1"/>
        <v>0.6207071784961059</v>
      </c>
      <c r="P25" s="3">
        <f t="shared" si="2"/>
        <v>-6.3434723469404499</v>
      </c>
      <c r="Q25" s="3">
        <f t="shared" si="3"/>
        <v>64.828703147744619</v>
      </c>
    </row>
    <row r="26" spans="1:17" x14ac:dyDescent="0.2">
      <c r="A26" s="1" t="s">
        <v>5</v>
      </c>
      <c r="B26" s="2">
        <v>11</v>
      </c>
      <c r="C26" s="3">
        <v>160.124</v>
      </c>
      <c r="D26" s="3">
        <v>6.6180000000000003</v>
      </c>
      <c r="E26" s="2">
        <v>-319</v>
      </c>
      <c r="F26" s="3">
        <f t="shared" si="4"/>
        <v>-5.5676003138619112</v>
      </c>
      <c r="I26" s="1">
        <v>25</v>
      </c>
      <c r="J26" s="2">
        <f t="shared" si="8"/>
        <v>432</v>
      </c>
      <c r="K26" s="2">
        <f t="shared" si="9"/>
        <v>3453.2079999999992</v>
      </c>
      <c r="L26" s="3">
        <f t="shared" si="10"/>
        <v>4.994668001914305</v>
      </c>
      <c r="M26" s="3">
        <f t="shared" si="11"/>
        <v>-4.3417986538591782</v>
      </c>
      <c r="N26" s="3">
        <f t="shared" si="0"/>
        <v>554.33491864669361</v>
      </c>
      <c r="O26" s="3">
        <f t="shared" si="1"/>
        <v>19.51863864455882</v>
      </c>
      <c r="P26" s="3">
        <f t="shared" si="2"/>
        <v>-20.56489099509615</v>
      </c>
      <c r="Q26" s="3">
        <f t="shared" si="3"/>
        <v>21.667225329676466</v>
      </c>
    </row>
    <row r="27" spans="1:17" x14ac:dyDescent="0.2">
      <c r="A27" s="1" t="s">
        <v>5</v>
      </c>
      <c r="B27" s="2">
        <v>19</v>
      </c>
      <c r="C27" s="3">
        <v>161.30099999999999</v>
      </c>
      <c r="D27" s="3">
        <v>8.3420000000000005</v>
      </c>
      <c r="E27" s="2">
        <v>-307</v>
      </c>
      <c r="F27" s="3">
        <f t="shared" si="4"/>
        <v>-5.3581608036225914</v>
      </c>
      <c r="I27" s="1">
        <v>26</v>
      </c>
      <c r="J27" s="2">
        <f t="shared" si="8"/>
        <v>451</v>
      </c>
      <c r="K27" s="2">
        <f t="shared" si="9"/>
        <v>3614.5089999999991</v>
      </c>
      <c r="L27" s="3">
        <f t="shared" si="10"/>
        <v>5.0203409231343841</v>
      </c>
      <c r="M27" s="3">
        <f t="shared" si="11"/>
        <v>-6.6622174248145187</v>
      </c>
      <c r="N27" s="3">
        <f t="shared" si="0"/>
        <v>611.1435726466932</v>
      </c>
      <c r="O27" s="3">
        <f t="shared" si="1"/>
        <v>19.746143179343882</v>
      </c>
      <c r="P27" s="3">
        <f t="shared" si="2"/>
        <v>-30.995553123765319</v>
      </c>
      <c r="Q27" s="3">
        <f t="shared" si="3"/>
        <v>48.653770243758593</v>
      </c>
    </row>
    <row r="28" spans="1:17" x14ac:dyDescent="0.2">
      <c r="A28" s="1" t="s">
        <v>61</v>
      </c>
      <c r="B28" s="2">
        <v>52</v>
      </c>
      <c r="C28" s="3">
        <v>130.63200000000001</v>
      </c>
      <c r="D28" s="3">
        <v>8.57</v>
      </c>
      <c r="E28" s="2">
        <v>-13</v>
      </c>
      <c r="F28" s="3">
        <f t="shared" si="4"/>
        <v>-0.22689280275926285</v>
      </c>
      <c r="I28" s="1">
        <v>27</v>
      </c>
      <c r="J28" s="2">
        <f t="shared" si="8"/>
        <v>503</v>
      </c>
      <c r="K28" s="2">
        <f t="shared" si="9"/>
        <v>3745.1409999999992</v>
      </c>
      <c r="L28" s="3">
        <f t="shared" si="10"/>
        <v>8.3503514552094664</v>
      </c>
      <c r="M28" s="3">
        <f t="shared" si="11"/>
        <v>1.9278305357269232</v>
      </c>
      <c r="N28" s="3">
        <f t="shared" si="0"/>
        <v>35.374919010330601</v>
      </c>
      <c r="O28" s="3">
        <f t="shared" si="1"/>
        <v>60.43000424496077</v>
      </c>
      <c r="P28" s="3">
        <f t="shared" si="2"/>
        <v>12.553103338876507</v>
      </c>
      <c r="Q28" s="3">
        <f t="shared" si="3"/>
        <v>2.6076517022527446</v>
      </c>
    </row>
    <row r="29" spans="1:17" x14ac:dyDescent="0.2">
      <c r="A29" s="1" t="s">
        <v>61</v>
      </c>
      <c r="B29" s="2">
        <v>6</v>
      </c>
      <c r="C29" s="3">
        <v>137.91200000000001</v>
      </c>
      <c r="D29" s="3">
        <v>3.5640000000000001</v>
      </c>
      <c r="E29" s="2">
        <v>-117</v>
      </c>
      <c r="F29" s="3">
        <f t="shared" si="4"/>
        <v>-2.0420352248333655</v>
      </c>
      <c r="I29" s="1">
        <v>28</v>
      </c>
      <c r="J29" s="2">
        <f t="shared" si="8"/>
        <v>509</v>
      </c>
      <c r="K29" s="2">
        <f t="shared" si="9"/>
        <v>3883.052999999999</v>
      </c>
      <c r="L29" s="3">
        <f t="shared" si="10"/>
        <v>-1.6180221410717444</v>
      </c>
      <c r="M29" s="3">
        <f t="shared" si="11"/>
        <v>3.1755472522073434</v>
      </c>
      <c r="N29" s="3">
        <f t="shared" si="0"/>
        <v>1.7750717376033032</v>
      </c>
      <c r="O29" s="3">
        <f t="shared" si="1"/>
        <v>4.8167072251149818</v>
      </c>
      <c r="P29" s="3">
        <f t="shared" si="2"/>
        <v>-6.2824142514859007</v>
      </c>
      <c r="Q29" s="3">
        <f t="shared" si="3"/>
        <v>8.1941307583482992</v>
      </c>
    </row>
    <row r="30" spans="1:17" x14ac:dyDescent="0.2">
      <c r="A30" s="1" t="s">
        <v>61</v>
      </c>
      <c r="B30" s="2">
        <v>39</v>
      </c>
      <c r="C30" s="3">
        <v>136.84800000000001</v>
      </c>
      <c r="D30" s="3">
        <v>13.021000000000001</v>
      </c>
      <c r="E30" s="2">
        <v>-179</v>
      </c>
      <c r="F30" s="3">
        <f t="shared" si="4"/>
        <v>-3.12413936106985</v>
      </c>
      <c r="I30" s="1">
        <v>29</v>
      </c>
      <c r="J30" s="2">
        <f t="shared" si="8"/>
        <v>548</v>
      </c>
      <c r="K30" s="2">
        <f t="shared" si="9"/>
        <v>4019.9009999999989</v>
      </c>
      <c r="L30" s="3">
        <f t="shared" si="10"/>
        <v>-13.019016838631371</v>
      </c>
      <c r="M30" s="3">
        <f t="shared" si="11"/>
        <v>0.22724778421986766</v>
      </c>
      <c r="N30" s="3">
        <f t="shared" si="0"/>
        <v>7.1994646694218137E-2</v>
      </c>
      <c r="O30" s="3">
        <f t="shared" si="1"/>
        <v>184.84290895147399</v>
      </c>
      <c r="P30" s="3">
        <f t="shared" si="2"/>
        <v>1.1659701976834944</v>
      </c>
      <c r="Q30" s="3">
        <f t="shared" si="3"/>
        <v>7.3548209644492615E-3</v>
      </c>
    </row>
    <row r="31" spans="1:17" x14ac:dyDescent="0.2">
      <c r="A31" s="1" t="s">
        <v>61</v>
      </c>
      <c r="B31" s="2">
        <v>17</v>
      </c>
      <c r="C31" s="3">
        <v>139.964</v>
      </c>
      <c r="D31" s="3">
        <v>5.391</v>
      </c>
      <c r="E31" s="2">
        <v>-233</v>
      </c>
      <c r="F31" s="3">
        <f t="shared" si="4"/>
        <v>-4.066617157146788</v>
      </c>
      <c r="I31" s="1">
        <v>30</v>
      </c>
      <c r="J31" s="2">
        <f t="shared" si="8"/>
        <v>565</v>
      </c>
      <c r="K31" s="2">
        <f t="shared" si="9"/>
        <v>4159.8649999999989</v>
      </c>
      <c r="L31" s="3">
        <f t="shared" si="10"/>
        <v>-3.2443847898126923</v>
      </c>
      <c r="M31" s="3">
        <f t="shared" si="11"/>
        <v>-4.3054440346649558</v>
      </c>
      <c r="N31" s="3">
        <f t="shared" si="0"/>
        <v>11.453609555785066</v>
      </c>
      <c r="O31" s="3">
        <f t="shared" si="1"/>
        <v>14.600518259802897</v>
      </c>
      <c r="P31" s="3">
        <f t="shared" si="2"/>
        <v>17.647393796189768</v>
      </c>
      <c r="Q31" s="3">
        <f t="shared" si="3"/>
        <v>21.330099538672219</v>
      </c>
    </row>
    <row r="32" spans="1:17" x14ac:dyDescent="0.2">
      <c r="A32" s="1" t="s">
        <v>61</v>
      </c>
      <c r="B32" s="2">
        <v>7</v>
      </c>
      <c r="C32" s="3">
        <v>131.50399999999999</v>
      </c>
      <c r="D32" s="3">
        <v>4.6470000000000002</v>
      </c>
      <c r="E32" s="2">
        <v>-331</v>
      </c>
      <c r="F32" s="3">
        <f t="shared" si="4"/>
        <v>-5.7770398241012311</v>
      </c>
      <c r="I32" s="1">
        <v>31</v>
      </c>
      <c r="J32" s="2">
        <f t="shared" si="8"/>
        <v>572</v>
      </c>
      <c r="K32" s="2">
        <f t="shared" si="9"/>
        <v>4291.3689999999988</v>
      </c>
      <c r="L32" s="3">
        <f t="shared" si="10"/>
        <v>4.0643577790767731</v>
      </c>
      <c r="M32" s="3">
        <f t="shared" si="11"/>
        <v>-2.2529103052847277</v>
      </c>
      <c r="N32" s="3">
        <f t="shared" si="0"/>
        <v>25.762545919421655</v>
      </c>
      <c r="O32" s="3">
        <f t="shared" si="1"/>
        <v>12.163912599828427</v>
      </c>
      <c r="P32" s="3">
        <f t="shared" si="2"/>
        <v>-8.9491023848676683</v>
      </c>
      <c r="Q32" s="3">
        <f t="shared" si="3"/>
        <v>6.5839369394987113</v>
      </c>
    </row>
    <row r="33" spans="1:17" x14ac:dyDescent="0.2">
      <c r="A33" s="1" t="s">
        <v>61</v>
      </c>
      <c r="B33" s="2">
        <v>46</v>
      </c>
      <c r="C33" s="3">
        <v>125.877</v>
      </c>
      <c r="D33" s="3">
        <v>7.6710000000000003</v>
      </c>
      <c r="E33" s="2">
        <v>-300</v>
      </c>
      <c r="F33" s="3">
        <f t="shared" si="4"/>
        <v>-5.2359877559829888</v>
      </c>
      <c r="I33" s="1">
        <v>32</v>
      </c>
      <c r="J33" s="2">
        <f t="shared" si="8"/>
        <v>618</v>
      </c>
      <c r="K33" s="2">
        <f t="shared" si="9"/>
        <v>4417.2459999999992</v>
      </c>
      <c r="L33" s="3">
        <f t="shared" si="10"/>
        <v>3.835500000000001</v>
      </c>
      <c r="M33" s="3">
        <f t="shared" si="11"/>
        <v>-6.6432808724304291</v>
      </c>
      <c r="N33" s="3">
        <f t="shared" si="0"/>
        <v>114.54739810123992</v>
      </c>
      <c r="O33" s="3">
        <f t="shared" si="1"/>
        <v>10.619923031372659</v>
      </c>
      <c r="P33" s="3">
        <f t="shared" si="2"/>
        <v>-22.669309688550403</v>
      </c>
      <c r="Q33" s="3">
        <f t="shared" si="3"/>
        <v>48.389955392076146</v>
      </c>
    </row>
    <row r="34" spans="1:17" x14ac:dyDescent="0.2">
      <c r="A34" s="1" t="s">
        <v>61</v>
      </c>
      <c r="B34" s="2">
        <v>3</v>
      </c>
      <c r="C34" s="3">
        <v>151.06399999999999</v>
      </c>
      <c r="D34" s="3">
        <v>2.5619999999999998</v>
      </c>
      <c r="E34" s="2">
        <v>-95</v>
      </c>
      <c r="F34" s="3">
        <f t="shared" si="4"/>
        <v>-1.6580627893946132</v>
      </c>
      <c r="I34" s="1">
        <v>33</v>
      </c>
      <c r="J34" s="2">
        <f t="shared" si="8"/>
        <v>621</v>
      </c>
      <c r="K34" s="2">
        <f t="shared" si="9"/>
        <v>4568.3099999999995</v>
      </c>
      <c r="L34" s="3">
        <f t="shared" si="10"/>
        <v>-0.22329301291950038</v>
      </c>
      <c r="M34" s="3">
        <f t="shared" si="11"/>
        <v>2.552250816511052</v>
      </c>
      <c r="N34" s="3">
        <f t="shared" ref="N34:N65" si="12">(C34-K$104)^2</f>
        <v>209.79547319214836</v>
      </c>
      <c r="O34" s="3">
        <f t="shared" ref="O34:O65" si="13">(L34-L$105)^2</f>
        <v>0.63995308055322198</v>
      </c>
      <c r="P34" s="3">
        <f t="shared" ref="P34:P65" si="14">(L34-L$105)*(M34-M$106)</f>
        <v>-1.7913285573498821</v>
      </c>
      <c r="Q34" s="3">
        <f t="shared" ref="Q34:Q65" si="15">(M34-M$106)^2</f>
        <v>5.0142082253955857</v>
      </c>
    </row>
    <row r="35" spans="1:17" x14ac:dyDescent="0.2">
      <c r="A35" s="1" t="s">
        <v>61</v>
      </c>
      <c r="B35" s="2">
        <v>12</v>
      </c>
      <c r="C35" s="3">
        <v>125.298</v>
      </c>
      <c r="D35" s="3">
        <v>5.0149999999999997</v>
      </c>
      <c r="E35" s="2">
        <v>-66</v>
      </c>
      <c r="F35" s="3">
        <f t="shared" si="4"/>
        <v>-1.1519173063162575</v>
      </c>
      <c r="I35" s="1">
        <v>34</v>
      </c>
      <c r="J35" s="2">
        <f t="shared" si="8"/>
        <v>633</v>
      </c>
      <c r="K35" s="2">
        <f t="shared" si="9"/>
        <v>4693.6079999999993</v>
      </c>
      <c r="L35" s="3">
        <f t="shared" si="10"/>
        <v>2.0397842650251379</v>
      </c>
      <c r="M35" s="3">
        <f t="shared" si="11"/>
        <v>4.5814304700776427</v>
      </c>
      <c r="N35" s="3">
        <f t="shared" si="12"/>
        <v>127.27634464669434</v>
      </c>
      <c r="O35" s="3">
        <f t="shared" si="13"/>
        <v>2.1406809321412004</v>
      </c>
      <c r="P35" s="3">
        <f t="shared" si="14"/>
        <v>6.2451570467469475</v>
      </c>
      <c r="Q35" s="3">
        <f t="shared" si="15"/>
        <v>18.219430066825328</v>
      </c>
    </row>
    <row r="36" spans="1:17" x14ac:dyDescent="0.2">
      <c r="A36" s="1" t="s">
        <v>24</v>
      </c>
      <c r="B36" s="2">
        <v>27</v>
      </c>
      <c r="C36" s="3">
        <v>131.827</v>
      </c>
      <c r="D36" s="3">
        <v>11.238</v>
      </c>
      <c r="E36" s="2">
        <v>-320</v>
      </c>
      <c r="F36" s="3">
        <f t="shared" si="4"/>
        <v>-5.5850536063818543</v>
      </c>
      <c r="I36" s="1">
        <v>35</v>
      </c>
      <c r="J36" s="2">
        <f t="shared" si="8"/>
        <v>660</v>
      </c>
      <c r="K36" s="2">
        <f t="shared" si="9"/>
        <v>4825.4349999999995</v>
      </c>
      <c r="L36" s="3">
        <f t="shared" si="10"/>
        <v>8.6088074517710726</v>
      </c>
      <c r="M36" s="3">
        <f t="shared" si="11"/>
        <v>-7.2236471576573313</v>
      </c>
      <c r="N36" s="3">
        <f t="shared" si="12"/>
        <v>22.587984464876119</v>
      </c>
      <c r="O36" s="3">
        <f t="shared" si="13"/>
        <v>64.5151089615145</v>
      </c>
      <c r="P36" s="3">
        <f t="shared" si="14"/>
        <v>-60.535392705431207</v>
      </c>
      <c r="Q36" s="3">
        <f t="shared" si="15"/>
        <v>56.8011715238177</v>
      </c>
    </row>
    <row r="37" spans="1:17" x14ac:dyDescent="0.2">
      <c r="A37" s="1" t="s">
        <v>24</v>
      </c>
      <c r="B37" s="2">
        <v>25</v>
      </c>
      <c r="C37" s="3">
        <v>135.73400000000001</v>
      </c>
      <c r="D37" s="3">
        <v>6.9470000000000001</v>
      </c>
      <c r="E37" s="2">
        <v>-349</v>
      </c>
      <c r="F37" s="3">
        <f t="shared" si="4"/>
        <v>-6.0911990894602104</v>
      </c>
      <c r="I37" s="1">
        <v>36</v>
      </c>
      <c r="J37" s="2">
        <f t="shared" si="8"/>
        <v>685</v>
      </c>
      <c r="K37" s="2">
        <f t="shared" si="9"/>
        <v>4961.1689999999999</v>
      </c>
      <c r="L37" s="3">
        <f t="shared" si="10"/>
        <v>6.8193640434109213</v>
      </c>
      <c r="M37" s="3">
        <f t="shared" si="11"/>
        <v>-1.3255500908808557</v>
      </c>
      <c r="N37" s="3">
        <f t="shared" si="12"/>
        <v>0.71517773760330283</v>
      </c>
      <c r="O37" s="3">
        <f t="shared" si="13"/>
        <v>38.971133258041959</v>
      </c>
      <c r="P37" s="3">
        <f t="shared" si="14"/>
        <v>-10.229004510528547</v>
      </c>
      <c r="Q37" s="3">
        <f t="shared" si="15"/>
        <v>2.6848727385884201</v>
      </c>
    </row>
    <row r="38" spans="1:17" x14ac:dyDescent="0.2">
      <c r="A38" s="1" t="s">
        <v>61</v>
      </c>
      <c r="B38" s="2">
        <v>5</v>
      </c>
      <c r="C38" s="3">
        <v>140.273</v>
      </c>
      <c r="D38" s="3">
        <v>2.7240000000000002</v>
      </c>
      <c r="E38" s="2">
        <v>-317</v>
      </c>
      <c r="F38" s="3">
        <f t="shared" si="4"/>
        <v>-5.532693728822025</v>
      </c>
      <c r="I38" s="1">
        <v>37</v>
      </c>
      <c r="J38" s="2">
        <f t="shared" si="8"/>
        <v>690</v>
      </c>
      <c r="K38" s="2">
        <f t="shared" si="9"/>
        <v>5101.442</v>
      </c>
      <c r="L38" s="3">
        <f t="shared" si="10"/>
        <v>1.9922074832106211</v>
      </c>
      <c r="M38" s="3">
        <f t="shared" si="11"/>
        <v>-1.8577635328102453</v>
      </c>
      <c r="N38" s="3">
        <f t="shared" si="12"/>
        <v>13.640599192148679</v>
      </c>
      <c r="O38" s="3">
        <f t="shared" si="13"/>
        <v>2.0037246750514317</v>
      </c>
      <c r="P38" s="3">
        <f t="shared" si="14"/>
        <v>-3.0727918924062223</v>
      </c>
      <c r="Q38" s="3">
        <f t="shared" si="15"/>
        <v>4.7122492084872158</v>
      </c>
    </row>
    <row r="39" spans="1:17" x14ac:dyDescent="0.2">
      <c r="A39" s="1" t="s">
        <v>61</v>
      </c>
      <c r="B39" s="2">
        <v>46</v>
      </c>
      <c r="C39" s="3">
        <v>129.43700000000001</v>
      </c>
      <c r="D39" s="3">
        <v>8.577</v>
      </c>
      <c r="E39" s="2">
        <v>-327</v>
      </c>
      <c r="F39" s="3">
        <f t="shared" si="4"/>
        <v>-5.7072266540214578</v>
      </c>
      <c r="I39" s="1">
        <v>38</v>
      </c>
      <c r="J39" s="2">
        <f t="shared" si="8"/>
        <v>736</v>
      </c>
      <c r="K39" s="2">
        <f t="shared" si="9"/>
        <v>5230.8789999999999</v>
      </c>
      <c r="L39" s="3">
        <f t="shared" si="10"/>
        <v>7.1932774612679022</v>
      </c>
      <c r="M39" s="3">
        <f t="shared" si="11"/>
        <v>-4.6713690033238864</v>
      </c>
      <c r="N39" s="3">
        <f t="shared" si="12"/>
        <v>51.017903555785054</v>
      </c>
      <c r="O39" s="3">
        <f t="shared" si="13"/>
        <v>43.779392905143787</v>
      </c>
      <c r="P39" s="3">
        <f t="shared" si="14"/>
        <v>-32.979628125327665</v>
      </c>
      <c r="Q39" s="3">
        <f t="shared" si="15"/>
        <v>24.844014480545962</v>
      </c>
    </row>
    <row r="40" spans="1:17" x14ac:dyDescent="0.2">
      <c r="A40" s="1" t="s">
        <v>24</v>
      </c>
      <c r="B40" s="2">
        <v>23</v>
      </c>
      <c r="C40" s="3">
        <v>134.596</v>
      </c>
      <c r="D40" s="3">
        <v>5.3550000000000004</v>
      </c>
      <c r="E40" s="2">
        <v>-49</v>
      </c>
      <c r="F40" s="3">
        <f t="shared" si="4"/>
        <v>-0.85521133347722145</v>
      </c>
      <c r="I40" s="1">
        <v>39</v>
      </c>
      <c r="J40" s="2">
        <f t="shared" si="8"/>
        <v>759</v>
      </c>
      <c r="K40" s="2">
        <f t="shared" si="9"/>
        <v>5365.4750000000004</v>
      </c>
      <c r="L40" s="3">
        <f t="shared" si="10"/>
        <v>3.513196100244167</v>
      </c>
      <c r="M40" s="3">
        <f t="shared" si="11"/>
        <v>4.0414698020929443</v>
      </c>
      <c r="N40" s="3">
        <f t="shared" si="12"/>
        <v>3.9349935557851379</v>
      </c>
      <c r="O40" s="3">
        <f t="shared" si="13"/>
        <v>8.6231405388011382</v>
      </c>
      <c r="P40" s="3">
        <f t="shared" si="14"/>
        <v>10.948696719769449</v>
      </c>
      <c r="Q40" s="3">
        <f t="shared" si="15"/>
        <v>13.901427133432318</v>
      </c>
    </row>
    <row r="41" spans="1:17" x14ac:dyDescent="0.2">
      <c r="A41" s="1" t="s">
        <v>24</v>
      </c>
      <c r="B41" s="2">
        <v>2</v>
      </c>
      <c r="C41" s="3">
        <v>125.78</v>
      </c>
      <c r="D41" s="3">
        <v>1.4770000000000001</v>
      </c>
      <c r="E41" s="2">
        <v>-177</v>
      </c>
      <c r="F41" s="3">
        <f t="shared" si="4"/>
        <v>-3.0892327760299634</v>
      </c>
      <c r="I41" s="1">
        <v>40</v>
      </c>
      <c r="J41" s="2">
        <f t="shared" si="8"/>
        <v>761</v>
      </c>
      <c r="K41" s="2">
        <f t="shared" si="9"/>
        <v>5491.2550000000001</v>
      </c>
      <c r="L41" s="3">
        <f t="shared" si="10"/>
        <v>-1.4749758228325056</v>
      </c>
      <c r="M41" s="3">
        <f t="shared" si="11"/>
        <v>7.7300207370828003E-2</v>
      </c>
      <c r="N41" s="3">
        <f t="shared" si="12"/>
        <v>116.63312737396707</v>
      </c>
      <c r="O41" s="3">
        <f t="shared" si="13"/>
        <v>4.2092820213690114</v>
      </c>
      <c r="P41" s="3">
        <f t="shared" si="14"/>
        <v>0.48359079012493789</v>
      </c>
      <c r="Q41" s="3">
        <f t="shared" si="15"/>
        <v>5.555818096921003E-2</v>
      </c>
    </row>
    <row r="42" spans="1:17" x14ac:dyDescent="0.2">
      <c r="A42" s="1" t="s">
        <v>24</v>
      </c>
      <c r="B42" s="2">
        <v>10</v>
      </c>
      <c r="C42" s="3">
        <v>142.28800000000001</v>
      </c>
      <c r="D42" s="3">
        <v>8.2789999999999999</v>
      </c>
      <c r="E42" s="2">
        <v>-3</v>
      </c>
      <c r="F42" s="3">
        <f t="shared" si="4"/>
        <v>-5.2359877559829883E-2</v>
      </c>
      <c r="I42" s="1">
        <v>41</v>
      </c>
      <c r="J42" s="2">
        <f t="shared" si="8"/>
        <v>771</v>
      </c>
      <c r="K42" s="2">
        <f t="shared" si="9"/>
        <v>5633.5429999999997</v>
      </c>
      <c r="L42" s="3">
        <f t="shared" si="10"/>
        <v>8.2676539182331172</v>
      </c>
      <c r="M42" s="3">
        <f t="shared" si="11"/>
        <v>0.43328938173533194</v>
      </c>
      <c r="N42" s="3">
        <f t="shared" si="12"/>
        <v>32.584896464876074</v>
      </c>
      <c r="O42" s="3">
        <f t="shared" si="13"/>
        <v>59.151115775652293</v>
      </c>
      <c r="P42" s="3">
        <f t="shared" si="14"/>
        <v>0.92508096610264356</v>
      </c>
      <c r="Q42" s="3">
        <f t="shared" si="15"/>
        <v>1.4467601880768803E-2</v>
      </c>
    </row>
    <row r="43" spans="1:17" x14ac:dyDescent="0.2">
      <c r="A43" s="1" t="s">
        <v>24</v>
      </c>
      <c r="B43" s="2">
        <v>16</v>
      </c>
      <c r="C43" s="3">
        <v>144.01499999999999</v>
      </c>
      <c r="D43" s="3">
        <v>6.55</v>
      </c>
      <c r="E43" s="2">
        <v>-43</v>
      </c>
      <c r="F43" s="3">
        <f t="shared" si="4"/>
        <v>-0.75049157835756164</v>
      </c>
      <c r="I43" s="1">
        <v>42</v>
      </c>
      <c r="J43" s="2">
        <f t="shared" si="8"/>
        <v>787</v>
      </c>
      <c r="K43" s="2">
        <f t="shared" si="9"/>
        <v>5777.558</v>
      </c>
      <c r="L43" s="3">
        <f t="shared" si="10"/>
        <v>4.7903667456055672</v>
      </c>
      <c r="M43" s="3">
        <f t="shared" si="11"/>
        <v>4.4670892584093647</v>
      </c>
      <c r="N43" s="3">
        <f t="shared" si="12"/>
        <v>55.283956464875722</v>
      </c>
      <c r="O43" s="3">
        <f t="shared" si="13"/>
        <v>17.755175694233984</v>
      </c>
      <c r="P43" s="3">
        <f t="shared" si="14"/>
        <v>17.504006695340358</v>
      </c>
      <c r="Q43" s="3">
        <f t="shared" si="15"/>
        <v>17.256390793700835</v>
      </c>
    </row>
    <row r="44" spans="1:17" x14ac:dyDescent="0.2">
      <c r="A44" s="1" t="s">
        <v>24</v>
      </c>
      <c r="B44" s="2">
        <v>19</v>
      </c>
      <c r="C44" s="3">
        <v>116.967</v>
      </c>
      <c r="D44" s="3">
        <v>8.2110000000000003</v>
      </c>
      <c r="E44" s="2">
        <v>-118</v>
      </c>
      <c r="F44" s="3">
        <f t="shared" si="4"/>
        <v>-2.0594885173533086</v>
      </c>
      <c r="I44" s="1">
        <v>43</v>
      </c>
      <c r="J44" s="2">
        <f t="shared" si="8"/>
        <v>806</v>
      </c>
      <c r="K44" s="2">
        <f t="shared" si="9"/>
        <v>5894.5249999999996</v>
      </c>
      <c r="L44" s="3">
        <f t="shared" si="10"/>
        <v>-3.8548310020349472</v>
      </c>
      <c r="M44" s="3">
        <f t="shared" si="11"/>
        <v>7.2498826849646507</v>
      </c>
      <c r="N44" s="3">
        <f t="shared" si="12"/>
        <v>384.65728810124</v>
      </c>
      <c r="O44" s="3">
        <f t="shared" si="13"/>
        <v>19.638269038431094</v>
      </c>
      <c r="P44" s="3">
        <f t="shared" si="14"/>
        <v>-30.740820102813498</v>
      </c>
      <c r="Q44" s="3">
        <f t="shared" si="15"/>
        <v>48.120229880965042</v>
      </c>
    </row>
    <row r="45" spans="1:17" x14ac:dyDescent="0.2">
      <c r="A45" s="1" t="s">
        <v>24</v>
      </c>
      <c r="B45" s="2">
        <v>14</v>
      </c>
      <c r="C45" s="3">
        <v>112.96599999999999</v>
      </c>
      <c r="D45" s="3">
        <v>5.843</v>
      </c>
      <c r="E45" s="2">
        <v>-140</v>
      </c>
      <c r="F45" s="3">
        <f t="shared" si="4"/>
        <v>-2.4434609527920612</v>
      </c>
      <c r="I45" s="1">
        <v>44</v>
      </c>
      <c r="J45" s="2">
        <f t="shared" si="8"/>
        <v>820</v>
      </c>
      <c r="K45" s="2">
        <f t="shared" si="9"/>
        <v>6007.491</v>
      </c>
      <c r="L45" s="3">
        <f t="shared" si="10"/>
        <v>-4.4759976811441877</v>
      </c>
      <c r="M45" s="3">
        <f t="shared" si="11"/>
        <v>3.75580800339845</v>
      </c>
      <c r="N45" s="3">
        <f t="shared" si="12"/>
        <v>557.60596901033125</v>
      </c>
      <c r="O45" s="3">
        <f t="shared" si="13"/>
        <v>25.529528122093357</v>
      </c>
      <c r="P45" s="3">
        <f t="shared" si="14"/>
        <v>-17.395350500994166</v>
      </c>
      <c r="Q45" s="3">
        <f t="shared" si="15"/>
        <v>11.852871608330597</v>
      </c>
    </row>
    <row r="46" spans="1:17" x14ac:dyDescent="0.2">
      <c r="A46" s="1" t="s">
        <v>24</v>
      </c>
      <c r="B46" s="2">
        <v>7</v>
      </c>
      <c r="C46" s="3">
        <v>136.34399999999999</v>
      </c>
      <c r="D46" s="3">
        <v>7.41</v>
      </c>
      <c r="E46" s="2">
        <v>-115</v>
      </c>
      <c r="F46" s="3">
        <f t="shared" si="4"/>
        <v>-2.0071286397934789</v>
      </c>
      <c r="I46" s="1">
        <v>45</v>
      </c>
      <c r="J46" s="2">
        <f t="shared" si="8"/>
        <v>827</v>
      </c>
      <c r="K46" s="2">
        <f t="shared" si="9"/>
        <v>6143.835</v>
      </c>
      <c r="L46" s="3">
        <f t="shared" si="10"/>
        <v>-3.1316013194985821</v>
      </c>
      <c r="M46" s="3">
        <f t="shared" si="11"/>
        <v>6.7157407019415771</v>
      </c>
      <c r="N46" s="3">
        <f t="shared" si="12"/>
        <v>5.5545919421493742E-2</v>
      </c>
      <c r="O46" s="3">
        <f t="shared" si="13"/>
        <v>13.751333003799321</v>
      </c>
      <c r="P46" s="3">
        <f t="shared" si="14"/>
        <v>-23.743118964682214</v>
      </c>
      <c r="Q46" s="3">
        <f t="shared" si="15"/>
        <v>40.994985578147158</v>
      </c>
    </row>
    <row r="47" spans="1:17" x14ac:dyDescent="0.2">
      <c r="A47" s="1" t="s">
        <v>24</v>
      </c>
      <c r="B47" s="2">
        <v>11</v>
      </c>
      <c r="C47" s="3">
        <v>148.923</v>
      </c>
      <c r="D47" s="3">
        <v>5.3979999999999997</v>
      </c>
      <c r="E47" s="2">
        <v>-197</v>
      </c>
      <c r="F47" s="3">
        <f t="shared" si="4"/>
        <v>-3.4382986264288289</v>
      </c>
      <c r="I47" s="1">
        <v>46</v>
      </c>
      <c r="J47" s="2">
        <f t="shared" si="8"/>
        <v>838</v>
      </c>
      <c r="K47" s="2">
        <f t="shared" si="9"/>
        <v>6292.7579999999998</v>
      </c>
      <c r="L47" s="3">
        <f t="shared" si="10"/>
        <v>-5.1621330726884658</v>
      </c>
      <c r="M47" s="3">
        <f t="shared" si="11"/>
        <v>-1.5782224620933309</v>
      </c>
      <c r="N47" s="3">
        <f t="shared" si="12"/>
        <v>152.35750373760317</v>
      </c>
      <c r="O47" s="3">
        <f t="shared" si="13"/>
        <v>32.933948647299069</v>
      </c>
      <c r="P47" s="3">
        <f t="shared" si="14"/>
        <v>10.853413890008875</v>
      </c>
      <c r="Q47" s="3">
        <f t="shared" si="15"/>
        <v>3.5767528008670206</v>
      </c>
    </row>
    <row r="48" spans="1:17" x14ac:dyDescent="0.2">
      <c r="A48" s="1" t="s">
        <v>24</v>
      </c>
      <c r="B48" s="2">
        <v>10</v>
      </c>
      <c r="C48" s="3">
        <v>130.50200000000001</v>
      </c>
      <c r="D48" s="3">
        <v>7.133</v>
      </c>
      <c r="E48" s="2">
        <v>-40</v>
      </c>
      <c r="F48" s="3">
        <f t="shared" si="4"/>
        <v>-0.69813170079773179</v>
      </c>
      <c r="I48" s="1">
        <v>47</v>
      </c>
      <c r="J48" s="2">
        <f t="shared" si="8"/>
        <v>848</v>
      </c>
      <c r="K48" s="2">
        <f t="shared" si="9"/>
        <v>6423.26</v>
      </c>
      <c r="L48" s="3">
        <f t="shared" si="10"/>
        <v>5.4641950127676706</v>
      </c>
      <c r="M48" s="3">
        <f t="shared" si="11"/>
        <v>4.5850040198940842</v>
      </c>
      <c r="N48" s="3">
        <f t="shared" si="12"/>
        <v>36.93821628305782</v>
      </c>
      <c r="O48" s="3">
        <f t="shared" si="13"/>
        <v>23.887825855142172</v>
      </c>
      <c r="P48" s="3">
        <f t="shared" si="14"/>
        <v>20.879454489064969</v>
      </c>
      <c r="Q48" s="3">
        <f t="shared" si="15"/>
        <v>18.249949677487745</v>
      </c>
    </row>
    <row r="49" spans="1:17" x14ac:dyDescent="0.2">
      <c r="A49" s="1" t="s">
        <v>24</v>
      </c>
      <c r="B49" s="2">
        <v>6</v>
      </c>
      <c r="C49" s="3">
        <v>129.91200000000001</v>
      </c>
      <c r="D49" s="3">
        <v>3.6659999999999999</v>
      </c>
      <c r="E49" s="2">
        <v>-88</v>
      </c>
      <c r="F49" s="3">
        <f t="shared" si="4"/>
        <v>-1.5358897417550099</v>
      </c>
      <c r="I49" s="1">
        <v>48</v>
      </c>
      <c r="J49" s="2">
        <f t="shared" si="8"/>
        <v>854</v>
      </c>
      <c r="K49" s="2">
        <f t="shared" si="9"/>
        <v>6553.1720000000005</v>
      </c>
      <c r="L49" s="3">
        <f t="shared" si="10"/>
        <v>0.12794155491136897</v>
      </c>
      <c r="M49" s="3">
        <f t="shared" si="11"/>
        <v>3.6637667718520048</v>
      </c>
      <c r="N49" s="3">
        <f t="shared" si="12"/>
        <v>44.457980828512412</v>
      </c>
      <c r="O49" s="3">
        <f t="shared" si="13"/>
        <v>0.20136409370524611</v>
      </c>
      <c r="P49" s="3">
        <f t="shared" si="14"/>
        <v>-1.5036064300783385</v>
      </c>
      <c r="Q49" s="3">
        <f t="shared" si="15"/>
        <v>11.227584098892526</v>
      </c>
    </row>
    <row r="50" spans="1:17" x14ac:dyDescent="0.2">
      <c r="A50" s="1" t="s">
        <v>5</v>
      </c>
      <c r="B50" s="2">
        <v>4</v>
      </c>
      <c r="C50" s="3">
        <v>144.61099999999999</v>
      </c>
      <c r="D50" s="3">
        <v>3.774</v>
      </c>
      <c r="E50" s="2">
        <v>-199</v>
      </c>
      <c r="F50" s="3">
        <f t="shared" si="4"/>
        <v>-3.473205211468716</v>
      </c>
      <c r="I50" s="1">
        <v>49</v>
      </c>
      <c r="J50" s="2">
        <f t="shared" si="8"/>
        <v>858</v>
      </c>
      <c r="K50" s="2">
        <f t="shared" si="9"/>
        <v>6697.7830000000004</v>
      </c>
      <c r="L50" s="3">
        <f t="shared" si="10"/>
        <v>-3.5683871043118214</v>
      </c>
      <c r="M50" s="3">
        <f t="shared" si="11"/>
        <v>-1.2286942149213096</v>
      </c>
      <c r="N50" s="3">
        <f t="shared" si="12"/>
        <v>64.502071737603032</v>
      </c>
      <c r="O50" s="3">
        <f t="shared" si="13"/>
        <v>17.181561915997683</v>
      </c>
      <c r="P50" s="3">
        <f t="shared" si="14"/>
        <v>6.3904556845932952</v>
      </c>
      <c r="Q50" s="3">
        <f t="shared" si="15"/>
        <v>2.3768458337147296</v>
      </c>
    </row>
    <row r="51" spans="1:17" x14ac:dyDescent="0.2">
      <c r="A51" s="1" t="s">
        <v>5</v>
      </c>
      <c r="B51" s="2">
        <v>0</v>
      </c>
      <c r="C51" s="3">
        <v>141.75700000000001</v>
      </c>
      <c r="D51" s="3">
        <v>0.92600000000000005</v>
      </c>
      <c r="E51" s="2">
        <v>-85</v>
      </c>
      <c r="F51" s="3">
        <f t="shared" si="4"/>
        <v>-1.4835298641951802</v>
      </c>
      <c r="I51" s="1">
        <v>50</v>
      </c>
      <c r="J51" s="2">
        <f t="shared" si="8"/>
        <v>858</v>
      </c>
      <c r="K51" s="2">
        <f t="shared" si="9"/>
        <v>6839.54</v>
      </c>
      <c r="L51" s="3">
        <f t="shared" si="10"/>
        <v>8.0706217784331444E-2</v>
      </c>
      <c r="M51" s="3">
        <f t="shared" si="11"/>
        <v>0.92247629043295643</v>
      </c>
      <c r="N51" s="3">
        <f t="shared" si="12"/>
        <v>26.804623555785103</v>
      </c>
      <c r="O51" s="3">
        <f t="shared" si="13"/>
        <v>0.2459876733670561</v>
      </c>
      <c r="P51" s="3">
        <f t="shared" si="14"/>
        <v>-0.30227884976916758</v>
      </c>
      <c r="Q51" s="3">
        <f t="shared" si="15"/>
        <v>0.3714515518890551</v>
      </c>
    </row>
    <row r="52" spans="1:17" x14ac:dyDescent="0.2">
      <c r="A52" s="1" t="s">
        <v>24</v>
      </c>
      <c r="B52" s="2">
        <v>6</v>
      </c>
      <c r="C52" s="3">
        <v>128.22800000000001</v>
      </c>
      <c r="D52" s="3">
        <v>4.3639999999999999</v>
      </c>
      <c r="E52" s="2">
        <v>-43</v>
      </c>
      <c r="F52" s="3">
        <f t="shared" si="4"/>
        <v>-0.75049157835756164</v>
      </c>
      <c r="I52" s="1">
        <v>51</v>
      </c>
      <c r="J52" s="2">
        <f t="shared" si="8"/>
        <v>864</v>
      </c>
      <c r="K52" s="2">
        <f t="shared" si="9"/>
        <v>6967.768</v>
      </c>
      <c r="L52" s="3">
        <f t="shared" si="10"/>
        <v>3.1916275538660601</v>
      </c>
      <c r="M52" s="3">
        <f t="shared" si="11"/>
        <v>2.9762408433127434</v>
      </c>
      <c r="N52" s="3">
        <f t="shared" si="12"/>
        <v>69.750589192148738</v>
      </c>
      <c r="O52" s="3">
        <f t="shared" si="13"/>
        <v>6.8379629375519686</v>
      </c>
      <c r="P52" s="3">
        <f t="shared" si="14"/>
        <v>6.9642203390629387</v>
      </c>
      <c r="Q52" s="3">
        <f t="shared" si="15"/>
        <v>7.0928089803863923</v>
      </c>
    </row>
    <row r="53" spans="1:17" x14ac:dyDescent="0.2">
      <c r="A53" s="1" t="s">
        <v>24</v>
      </c>
      <c r="B53" s="2">
        <v>23</v>
      </c>
      <c r="C53" s="3">
        <v>130.566</v>
      </c>
      <c r="D53" s="3">
        <v>6.22</v>
      </c>
      <c r="E53" s="2">
        <v>-64</v>
      </c>
      <c r="F53" s="3">
        <f t="shared" si="4"/>
        <v>-1.1170107212763709</v>
      </c>
      <c r="I53" s="1">
        <v>52</v>
      </c>
      <c r="J53" s="2">
        <f t="shared" si="8"/>
        <v>887</v>
      </c>
      <c r="K53" s="2">
        <f t="shared" si="9"/>
        <v>7098.3339999999998</v>
      </c>
      <c r="L53" s="3">
        <f t="shared" si="10"/>
        <v>2.7266685330280618</v>
      </c>
      <c r="M53" s="3">
        <f t="shared" si="11"/>
        <v>5.5904989679808184</v>
      </c>
      <c r="N53" s="3">
        <f t="shared" si="12"/>
        <v>36.164369010330631</v>
      </c>
      <c r="O53" s="3">
        <f t="shared" si="13"/>
        <v>4.6224607459822309</v>
      </c>
      <c r="P53" s="3">
        <f t="shared" si="14"/>
        <v>11.346557324034611</v>
      </c>
      <c r="Q53" s="3">
        <f t="shared" si="15"/>
        <v>27.851910526120967</v>
      </c>
    </row>
    <row r="54" spans="1:17" x14ac:dyDescent="0.2">
      <c r="A54" s="1" t="s">
        <v>61</v>
      </c>
      <c r="B54" s="2">
        <v>15</v>
      </c>
      <c r="C54" s="3">
        <v>137.649</v>
      </c>
      <c r="D54" s="3">
        <v>5.6120000000000001</v>
      </c>
      <c r="E54" s="2">
        <v>-191</v>
      </c>
      <c r="F54" s="3">
        <f t="shared" si="4"/>
        <v>-3.3335788713091694</v>
      </c>
      <c r="I54" s="1">
        <v>53</v>
      </c>
      <c r="J54" s="2">
        <f t="shared" si="8"/>
        <v>902</v>
      </c>
      <c r="K54" s="2">
        <f t="shared" si="9"/>
        <v>7235.9830000000002</v>
      </c>
      <c r="L54" s="3">
        <f t="shared" si="10"/>
        <v>-5.5088917535082906</v>
      </c>
      <c r="M54" s="3">
        <f t="shared" si="11"/>
        <v>-1.070820082053169</v>
      </c>
      <c r="N54" s="3">
        <f t="shared" si="12"/>
        <v>1.1434413739669289</v>
      </c>
      <c r="O54" s="3">
        <f t="shared" si="13"/>
        <v>37.034155109616293</v>
      </c>
      <c r="P54" s="3">
        <f t="shared" si="14"/>
        <v>8.4213820777438428</v>
      </c>
      <c r="Q54" s="3">
        <f t="shared" si="15"/>
        <v>1.9149802632038495</v>
      </c>
    </row>
    <row r="55" spans="1:17" x14ac:dyDescent="0.2">
      <c r="A55" s="1" t="s">
        <v>61</v>
      </c>
      <c r="B55" s="2">
        <v>29</v>
      </c>
      <c r="C55" s="3">
        <v>123.685</v>
      </c>
      <c r="D55" s="3">
        <v>8.4489999999999998</v>
      </c>
      <c r="E55" s="2">
        <v>-134</v>
      </c>
      <c r="F55" s="3">
        <f t="shared" si="4"/>
        <v>-2.3387411976724013</v>
      </c>
      <c r="I55" s="1">
        <v>54</v>
      </c>
      <c r="J55" s="2">
        <f t="shared" si="8"/>
        <v>931</v>
      </c>
      <c r="K55" s="2">
        <f t="shared" si="9"/>
        <v>7359.6680000000006</v>
      </c>
      <c r="L55" s="3">
        <f t="shared" si="10"/>
        <v>-5.869168572008066</v>
      </c>
      <c r="M55" s="3">
        <f t="shared" si="11"/>
        <v>6.0777019730612656</v>
      </c>
      <c r="N55" s="3">
        <f t="shared" si="12"/>
        <v>166.27281919214889</v>
      </c>
      <c r="O55" s="3">
        <f t="shared" si="13"/>
        <v>41.548933671042199</v>
      </c>
      <c r="P55" s="3">
        <f t="shared" si="14"/>
        <v>-37.158330697045265</v>
      </c>
      <c r="Q55" s="3">
        <f t="shared" si="15"/>
        <v>33.231696175954895</v>
      </c>
    </row>
    <row r="56" spans="1:17" x14ac:dyDescent="0.2">
      <c r="A56" s="1" t="s">
        <v>5</v>
      </c>
      <c r="B56" s="2">
        <v>41</v>
      </c>
      <c r="C56" s="3">
        <v>134.733</v>
      </c>
      <c r="D56" s="3">
        <v>10.428000000000001</v>
      </c>
      <c r="E56" s="2">
        <v>-54</v>
      </c>
      <c r="F56" s="3">
        <f t="shared" si="4"/>
        <v>-0.94247779607693793</v>
      </c>
      <c r="I56" s="1">
        <v>55</v>
      </c>
      <c r="J56" s="2">
        <f t="shared" si="8"/>
        <v>972</v>
      </c>
      <c r="K56" s="2">
        <f t="shared" si="9"/>
        <v>7494.4010000000007</v>
      </c>
      <c r="L56" s="3">
        <f t="shared" si="10"/>
        <v>6.1294246109059101</v>
      </c>
      <c r="M56" s="3">
        <f t="shared" si="11"/>
        <v>8.4364292173419528</v>
      </c>
      <c r="N56" s="3">
        <f t="shared" si="12"/>
        <v>3.4102337376033169</v>
      </c>
      <c r="O56" s="3">
        <f t="shared" si="13"/>
        <v>30.832998679819003</v>
      </c>
      <c r="P56" s="3">
        <f t="shared" si="14"/>
        <v>45.107302174480878</v>
      </c>
      <c r="Q56" s="3">
        <f t="shared" si="15"/>
        <v>65.989971672514315</v>
      </c>
    </row>
    <row r="57" spans="1:17" x14ac:dyDescent="0.2">
      <c r="A57" s="1" t="s">
        <v>5</v>
      </c>
      <c r="B57" s="2">
        <v>15</v>
      </c>
      <c r="C57" s="3">
        <v>134.72200000000001</v>
      </c>
      <c r="D57" s="3">
        <v>5.38</v>
      </c>
      <c r="E57" s="2">
        <v>-129</v>
      </c>
      <c r="F57" s="3">
        <f t="shared" si="4"/>
        <v>-2.2514747350726849</v>
      </c>
      <c r="I57" s="1">
        <v>56</v>
      </c>
      <c r="J57" s="2">
        <f t="shared" si="8"/>
        <v>987</v>
      </c>
      <c r="K57" s="2">
        <f t="shared" si="9"/>
        <v>7629.1230000000005</v>
      </c>
      <c r="L57" s="3">
        <f t="shared" si="10"/>
        <v>-3.3857437038481244</v>
      </c>
      <c r="M57" s="3">
        <f t="shared" si="11"/>
        <v>4.1810452726385039</v>
      </c>
      <c r="N57" s="3">
        <f t="shared" si="12"/>
        <v>3.4509817376033007</v>
      </c>
      <c r="O57" s="3">
        <f t="shared" si="13"/>
        <v>15.700783079648346</v>
      </c>
      <c r="P57" s="3">
        <f t="shared" si="14"/>
        <v>-15.326793385785818</v>
      </c>
      <c r="Q57" s="3">
        <f t="shared" si="15"/>
        <v>14.961712055946016</v>
      </c>
    </row>
    <row r="58" spans="1:17" x14ac:dyDescent="0.2">
      <c r="A58" s="1" t="s">
        <v>61</v>
      </c>
      <c r="B58" s="2">
        <v>10</v>
      </c>
      <c r="C58" s="3">
        <v>127.351</v>
      </c>
      <c r="D58" s="3">
        <v>3.0009999999999999</v>
      </c>
      <c r="E58" s="2">
        <v>-307</v>
      </c>
      <c r="F58" s="3">
        <f t="shared" si="4"/>
        <v>-5.3581608036225914</v>
      </c>
      <c r="I58" s="1">
        <v>57</v>
      </c>
      <c r="J58" s="2">
        <f t="shared" si="8"/>
        <v>997</v>
      </c>
      <c r="K58" s="2">
        <f t="shared" si="9"/>
        <v>7756.4740000000002</v>
      </c>
      <c r="L58" s="3">
        <f t="shared" si="10"/>
        <v>1.8060468844792958</v>
      </c>
      <c r="M58" s="3">
        <f t="shared" si="11"/>
        <v>-2.3967051656519263</v>
      </c>
      <c r="N58" s="3">
        <f t="shared" si="12"/>
        <v>85.168568101239813</v>
      </c>
      <c r="O58" s="3">
        <f t="shared" si="13"/>
        <v>1.5113486854527998</v>
      </c>
      <c r="P58" s="3">
        <f t="shared" si="14"/>
        <v>-3.3312380134414665</v>
      </c>
      <c r="Q58" s="3">
        <f t="shared" si="15"/>
        <v>7.3425456408643024</v>
      </c>
    </row>
    <row r="59" spans="1:17" x14ac:dyDescent="0.2">
      <c r="A59" s="1" t="s">
        <v>61</v>
      </c>
      <c r="B59" s="2">
        <v>43</v>
      </c>
      <c r="C59" s="3">
        <v>128.078</v>
      </c>
      <c r="D59" s="3">
        <v>13.353999999999999</v>
      </c>
      <c r="E59" s="2">
        <v>-307</v>
      </c>
      <c r="F59" s="3">
        <f t="shared" si="4"/>
        <v>-5.3581608036225914</v>
      </c>
      <c r="I59" s="1">
        <v>58</v>
      </c>
      <c r="J59" s="2">
        <f t="shared" si="8"/>
        <v>1040</v>
      </c>
      <c r="K59" s="2">
        <f t="shared" si="9"/>
        <v>7884.5520000000006</v>
      </c>
      <c r="L59" s="3">
        <f t="shared" si="10"/>
        <v>8.0366378191724479</v>
      </c>
      <c r="M59" s="3">
        <f t="shared" si="11"/>
        <v>-10.664978601171551</v>
      </c>
      <c r="N59" s="3">
        <f t="shared" si="12"/>
        <v>72.278593737603373</v>
      </c>
      <c r="O59" s="3">
        <f t="shared" si="13"/>
        <v>55.651005548259711</v>
      </c>
      <c r="P59" s="3">
        <f t="shared" si="14"/>
        <v>-81.895342928280016</v>
      </c>
      <c r="Q59" s="3">
        <f t="shared" si="15"/>
        <v>120.51619062883793</v>
      </c>
    </row>
    <row r="60" spans="1:17" x14ac:dyDescent="0.2">
      <c r="A60" s="1" t="s">
        <v>24</v>
      </c>
      <c r="B60" s="2">
        <v>6</v>
      </c>
      <c r="C60" s="3">
        <v>132.047</v>
      </c>
      <c r="D60" s="3">
        <v>4.3719999999999999</v>
      </c>
      <c r="E60" s="2">
        <v>-66</v>
      </c>
      <c r="F60" s="3">
        <f t="shared" si="4"/>
        <v>-1.1519173063162575</v>
      </c>
      <c r="I60" s="1">
        <v>59</v>
      </c>
      <c r="J60" s="2">
        <f t="shared" si="8"/>
        <v>1046</v>
      </c>
      <c r="K60" s="2">
        <f t="shared" si="9"/>
        <v>8016.5990000000002</v>
      </c>
      <c r="L60" s="3">
        <f t="shared" si="10"/>
        <v>1.7782526035273984</v>
      </c>
      <c r="M60" s="3">
        <f t="shared" si="11"/>
        <v>3.9940207408134509</v>
      </c>
      <c r="N60" s="3">
        <f t="shared" si="12"/>
        <v>20.545204464876125</v>
      </c>
      <c r="O60" s="3">
        <f t="shared" si="13"/>
        <v>1.4437823403738399</v>
      </c>
      <c r="P60" s="3">
        <f t="shared" si="14"/>
        <v>4.4230126247028458</v>
      </c>
      <c r="Q60" s="3">
        <f t="shared" si="15"/>
        <v>13.549854525312506</v>
      </c>
    </row>
    <row r="61" spans="1:17" x14ac:dyDescent="0.2">
      <c r="A61" s="1" t="s">
        <v>24</v>
      </c>
      <c r="B61" s="2">
        <v>14</v>
      </c>
      <c r="C61" s="3">
        <v>143.49299999999999</v>
      </c>
      <c r="D61" s="3">
        <v>6.48</v>
      </c>
      <c r="E61" s="2">
        <v>-209</v>
      </c>
      <c r="F61" s="3">
        <f t="shared" si="4"/>
        <v>-3.6477381366681487</v>
      </c>
      <c r="I61" s="1">
        <v>60</v>
      </c>
      <c r="J61" s="2">
        <f t="shared" si="8"/>
        <v>1060</v>
      </c>
      <c r="K61" s="2">
        <f t="shared" si="9"/>
        <v>8160.0920000000006</v>
      </c>
      <c r="L61" s="3">
        <f t="shared" si="10"/>
        <v>-5.6675357022632857</v>
      </c>
      <c r="M61" s="3">
        <f t="shared" si="11"/>
        <v>-3.1415663391962636</v>
      </c>
      <c r="N61" s="3">
        <f t="shared" si="12"/>
        <v>47.793968283057687</v>
      </c>
      <c r="O61" s="3">
        <f t="shared" si="13"/>
        <v>38.990200537055308</v>
      </c>
      <c r="P61" s="3">
        <f t="shared" si="14"/>
        <v>21.571099487576394</v>
      </c>
      <c r="Q61" s="3">
        <f t="shared" si="15"/>
        <v>11.93408412097541</v>
      </c>
    </row>
    <row r="62" spans="1:17" x14ac:dyDescent="0.2">
      <c r="A62" s="1" t="s">
        <v>24</v>
      </c>
      <c r="B62" s="2">
        <v>14</v>
      </c>
      <c r="C62" s="3">
        <v>128.62</v>
      </c>
      <c r="D62" s="3">
        <v>4.0869999999999997</v>
      </c>
      <c r="E62" s="2">
        <v>-204</v>
      </c>
      <c r="F62" s="3">
        <f t="shared" si="4"/>
        <v>-3.5604716740684319</v>
      </c>
      <c r="I62" s="1">
        <v>61</v>
      </c>
      <c r="J62" s="2">
        <f t="shared" si="8"/>
        <v>1074</v>
      </c>
      <c r="K62" s="2">
        <f t="shared" si="9"/>
        <v>8288.7120000000014</v>
      </c>
      <c r="L62" s="3">
        <f t="shared" si="10"/>
        <v>-3.7336602853853105</v>
      </c>
      <c r="M62" s="3">
        <f t="shared" si="11"/>
        <v>-1.6623326602507937</v>
      </c>
      <c r="N62" s="3">
        <f t="shared" si="12"/>
        <v>63.356534646694257</v>
      </c>
      <c r="O62" s="3">
        <f t="shared" si="13"/>
        <v>18.579013219711054</v>
      </c>
      <c r="P62" s="3">
        <f t="shared" si="14"/>
        <v>8.5143859663443724</v>
      </c>
      <c r="Q62" s="3">
        <f t="shared" si="15"/>
        <v>3.9019708703888547</v>
      </c>
    </row>
    <row r="63" spans="1:17" x14ac:dyDescent="0.2">
      <c r="A63" s="1" t="s">
        <v>24</v>
      </c>
      <c r="B63" s="2">
        <v>7</v>
      </c>
      <c r="C63" s="3">
        <v>129.69</v>
      </c>
      <c r="D63" s="3">
        <v>1.891</v>
      </c>
      <c r="E63" s="2">
        <v>-131</v>
      </c>
      <c r="F63" s="3">
        <f t="shared" si="4"/>
        <v>-2.286381320112572</v>
      </c>
      <c r="I63" s="1">
        <v>62</v>
      </c>
      <c r="J63" s="2">
        <f t="shared" si="8"/>
        <v>1081</v>
      </c>
      <c r="K63" s="2">
        <f t="shared" si="9"/>
        <v>8418.4020000000019</v>
      </c>
      <c r="L63" s="3">
        <f t="shared" si="10"/>
        <v>-1.2406076238210497</v>
      </c>
      <c r="M63" s="3">
        <f t="shared" si="11"/>
        <v>1.4271558162012614</v>
      </c>
      <c r="N63" s="3">
        <f t="shared" si="12"/>
        <v>47.467715555785254</v>
      </c>
      <c r="O63" s="3">
        <f t="shared" si="13"/>
        <v>3.3025258096574714</v>
      </c>
      <c r="P63" s="3">
        <f t="shared" si="14"/>
        <v>-2.0247243651688844</v>
      </c>
      <c r="Q63" s="3">
        <f t="shared" si="15"/>
        <v>1.2413252738011853</v>
      </c>
    </row>
    <row r="64" spans="1:17" x14ac:dyDescent="0.2">
      <c r="A64" s="1" t="s">
        <v>24</v>
      </c>
      <c r="B64" s="2">
        <v>36</v>
      </c>
      <c r="C64" s="3">
        <v>143.51900000000001</v>
      </c>
      <c r="D64" s="3">
        <v>8.4730000000000008</v>
      </c>
      <c r="E64" s="2">
        <v>-223</v>
      </c>
      <c r="F64" s="3">
        <f t="shared" si="4"/>
        <v>-3.8920842319473548</v>
      </c>
      <c r="I64" s="1">
        <v>63</v>
      </c>
      <c r="J64" s="2">
        <f t="shared" si="8"/>
        <v>1117</v>
      </c>
      <c r="K64" s="2">
        <f t="shared" si="9"/>
        <v>8561.9210000000021</v>
      </c>
      <c r="L64" s="3">
        <f t="shared" si="10"/>
        <v>-6.1967599138192329</v>
      </c>
      <c r="M64" s="3">
        <f t="shared" si="11"/>
        <v>-5.7785721048095491</v>
      </c>
      <c r="N64" s="3">
        <f t="shared" si="12"/>
        <v>48.154136828512371</v>
      </c>
      <c r="O64" s="3">
        <f t="shared" si="13"/>
        <v>45.879456592013298</v>
      </c>
      <c r="P64" s="3">
        <f t="shared" si="14"/>
        <v>41.260937828267217</v>
      </c>
      <c r="Q64" s="3">
        <f t="shared" si="15"/>
        <v>37.10734862462381</v>
      </c>
    </row>
    <row r="65" spans="1:17" x14ac:dyDescent="0.2">
      <c r="A65" s="1" t="s">
        <v>24</v>
      </c>
      <c r="B65" s="2">
        <v>13</v>
      </c>
      <c r="C65" s="3">
        <v>138.755</v>
      </c>
      <c r="D65" s="3">
        <v>4.7750000000000004</v>
      </c>
      <c r="E65" s="2">
        <v>-73</v>
      </c>
      <c r="F65" s="3">
        <f t="shared" si="4"/>
        <v>-1.2740903539558606</v>
      </c>
      <c r="I65" s="1">
        <v>64</v>
      </c>
      <c r="J65" s="2">
        <f t="shared" si="8"/>
        <v>1130</v>
      </c>
      <c r="K65" s="2">
        <f t="shared" si="9"/>
        <v>8700.6760000000013</v>
      </c>
      <c r="L65" s="3">
        <f t="shared" si="10"/>
        <v>1.3960748900510682</v>
      </c>
      <c r="M65" s="3">
        <f t="shared" si="11"/>
        <v>4.5663552097234943</v>
      </c>
      <c r="N65" s="3">
        <f t="shared" si="12"/>
        <v>4.73200919214871</v>
      </c>
      <c r="O65" s="3">
        <f t="shared" si="13"/>
        <v>0.67141181752003443</v>
      </c>
      <c r="P65" s="3">
        <f t="shared" si="14"/>
        <v>3.4851808837055129</v>
      </c>
      <c r="Q65" s="3">
        <f t="shared" si="15"/>
        <v>18.090962171341133</v>
      </c>
    </row>
    <row r="66" spans="1:17" x14ac:dyDescent="0.2">
      <c r="A66" s="1" t="s">
        <v>5</v>
      </c>
      <c r="B66" s="2">
        <v>16</v>
      </c>
      <c r="C66" s="3">
        <v>137.95099999999999</v>
      </c>
      <c r="D66" s="3">
        <v>6.032</v>
      </c>
      <c r="E66" s="2">
        <v>-12</v>
      </c>
      <c r="F66" s="3">
        <f t="shared" si="4"/>
        <v>-0.20943951023931953</v>
      </c>
      <c r="I66" s="1">
        <v>65</v>
      </c>
      <c r="J66" s="2">
        <f t="shared" si="8"/>
        <v>1146</v>
      </c>
      <c r="K66" s="2">
        <f t="shared" si="9"/>
        <v>8838.6270000000004</v>
      </c>
      <c r="L66" s="3">
        <f t="shared" si="10"/>
        <v>5.900186327626316</v>
      </c>
      <c r="M66" s="3">
        <f t="shared" si="11"/>
        <v>1.2541233190127241</v>
      </c>
      <c r="N66" s="3">
        <f t="shared" ref="N66:N89" si="16">(C66-K$104)^2</f>
        <v>1.8805135557850863</v>
      </c>
      <c r="O66" s="3">
        <f t="shared" ref="O66:O89" si="17">(L66-L$105)^2</f>
        <v>28.339744514182598</v>
      </c>
      <c r="P66" s="3">
        <f t="shared" ref="P66:P89" si="18">(L66-L$105)*(M66-M$106)</f>
        <v>5.0100353590188291</v>
      </c>
      <c r="Q66" s="3">
        <f t="shared" ref="Q66:Q89" si="19">(M66-M$106)^2</f>
        <v>0.88569797395517902</v>
      </c>
    </row>
    <row r="67" spans="1:17" x14ac:dyDescent="0.2">
      <c r="A67" s="1" t="s">
        <v>5</v>
      </c>
      <c r="B67" s="2">
        <v>0</v>
      </c>
      <c r="C67" s="3">
        <v>143.08699999999999</v>
      </c>
      <c r="D67" s="3">
        <v>0.59099999999999997</v>
      </c>
      <c r="E67" s="2">
        <v>-115</v>
      </c>
      <c r="F67" s="3">
        <f t="shared" ref="F67:F89" si="20">E67*PI()/180</f>
        <v>-2.0071286397934789</v>
      </c>
      <c r="I67" s="1">
        <v>66</v>
      </c>
      <c r="J67" s="2">
        <f t="shared" si="8"/>
        <v>1146</v>
      </c>
      <c r="K67" s="2">
        <f t="shared" si="9"/>
        <v>8981.7139999999999</v>
      </c>
      <c r="L67" s="3">
        <f t="shared" si="10"/>
        <v>-0.24976739268875328</v>
      </c>
      <c r="M67" s="3">
        <f t="shared" si="11"/>
        <v>0.53562790213866018</v>
      </c>
      <c r="N67" s="3">
        <f t="shared" si="16"/>
        <v>42.345189919421252</v>
      </c>
      <c r="O67" s="3">
        <f t="shared" si="17"/>
        <v>0.68301142823566852</v>
      </c>
      <c r="P67" s="3">
        <f t="shared" si="18"/>
        <v>-0.18398308655824783</v>
      </c>
      <c r="Q67" s="3">
        <f t="shared" si="19"/>
        <v>4.9559604334790237E-2</v>
      </c>
    </row>
    <row r="68" spans="1:17" x14ac:dyDescent="0.2">
      <c r="A68" s="1" t="s">
        <v>5</v>
      </c>
      <c r="B68" s="2">
        <v>13</v>
      </c>
      <c r="C68" s="3">
        <v>160.55600000000001</v>
      </c>
      <c r="D68" s="3">
        <v>4.9749999999999996</v>
      </c>
      <c r="E68" s="2">
        <v>-292</v>
      </c>
      <c r="F68" s="3">
        <f t="shared" si="20"/>
        <v>-5.0963614158234423</v>
      </c>
      <c r="I68" s="1">
        <v>67</v>
      </c>
      <c r="J68" s="2">
        <f t="shared" si="8"/>
        <v>1159</v>
      </c>
      <c r="K68" s="2">
        <f t="shared" si="9"/>
        <v>9142.27</v>
      </c>
      <c r="L68" s="3">
        <f t="shared" si="10"/>
        <v>1.863667802244162</v>
      </c>
      <c r="M68" s="3">
        <f t="shared" si="11"/>
        <v>-4.6127396764697668</v>
      </c>
      <c r="N68" s="3">
        <f t="shared" si="16"/>
        <v>574.86383355578539</v>
      </c>
      <c r="O68" s="3">
        <f t="shared" si="17"/>
        <v>1.6563436213719551</v>
      </c>
      <c r="P68" s="3">
        <f t="shared" si="18"/>
        <v>-6.3393887411701906</v>
      </c>
      <c r="Q68" s="3">
        <f t="shared" si="19"/>
        <v>24.262990537185541</v>
      </c>
    </row>
    <row r="69" spans="1:17" x14ac:dyDescent="0.2">
      <c r="A69" s="1" t="s">
        <v>5</v>
      </c>
      <c r="B69" s="2">
        <v>3</v>
      </c>
      <c r="C69" s="3">
        <v>151.02000000000001</v>
      </c>
      <c r="D69" s="3">
        <v>1.552</v>
      </c>
      <c r="E69" s="2">
        <v>-162</v>
      </c>
      <c r="F69" s="3">
        <f t="shared" si="20"/>
        <v>-2.8274333882308138</v>
      </c>
      <c r="I69" s="1">
        <v>68</v>
      </c>
      <c r="J69" s="2">
        <f t="shared" si="8"/>
        <v>1162</v>
      </c>
      <c r="K69" s="2">
        <f t="shared" si="9"/>
        <v>9293.2900000000009</v>
      </c>
      <c r="L69" s="3">
        <f t="shared" si="10"/>
        <v>-1.4760397132900782</v>
      </c>
      <c r="M69" s="3">
        <f t="shared" si="11"/>
        <v>0.47959437526991855</v>
      </c>
      <c r="N69" s="3">
        <f t="shared" si="16"/>
        <v>208.52278919214885</v>
      </c>
      <c r="O69" s="3">
        <f t="shared" si="17"/>
        <v>4.2136486223611973</v>
      </c>
      <c r="P69" s="3">
        <f t="shared" si="18"/>
        <v>-0.34195467094388338</v>
      </c>
      <c r="Q69" s="3">
        <f t="shared" si="19"/>
        <v>2.7751008083539242E-2</v>
      </c>
    </row>
    <row r="70" spans="1:17" x14ac:dyDescent="0.2">
      <c r="A70" s="1" t="s">
        <v>24</v>
      </c>
      <c r="B70" s="2">
        <v>9</v>
      </c>
      <c r="C70" s="3">
        <v>128.55600000000001</v>
      </c>
      <c r="D70" s="3">
        <v>4.4980000000000002</v>
      </c>
      <c r="E70" s="2">
        <v>-296</v>
      </c>
      <c r="F70" s="3">
        <f t="shared" si="20"/>
        <v>-5.1661745859032155</v>
      </c>
      <c r="I70" s="1">
        <v>69</v>
      </c>
      <c r="J70" s="2">
        <f t="shared" si="8"/>
        <v>1171</v>
      </c>
      <c r="K70" s="2">
        <f t="shared" si="9"/>
        <v>9421.8460000000014</v>
      </c>
      <c r="L70" s="3">
        <f t="shared" si="10"/>
        <v>1.9717934182572703</v>
      </c>
      <c r="M70" s="3">
        <f t="shared" si="11"/>
        <v>-4.0427756202536536</v>
      </c>
      <c r="N70" s="3">
        <f t="shared" si="16"/>
        <v>64.37946991942141</v>
      </c>
      <c r="O70" s="3">
        <f t="shared" si="17"/>
        <v>1.9463479736676133</v>
      </c>
      <c r="P70" s="3">
        <f t="shared" si="18"/>
        <v>-6.0768224116282274</v>
      </c>
      <c r="Q70" s="3">
        <f t="shared" si="19"/>
        <v>18.972851269180826</v>
      </c>
    </row>
    <row r="71" spans="1:17" x14ac:dyDescent="0.2">
      <c r="A71" s="1" t="s">
        <v>24</v>
      </c>
      <c r="B71" s="2">
        <v>10</v>
      </c>
      <c r="C71" s="3">
        <v>138.66900000000001</v>
      </c>
      <c r="D71" s="3">
        <v>4.2220000000000004</v>
      </c>
      <c r="E71" s="2">
        <v>-242</v>
      </c>
      <c r="F71" s="3">
        <f t="shared" si="20"/>
        <v>-4.2236967898262776</v>
      </c>
      <c r="I71" s="1">
        <v>70</v>
      </c>
      <c r="J71" s="2">
        <f t="shared" si="8"/>
        <v>1181</v>
      </c>
      <c r="K71" s="2">
        <f t="shared" si="9"/>
        <v>9560.5150000000012</v>
      </c>
      <c r="L71" s="3">
        <f t="shared" si="10"/>
        <v>-1.9821089380820309</v>
      </c>
      <c r="M71" s="3">
        <f t="shared" si="11"/>
        <v>-3.7278047370503899</v>
      </c>
      <c r="N71" s="3">
        <f t="shared" si="16"/>
        <v>4.3652504648760502</v>
      </c>
      <c r="O71" s="3">
        <f t="shared" si="17"/>
        <v>6.5473888641902027</v>
      </c>
      <c r="P71" s="3">
        <f t="shared" si="18"/>
        <v>10.339577579343473</v>
      </c>
      <c r="Q71" s="3">
        <f t="shared" si="19"/>
        <v>16.328167875283935</v>
      </c>
    </row>
    <row r="72" spans="1:17" x14ac:dyDescent="0.2">
      <c r="A72" s="1" t="s">
        <v>24</v>
      </c>
      <c r="B72" s="2">
        <v>1</v>
      </c>
      <c r="C72" s="3">
        <v>142.61199999999999</v>
      </c>
      <c r="D72" s="3">
        <v>1.19</v>
      </c>
      <c r="E72" s="2">
        <v>-287</v>
      </c>
      <c r="F72" s="3">
        <f t="shared" si="20"/>
        <v>-5.0090949532237259</v>
      </c>
      <c r="I72" s="1">
        <v>71</v>
      </c>
      <c r="J72" s="2">
        <f t="shared" si="8"/>
        <v>1182</v>
      </c>
      <c r="K72" s="2">
        <f t="shared" si="9"/>
        <v>9703.1270000000004</v>
      </c>
      <c r="L72" s="3">
        <f t="shared" si="10"/>
        <v>0.34792232862005668</v>
      </c>
      <c r="M72" s="3">
        <f t="shared" si="11"/>
        <v>-1.1380026595960122</v>
      </c>
      <c r="N72" s="3">
        <f t="shared" si="16"/>
        <v>36.388862646694065</v>
      </c>
      <c r="O72" s="3">
        <f t="shared" si="17"/>
        <v>5.2329002498886508E-2</v>
      </c>
      <c r="P72" s="3">
        <f t="shared" si="18"/>
        <v>0.33192643548636103</v>
      </c>
      <c r="Q72" s="3">
        <f t="shared" si="19"/>
        <v>2.1054320417635668</v>
      </c>
    </row>
    <row r="73" spans="1:17" x14ac:dyDescent="0.2">
      <c r="A73" s="1" t="s">
        <v>24</v>
      </c>
      <c r="B73" s="2">
        <v>2</v>
      </c>
      <c r="C73" s="3">
        <v>156.41200000000001</v>
      </c>
      <c r="D73" s="3">
        <v>1.7030000000000001</v>
      </c>
      <c r="E73" s="2">
        <v>-260</v>
      </c>
      <c r="F73" s="3">
        <f t="shared" si="20"/>
        <v>-4.5378560551852569</v>
      </c>
      <c r="I73" s="1">
        <v>72</v>
      </c>
      <c r="J73" s="2">
        <f t="shared" si="8"/>
        <v>1184</v>
      </c>
      <c r="K73" s="2">
        <f t="shared" si="9"/>
        <v>9859.5390000000007</v>
      </c>
      <c r="L73" s="3">
        <f t="shared" si="10"/>
        <v>-0.29572284656678238</v>
      </c>
      <c r="M73" s="3">
        <f t="shared" si="11"/>
        <v>-1.6771276033797904</v>
      </c>
      <c r="N73" s="3">
        <f t="shared" si="16"/>
        <v>393.32084446487602</v>
      </c>
      <c r="O73" s="3">
        <f t="shared" si="17"/>
        <v>0.7610826471535308</v>
      </c>
      <c r="P73" s="3">
        <f t="shared" si="18"/>
        <v>1.7361953446012091</v>
      </c>
      <c r="Q73" s="3">
        <f t="shared" si="19"/>
        <v>3.9606398672847827</v>
      </c>
    </row>
    <row r="74" spans="1:17" x14ac:dyDescent="0.2">
      <c r="A74" s="1" t="s">
        <v>5</v>
      </c>
      <c r="B74" s="2">
        <v>0</v>
      </c>
      <c r="C74" s="3">
        <v>137.49700000000001</v>
      </c>
      <c r="D74" s="3">
        <v>0.39300000000000002</v>
      </c>
      <c r="E74" s="2">
        <v>-162</v>
      </c>
      <c r="F74" s="3">
        <f t="shared" si="20"/>
        <v>-2.8274333882308138</v>
      </c>
      <c r="I74" s="1">
        <v>73</v>
      </c>
      <c r="J74" s="2">
        <f t="shared" si="8"/>
        <v>1184</v>
      </c>
      <c r="K74" s="2">
        <f t="shared" si="9"/>
        <v>9997.0360000000001</v>
      </c>
      <c r="L74" s="3">
        <f t="shared" si="10"/>
        <v>-0.37376521090399534</v>
      </c>
      <c r="M74" s="3">
        <f t="shared" si="11"/>
        <v>0.12144367878935437</v>
      </c>
      <c r="N74" s="3">
        <f t="shared" si="16"/>
        <v>0.84147264669422772</v>
      </c>
      <c r="O74" s="3">
        <f t="shared" si="17"/>
        <v>0.9033416544425914</v>
      </c>
      <c r="P74" s="3">
        <f t="shared" si="18"/>
        <v>0.18207097898419608</v>
      </c>
      <c r="Q74" s="3">
        <f t="shared" si="19"/>
        <v>3.6696903353492245E-2</v>
      </c>
    </row>
    <row r="75" spans="1:17" x14ac:dyDescent="0.2">
      <c r="A75" s="1" t="s">
        <v>5</v>
      </c>
      <c r="B75" s="2">
        <v>0</v>
      </c>
      <c r="C75" s="3">
        <v>146.80199999999999</v>
      </c>
      <c r="D75" s="3">
        <v>0.88500000000000001</v>
      </c>
      <c r="E75" s="2">
        <v>-81</v>
      </c>
      <c r="F75" s="3">
        <f t="shared" si="20"/>
        <v>-1.4137166941154069</v>
      </c>
      <c r="I75" s="1">
        <v>74</v>
      </c>
      <c r="J75" s="2">
        <f t="shared" si="8"/>
        <v>1184</v>
      </c>
      <c r="K75" s="2">
        <f t="shared" si="9"/>
        <v>10143.838</v>
      </c>
      <c r="L75" s="3">
        <f t="shared" si="10"/>
        <v>0.13844450156060437</v>
      </c>
      <c r="M75" s="3">
        <f t="shared" si="11"/>
        <v>0.87410418142669688</v>
      </c>
      <c r="N75" s="3">
        <f t="shared" si="16"/>
        <v>104.49578901033028</v>
      </c>
      <c r="O75" s="3">
        <f t="shared" si="17"/>
        <v>0.19204830281122398</v>
      </c>
      <c r="P75" s="3">
        <f t="shared" si="18"/>
        <v>-0.24589093660081096</v>
      </c>
      <c r="Q75" s="3">
        <f t="shared" si="19"/>
        <v>0.31482888324119257</v>
      </c>
    </row>
    <row r="76" spans="1:17" x14ac:dyDescent="0.2">
      <c r="A76" s="1" t="s">
        <v>61</v>
      </c>
      <c r="B76" s="2">
        <v>43</v>
      </c>
      <c r="C76" s="3">
        <v>140.649</v>
      </c>
      <c r="D76" s="3">
        <v>9.1460000000000008</v>
      </c>
      <c r="E76" s="2">
        <v>-232</v>
      </c>
      <c r="F76" s="3">
        <f t="shared" si="20"/>
        <v>-4.0491638646268449</v>
      </c>
      <c r="I76" s="1">
        <v>75</v>
      </c>
      <c r="J76" s="2">
        <f t="shared" si="8"/>
        <v>1227</v>
      </c>
      <c r="K76" s="2">
        <f t="shared" si="9"/>
        <v>10284.486999999999</v>
      </c>
      <c r="L76" s="3">
        <f t="shared" si="10"/>
        <v>-5.6308398533284691</v>
      </c>
      <c r="M76" s="3">
        <f t="shared" si="11"/>
        <v>-7.2071463524870811</v>
      </c>
      <c r="N76" s="3">
        <f t="shared" si="16"/>
        <v>16.559350464875983</v>
      </c>
      <c r="O76" s="3">
        <f t="shared" si="17"/>
        <v>38.53327370172898</v>
      </c>
      <c r="P76" s="3">
        <f t="shared" si="18"/>
        <v>46.68149009015174</v>
      </c>
      <c r="Q76" s="3">
        <f t="shared" si="19"/>
        <v>56.552722042382733</v>
      </c>
    </row>
    <row r="77" spans="1:17" x14ac:dyDescent="0.2">
      <c r="A77" s="1" t="s">
        <v>61</v>
      </c>
      <c r="B77" s="2">
        <v>33</v>
      </c>
      <c r="C77" s="3">
        <v>144.965</v>
      </c>
      <c r="D77" s="3">
        <v>6.5179999999999998</v>
      </c>
      <c r="E77" s="2">
        <v>-236</v>
      </c>
      <c r="F77" s="3">
        <f t="shared" si="20"/>
        <v>-4.1189770347066172</v>
      </c>
      <c r="I77" s="1">
        <v>76</v>
      </c>
      <c r="J77" s="2">
        <f t="shared" si="8"/>
        <v>1260</v>
      </c>
      <c r="K77" s="2">
        <f t="shared" si="9"/>
        <v>10429.451999999999</v>
      </c>
      <c r="L77" s="3">
        <f t="shared" si="10"/>
        <v>-3.6448193448223303</v>
      </c>
      <c r="M77" s="3">
        <f t="shared" si="11"/>
        <v>-5.4036668979137596</v>
      </c>
      <c r="N77" s="3">
        <f t="shared" si="16"/>
        <v>70.313561010330517</v>
      </c>
      <c r="O77" s="3">
        <f t="shared" si="17"/>
        <v>17.8210369776709</v>
      </c>
      <c r="P77" s="3">
        <f t="shared" si="18"/>
        <v>24.132926126264397</v>
      </c>
      <c r="Q77" s="3">
        <f t="shared" si="19"/>
        <v>32.680372311973656</v>
      </c>
    </row>
    <row r="78" spans="1:17" x14ac:dyDescent="0.2">
      <c r="A78" s="1" t="s">
        <v>24</v>
      </c>
      <c r="B78" s="2">
        <v>9</v>
      </c>
      <c r="C78" s="3">
        <v>129.75800000000001</v>
      </c>
      <c r="D78" s="3">
        <v>3.3959999999999999</v>
      </c>
      <c r="E78" s="2">
        <v>-135</v>
      </c>
      <c r="F78" s="3">
        <f t="shared" si="20"/>
        <v>-2.3561944901923448</v>
      </c>
      <c r="I78" s="1">
        <v>77</v>
      </c>
      <c r="J78" s="2">
        <f t="shared" si="8"/>
        <v>1269</v>
      </c>
      <c r="K78" s="2">
        <f t="shared" si="9"/>
        <v>10559.21</v>
      </c>
      <c r="L78" s="3">
        <f t="shared" si="10"/>
        <v>-2.401334628909515</v>
      </c>
      <c r="M78" s="3">
        <f t="shared" si="11"/>
        <v>2.4013346289095154</v>
      </c>
      <c r="N78" s="3">
        <f t="shared" si="16"/>
        <v>46.535342828512363</v>
      </c>
      <c r="O78" s="3">
        <f t="shared" si="17"/>
        <v>8.8685572041457323</v>
      </c>
      <c r="P78" s="3">
        <f t="shared" si="18"/>
        <v>-6.2190622577765993</v>
      </c>
      <c r="Q78" s="3">
        <f t="shared" si="19"/>
        <v>4.361107954292879</v>
      </c>
    </row>
    <row r="79" spans="1:17" x14ac:dyDescent="0.2">
      <c r="A79" s="1" t="s">
        <v>24</v>
      </c>
      <c r="B79" s="2">
        <v>25</v>
      </c>
      <c r="C79" s="3">
        <v>136.18199999999999</v>
      </c>
      <c r="D79" s="3">
        <v>4.79</v>
      </c>
      <c r="E79" s="2">
        <v>-228</v>
      </c>
      <c r="F79" s="3">
        <f t="shared" si="20"/>
        <v>-3.9793506945470711</v>
      </c>
      <c r="I79" s="1">
        <v>78</v>
      </c>
      <c r="J79" s="2">
        <f t="shared" si="8"/>
        <v>1294</v>
      </c>
      <c r="K79" s="2">
        <f t="shared" si="9"/>
        <v>10695.392</v>
      </c>
      <c r="L79" s="3">
        <f t="shared" si="10"/>
        <v>-3.2051356044589321</v>
      </c>
      <c r="M79" s="3">
        <f t="shared" si="11"/>
        <v>-3.5596637140367173</v>
      </c>
      <c r="N79" s="3">
        <f t="shared" si="16"/>
        <v>0.15815082851241194</v>
      </c>
      <c r="O79" s="3">
        <f t="shared" si="17"/>
        <v>14.302111581523581</v>
      </c>
      <c r="P79" s="3">
        <f t="shared" si="18"/>
        <v>14.64572140444688</v>
      </c>
      <c r="Q79" s="3">
        <f t="shared" si="19"/>
        <v>14.997586491618144</v>
      </c>
    </row>
    <row r="80" spans="1:17" x14ac:dyDescent="0.2">
      <c r="A80" s="1" t="s">
        <v>24</v>
      </c>
      <c r="B80" s="2">
        <v>32</v>
      </c>
      <c r="C80" s="3">
        <v>140.90299999999999</v>
      </c>
      <c r="D80" s="3">
        <v>7.306</v>
      </c>
      <c r="E80" s="2">
        <v>-258</v>
      </c>
      <c r="F80" s="3">
        <f t="shared" si="20"/>
        <v>-4.5029494701453698</v>
      </c>
      <c r="I80" s="1">
        <v>79</v>
      </c>
      <c r="J80" s="2">
        <f t="shared" si="8"/>
        <v>1326</v>
      </c>
      <c r="K80" s="2">
        <f t="shared" si="9"/>
        <v>10836.295</v>
      </c>
      <c r="L80" s="3">
        <f t="shared" si="10"/>
        <v>-1.519002813114553</v>
      </c>
      <c r="M80" s="3">
        <f t="shared" si="11"/>
        <v>-7.1463463709611839</v>
      </c>
      <c r="N80" s="3">
        <f t="shared" si="16"/>
        <v>18.691080101239535</v>
      </c>
      <c r="O80" s="3">
        <f t="shared" si="17"/>
        <v>4.391876653310212</v>
      </c>
      <c r="P80" s="3">
        <f t="shared" si="18"/>
        <v>15.632423388986419</v>
      </c>
      <c r="Q80" s="3">
        <f t="shared" si="19"/>
        <v>55.641968184225519</v>
      </c>
    </row>
    <row r="81" spans="1:17" x14ac:dyDescent="0.2">
      <c r="A81" s="1" t="s">
        <v>24</v>
      </c>
      <c r="B81" s="2">
        <v>34</v>
      </c>
      <c r="C81" s="3">
        <v>134.59399999999999</v>
      </c>
      <c r="D81" s="3">
        <v>8.1219999999999999</v>
      </c>
      <c r="E81" s="2">
        <v>-328</v>
      </c>
      <c r="F81" s="3">
        <f t="shared" si="20"/>
        <v>-5.7246799465414</v>
      </c>
      <c r="I81" s="1">
        <v>80</v>
      </c>
      <c r="J81" s="2">
        <f t="shared" si="8"/>
        <v>1360</v>
      </c>
      <c r="K81" s="2">
        <f t="shared" si="9"/>
        <v>10970.888999999999</v>
      </c>
      <c r="L81" s="3">
        <f t="shared" si="10"/>
        <v>6.8878466369824869</v>
      </c>
      <c r="M81" s="3">
        <f t="shared" si="11"/>
        <v>-4.3040042641020975</v>
      </c>
      <c r="N81" s="3">
        <f t="shared" si="16"/>
        <v>3.9429322830579028</v>
      </c>
      <c r="O81" s="3">
        <f t="shared" si="17"/>
        <v>39.830853832185305</v>
      </c>
      <c r="P81" s="3">
        <f t="shared" si="18"/>
        <v>-29.138744792618876</v>
      </c>
      <c r="Q81" s="3">
        <f t="shared" si="19"/>
        <v>21.316802588933857</v>
      </c>
    </row>
    <row r="82" spans="1:17" x14ac:dyDescent="0.2">
      <c r="A82" s="1" t="s">
        <v>61</v>
      </c>
      <c r="B82" s="2">
        <v>5</v>
      </c>
      <c r="C82" s="3">
        <v>132.76499999999999</v>
      </c>
      <c r="D82" s="3">
        <v>3.2050000000000001</v>
      </c>
      <c r="E82" s="2">
        <v>-109</v>
      </c>
      <c r="F82" s="3">
        <f t="shared" si="20"/>
        <v>-1.902408884673819</v>
      </c>
      <c r="I82" s="1">
        <v>81</v>
      </c>
      <c r="J82" s="2">
        <f t="shared" si="8"/>
        <v>1365</v>
      </c>
      <c r="K82" s="2">
        <f t="shared" si="9"/>
        <v>11103.653999999999</v>
      </c>
      <c r="L82" s="3">
        <f t="shared" si="10"/>
        <v>-1.0434459350351863</v>
      </c>
      <c r="M82" s="3">
        <f t="shared" si="11"/>
        <v>3.0303870347958104</v>
      </c>
      <c r="N82" s="3">
        <f t="shared" si="16"/>
        <v>14.5517973739671</v>
      </c>
      <c r="O82" s="3">
        <f t="shared" si="17"/>
        <v>2.624800469309863</v>
      </c>
      <c r="P82" s="3">
        <f t="shared" si="18"/>
        <v>-4.4024898360434097</v>
      </c>
      <c r="Q82" s="3">
        <f t="shared" si="19"/>
        <v>7.3841486174229463</v>
      </c>
    </row>
    <row r="83" spans="1:17" x14ac:dyDescent="0.2">
      <c r="A83" s="1" t="s">
        <v>61</v>
      </c>
      <c r="B83" s="2">
        <v>2</v>
      </c>
      <c r="C83" s="3">
        <v>129.279</v>
      </c>
      <c r="D83" s="3">
        <v>1.6579999999999999</v>
      </c>
      <c r="E83" s="2">
        <v>-38</v>
      </c>
      <c r="F83" s="3">
        <f t="shared" si="20"/>
        <v>-0.66322511575784515</v>
      </c>
      <c r="I83" s="1">
        <v>82</v>
      </c>
      <c r="J83" s="2">
        <f t="shared" si="8"/>
        <v>1367</v>
      </c>
      <c r="K83" s="2">
        <f t="shared" si="9"/>
        <v>11232.932999999999</v>
      </c>
      <c r="L83" s="3">
        <f t="shared" si="10"/>
        <v>1.306521829479945</v>
      </c>
      <c r="M83" s="3">
        <f t="shared" si="11"/>
        <v>1.0207667260899411</v>
      </c>
      <c r="N83" s="3">
        <f t="shared" si="16"/>
        <v>53.299955010330734</v>
      </c>
      <c r="O83" s="3">
        <f t="shared" si="17"/>
        <v>0.53267250896683471</v>
      </c>
      <c r="P83" s="3">
        <f t="shared" si="18"/>
        <v>0.51655355126218816</v>
      </c>
      <c r="Q83" s="3">
        <f t="shared" si="19"/>
        <v>0.50092236192011041</v>
      </c>
    </row>
    <row r="84" spans="1:17" x14ac:dyDescent="0.2">
      <c r="A84" s="1" t="s">
        <v>24</v>
      </c>
      <c r="B84" s="2">
        <v>5</v>
      </c>
      <c r="C84" s="3">
        <v>134.26300000000001</v>
      </c>
      <c r="D84" s="3">
        <v>5.1769999999999996</v>
      </c>
      <c r="E84" s="2">
        <v>-298</v>
      </c>
      <c r="F84" s="3">
        <f t="shared" si="20"/>
        <v>-5.2010811709431017</v>
      </c>
      <c r="I84" s="1">
        <v>83</v>
      </c>
      <c r="J84" s="2">
        <f t="shared" ref="J84:J89" si="21">J83+B84</f>
        <v>1372</v>
      </c>
      <c r="K84" s="2">
        <f t="shared" ref="K84:K89" si="22">K83+C84</f>
        <v>11367.196</v>
      </c>
      <c r="L84" s="3">
        <f t="shared" ref="L84:L89" si="23">D84*COS(F84)</f>
        <v>2.4304542805425546</v>
      </c>
      <c r="M84" s="3">
        <f t="shared" ref="M84:M89" si="24">-D84*SIN(F84)</f>
        <v>-4.5710196882306651</v>
      </c>
      <c r="N84" s="3">
        <f t="shared" si="16"/>
        <v>5.3670146466942237</v>
      </c>
      <c r="O84" s="3">
        <f t="shared" si="17"/>
        <v>3.436487751867408</v>
      </c>
      <c r="P84" s="3">
        <f t="shared" si="18"/>
        <v>-9.0538964019708299</v>
      </c>
      <c r="Q84" s="3">
        <f t="shared" si="19"/>
        <v>23.853726821251062</v>
      </c>
    </row>
    <row r="85" spans="1:17" x14ac:dyDescent="0.2">
      <c r="A85" s="1" t="s">
        <v>24</v>
      </c>
      <c r="B85" s="2">
        <v>16</v>
      </c>
      <c r="C85" s="3">
        <v>131.453</v>
      </c>
      <c r="D85" s="3">
        <v>6.5819999999999999</v>
      </c>
      <c r="E85" s="2">
        <v>-266</v>
      </c>
      <c r="F85" s="3">
        <f t="shared" si="20"/>
        <v>-4.6425758103049164</v>
      </c>
      <c r="I85" s="1">
        <v>84</v>
      </c>
      <c r="J85" s="2">
        <f t="shared" si="21"/>
        <v>1388</v>
      </c>
      <c r="K85" s="2">
        <f t="shared" si="22"/>
        <v>11498.648999999999</v>
      </c>
      <c r="L85" s="3">
        <f t="shared" si="23"/>
        <v>-0.45913711018383457</v>
      </c>
      <c r="M85" s="3">
        <f t="shared" si="24"/>
        <v>-6.5659665788101629</v>
      </c>
      <c r="N85" s="3">
        <f t="shared" si="16"/>
        <v>26.282866464876076</v>
      </c>
      <c r="O85" s="3">
        <f t="shared" si="17"/>
        <v>1.0729122420438506</v>
      </c>
      <c r="P85" s="3">
        <f t="shared" si="18"/>
        <v>7.1253435238142488</v>
      </c>
      <c r="Q85" s="3">
        <f t="shared" si="19"/>
        <v>47.320291765565145</v>
      </c>
    </row>
    <row r="86" spans="1:17" x14ac:dyDescent="0.2">
      <c r="A86" s="1" t="s">
        <v>5</v>
      </c>
      <c r="B86" s="2">
        <v>27</v>
      </c>
      <c r="C86" s="3">
        <v>124.18300000000001</v>
      </c>
      <c r="D86" s="3">
        <v>6.3070000000000004</v>
      </c>
      <c r="E86" s="2">
        <v>-22</v>
      </c>
      <c r="F86" s="3">
        <f t="shared" si="20"/>
        <v>-0.38397243543875248</v>
      </c>
      <c r="I86" s="1">
        <v>85</v>
      </c>
      <c r="J86" s="2">
        <f t="shared" si="21"/>
        <v>1415</v>
      </c>
      <c r="K86" s="2">
        <f t="shared" si="22"/>
        <v>11622.832</v>
      </c>
      <c r="L86" s="3">
        <f t="shared" si="23"/>
        <v>5.8477485707527288</v>
      </c>
      <c r="M86" s="3">
        <f t="shared" si="24"/>
        <v>2.362643784674157</v>
      </c>
      <c r="N86" s="3">
        <f t="shared" si="16"/>
        <v>153.67772010123969</v>
      </c>
      <c r="O86" s="3">
        <f t="shared" si="17"/>
        <v>27.784188526271773</v>
      </c>
      <c r="P86" s="3">
        <f t="shared" si="18"/>
        <v>10.803775363101225</v>
      </c>
      <c r="Q86" s="3">
        <f t="shared" si="19"/>
        <v>4.2010066979636687</v>
      </c>
    </row>
    <row r="87" spans="1:17" x14ac:dyDescent="0.2">
      <c r="A87" s="1" t="s">
        <v>5</v>
      </c>
      <c r="B87" s="2">
        <v>32</v>
      </c>
      <c r="C87" s="3">
        <v>114.07</v>
      </c>
      <c r="D87" s="3">
        <v>6.2880000000000003</v>
      </c>
      <c r="E87" s="2">
        <v>-18</v>
      </c>
      <c r="F87" s="3">
        <f t="shared" si="20"/>
        <v>-0.31415926535897931</v>
      </c>
      <c r="I87" s="1">
        <v>86</v>
      </c>
      <c r="J87" s="2">
        <f t="shared" si="21"/>
        <v>1447</v>
      </c>
      <c r="K87" s="2">
        <f t="shared" si="22"/>
        <v>11736.902</v>
      </c>
      <c r="L87" s="3">
        <f t="shared" si="23"/>
        <v>5.9802433744639254</v>
      </c>
      <c r="M87" s="3">
        <f t="shared" si="24"/>
        <v>1.9430988606296693</v>
      </c>
      <c r="N87" s="3">
        <f t="shared" si="16"/>
        <v>506.68577555578577</v>
      </c>
      <c r="O87" s="3">
        <f t="shared" si="17"/>
        <v>29.198522410117697</v>
      </c>
      <c r="P87" s="3">
        <f t="shared" si="18"/>
        <v>8.8083028827112066</v>
      </c>
      <c r="Q87" s="3">
        <f t="shared" si="19"/>
        <v>2.6571960931383929</v>
      </c>
    </row>
    <row r="88" spans="1:17" x14ac:dyDescent="0.2">
      <c r="A88" s="1" t="s">
        <v>61</v>
      </c>
      <c r="B88" s="2">
        <v>6</v>
      </c>
      <c r="C88" s="3">
        <v>144.28</v>
      </c>
      <c r="D88" s="3">
        <v>3.0459999999999998</v>
      </c>
      <c r="E88" s="2">
        <v>-64</v>
      </c>
      <c r="F88" s="3">
        <f t="shared" si="20"/>
        <v>-1.1170107212763709</v>
      </c>
      <c r="I88" s="1">
        <v>87</v>
      </c>
      <c r="J88" s="2">
        <f t="shared" si="21"/>
        <v>1453</v>
      </c>
      <c r="K88" s="2">
        <f t="shared" si="22"/>
        <v>11881.182000000001</v>
      </c>
      <c r="L88" s="3">
        <f t="shared" si="23"/>
        <v>1.3352785131195299</v>
      </c>
      <c r="M88" s="3">
        <f t="shared" si="24"/>
        <v>2.7377266650272625</v>
      </c>
      <c r="N88" s="3">
        <f t="shared" si="16"/>
        <v>59.294900101239577</v>
      </c>
      <c r="O88" s="3">
        <f t="shared" si="17"/>
        <v>0.57547525148801237</v>
      </c>
      <c r="P88" s="3">
        <f t="shared" si="18"/>
        <v>1.8393936151831929</v>
      </c>
      <c r="Q88" s="3">
        <f t="shared" si="19"/>
        <v>5.8792604248893134</v>
      </c>
    </row>
    <row r="89" spans="1:17" x14ac:dyDescent="0.2">
      <c r="A89" s="1" t="s">
        <v>61</v>
      </c>
      <c r="B89" s="2">
        <v>10</v>
      </c>
      <c r="C89" s="3">
        <v>137.83000000000001</v>
      </c>
      <c r="D89" s="3">
        <v>5.8730000000000002</v>
      </c>
      <c r="E89" s="2">
        <v>-137</v>
      </c>
      <c r="F89" s="3">
        <f t="shared" si="20"/>
        <v>-2.3911010752322315</v>
      </c>
      <c r="I89" s="1">
        <v>88</v>
      </c>
      <c r="J89" s="2">
        <f t="shared" si="21"/>
        <v>1463</v>
      </c>
      <c r="K89" s="2">
        <f t="shared" si="22"/>
        <v>12019.012000000001</v>
      </c>
      <c r="L89" s="3">
        <f t="shared" si="23"/>
        <v>-4.2952402896093886</v>
      </c>
      <c r="M89" s="3">
        <f t="shared" si="24"/>
        <v>4.0053763686470543</v>
      </c>
      <c r="N89" s="3">
        <f t="shared" si="16"/>
        <v>1.5632955557851373</v>
      </c>
      <c r="O89" s="3">
        <f t="shared" si="17"/>
        <v>23.73558452613015</v>
      </c>
      <c r="P89" s="3">
        <f t="shared" si="18"/>
        <v>-17.988915558280556</v>
      </c>
      <c r="Q89" s="3">
        <f t="shared" si="19"/>
        <v>13.633583896225547</v>
      </c>
    </row>
    <row r="102" spans="8:18" ht="17" x14ac:dyDescent="0.2">
      <c r="H102" t="s">
        <v>96</v>
      </c>
      <c r="I102" s="1">
        <f>MAX(I2:I100)</f>
        <v>88</v>
      </c>
      <c r="O102" s="3">
        <f>SUM(O2:O100)/(I102-1)</f>
        <v>19.732700414045297</v>
      </c>
      <c r="R102" t="s">
        <v>106</v>
      </c>
    </row>
    <row r="103" spans="8:18" x14ac:dyDescent="0.2">
      <c r="H103" t="s">
        <v>98</v>
      </c>
      <c r="J103" s="1">
        <f>MAX(J2:J100)/I102</f>
        <v>16.625</v>
      </c>
      <c r="P103" s="3">
        <f>SUM(P2:P100)/(I102-1)</f>
        <v>0.51387351903750811</v>
      </c>
      <c r="R103" t="s">
        <v>107</v>
      </c>
    </row>
    <row r="104" spans="8:18" ht="17" x14ac:dyDescent="0.2">
      <c r="H104" t="s">
        <v>99</v>
      </c>
      <c r="K104" s="1">
        <f>MAX(K2:K100)/I102</f>
        <v>136.57968181818183</v>
      </c>
      <c r="Q104" s="3">
        <f>SUM(Q2:Q100)/(I102-1)</f>
        <v>21.264413886944883</v>
      </c>
      <c r="R104" t="s">
        <v>108</v>
      </c>
    </row>
    <row r="105" spans="8:18" x14ac:dyDescent="0.2">
      <c r="H105" t="s">
        <v>100</v>
      </c>
      <c r="L105" s="3">
        <f>SUM(L2:L100)/I102</f>
        <v>0.576677661888784</v>
      </c>
      <c r="O105" s="3" t="s">
        <v>109</v>
      </c>
    </row>
    <row r="106" spans="8:18" x14ac:dyDescent="0.2">
      <c r="H106" t="s">
        <v>101</v>
      </c>
      <c r="M106" s="3">
        <f>SUM(M2:M100)/I102</f>
        <v>0.31300803704394264</v>
      </c>
      <c r="O106" s="3">
        <f>O102</f>
        <v>19.732700414045297</v>
      </c>
      <c r="P106" s="3">
        <f>P103</f>
        <v>0.51387351903750811</v>
      </c>
    </row>
    <row r="107" spans="8:18" x14ac:dyDescent="0.2">
      <c r="H107" t="s">
        <v>110</v>
      </c>
      <c r="L107" s="3">
        <f>SQRT(L105^2+M106^2)</f>
        <v>0.65614873083441749</v>
      </c>
      <c r="O107" s="3">
        <f>P103</f>
        <v>0.51387351903750811</v>
      </c>
      <c r="P107" s="3">
        <f>Q104</f>
        <v>21.264413886944883</v>
      </c>
    </row>
    <row r="108" spans="8:18" x14ac:dyDescent="0.2">
      <c r="H108" t="s">
        <v>111</v>
      </c>
      <c r="M108" s="3">
        <f>ATAN(ABS(M106/L105))</f>
        <v>0.4972817050106576</v>
      </c>
      <c r="O108" s="4" t="s">
        <v>112</v>
      </c>
    </row>
    <row r="109" spans="8:18" x14ac:dyDescent="0.2">
      <c r="H109" t="s">
        <v>113</v>
      </c>
      <c r="M109" s="5">
        <f>IF(L105*M106&gt;0,-1,1)</f>
        <v>-1</v>
      </c>
      <c r="N109" s="5"/>
      <c r="O109" s="3">
        <f t="array" ref="O109:P110">MINVERSE(O106:P107)</f>
        <v>5.0709213475740852E-2</v>
      </c>
      <c r="P109" s="3">
        <v>-1.2254333514643146E-3</v>
      </c>
    </row>
    <row r="110" spans="8:18" x14ac:dyDescent="0.2">
      <c r="H110" t="s">
        <v>114</v>
      </c>
      <c r="M110" s="3">
        <f>IF(L105&lt;0,-PI(),0)</f>
        <v>0</v>
      </c>
      <c r="O110" s="3">
        <v>-1.2254333514643146E-3</v>
      </c>
      <c r="P110" s="3">
        <v>4.7056538829080612E-2</v>
      </c>
    </row>
    <row r="111" spans="8:18" x14ac:dyDescent="0.2">
      <c r="H111" t="s">
        <v>115</v>
      </c>
      <c r="M111" s="3">
        <f>M110+M109*M108</f>
        <v>-0.4972817050106576</v>
      </c>
    </row>
    <row r="112" spans="8:18" x14ac:dyDescent="0.2">
      <c r="H112" t="s">
        <v>115</v>
      </c>
      <c r="M112" s="3">
        <f>M111*180/PI()</f>
        <v>-28.492142926180282</v>
      </c>
      <c r="Q112" s="3">
        <f>P103/SQRT((O102*Q104))</f>
        <v>2.5086280190052868E-2</v>
      </c>
      <c r="R112" t="s">
        <v>116</v>
      </c>
    </row>
    <row r="113" spans="8:19" x14ac:dyDescent="0.2">
      <c r="Q113" s="3">
        <f>(L105^2/O102) - 2*Q112*L105*M106/SQRT(O102*Q104) + (M106^2/Q104)</f>
        <v>2.1018400363055325E-2</v>
      </c>
      <c r="R113" t="s">
        <v>117</v>
      </c>
    </row>
    <row r="114" spans="8:19" ht="17" x14ac:dyDescent="0.2">
      <c r="H114" t="s">
        <v>118</v>
      </c>
      <c r="N114" s="3">
        <f>SUM(N2:N100)/(I102-1)</f>
        <v>90.615992748171365</v>
      </c>
      <c r="Q114" s="3">
        <f>(I102*(I102-2))/((2*(I102-1))*(1-Q112^2))</f>
        <v>43.521641976562535</v>
      </c>
      <c r="R114" t="s">
        <v>119</v>
      </c>
    </row>
    <row r="115" spans="8:19" x14ac:dyDescent="0.2">
      <c r="H115" t="s">
        <v>120</v>
      </c>
      <c r="N115" s="3">
        <f>SQRT(N114)</f>
        <v>9.5192432865313066</v>
      </c>
      <c r="Q115" s="3">
        <f>Q114*Q113</f>
        <v>0.91475529552094581</v>
      </c>
      <c r="R115" t="s">
        <v>121</v>
      </c>
      <c r="S115" s="3"/>
    </row>
    <row r="116" spans="8:19" x14ac:dyDescent="0.2">
      <c r="H116" t="s">
        <v>122</v>
      </c>
      <c r="N116" s="3">
        <f>_xlfn.T.INV(1-0.05/2,I102-1)</f>
        <v>1.9876082815890699</v>
      </c>
      <c r="Q116" s="3">
        <f>FDIST(Q115,2,I102-2)</f>
        <v>0.40447669620977711</v>
      </c>
      <c r="R116" t="s">
        <v>123</v>
      </c>
      <c r="S116" s="1"/>
    </row>
    <row r="117" spans="8:19" x14ac:dyDescent="0.2">
      <c r="H117" s="6" t="s">
        <v>124</v>
      </c>
      <c r="N117" s="3">
        <f>N116*N115/SQRT(I102)</f>
        <v>2.0169349328089243</v>
      </c>
      <c r="Q117" s="3">
        <f>(1+2*Q115/(I102-2))^(-(I102-2)/2)</f>
        <v>0.40447669620977666</v>
      </c>
      <c r="R117" t="s">
        <v>123</v>
      </c>
    </row>
    <row r="120" spans="8:19" x14ac:dyDescent="0.2">
      <c r="Q120" s="7">
        <f>(O102*L105^2 +2*P103*L105*M106 +Q104*M106^2)/(I102*L107^2)</f>
        <v>0.23309271991500216</v>
      </c>
      <c r="R120" t="s">
        <v>125</v>
      </c>
    </row>
    <row r="121" spans="8:19" x14ac:dyDescent="0.2">
      <c r="Q121" s="3">
        <f>(-(O102-Q104)*L105*M106 + P103*(L105^2-M106^2))/(I102*L107^2)</f>
        <v>1.0479327805955301E-2</v>
      </c>
      <c r="R121" t="s">
        <v>126</v>
      </c>
    </row>
    <row r="122" spans="8:19" x14ac:dyDescent="0.2">
      <c r="H122" s="6" t="s">
        <v>127</v>
      </c>
      <c r="N122" s="3">
        <f>N116*SQRT(Q120)</f>
        <v>0.95961085589103978</v>
      </c>
      <c r="Q122" s="3">
        <f>(O102*M106^2 - 2*P103*L105*M106 + Q104*L105^2)/(I102*L107^2)</f>
        <v>0.23278357895988624</v>
      </c>
      <c r="R122" t="s">
        <v>128</v>
      </c>
    </row>
    <row r="123" spans="8:19" x14ac:dyDescent="0.2">
      <c r="H123" t="s">
        <v>129</v>
      </c>
      <c r="N123" s="3">
        <f>L107-N122</f>
        <v>-0.30346212505662229</v>
      </c>
    </row>
    <row r="124" spans="8:19" x14ac:dyDescent="0.2">
      <c r="H124" t="s">
        <v>130</v>
      </c>
      <c r="N124" s="3">
        <f>L107+N122</f>
        <v>1.6157595867254573</v>
      </c>
      <c r="Q124" s="3">
        <f>L107^2-N116^2*Q120</f>
        <v>-0.49032183776831706</v>
      </c>
      <c r="R124" t="s">
        <v>131</v>
      </c>
    </row>
    <row r="125" spans="8:19" x14ac:dyDescent="0.2">
      <c r="Q125" s="3">
        <f>N116^2*Q121</f>
        <v>4.1399492856474387E-2</v>
      </c>
      <c r="R125" t="s">
        <v>132</v>
      </c>
    </row>
    <row r="126" spans="8:19" x14ac:dyDescent="0.2">
      <c r="Q126" s="3">
        <f>N116*SQRT(Q122)</f>
        <v>0.95897429924064626</v>
      </c>
      <c r="R126" t="s">
        <v>133</v>
      </c>
    </row>
    <row r="127" spans="8:19" x14ac:dyDescent="0.2">
      <c r="O127" s="3" t="s">
        <v>134</v>
      </c>
      <c r="P127" s="3" t="e">
        <f>SQRT(Q127)</f>
        <v>#NUM!</v>
      </c>
      <c r="Q127" s="3">
        <f>L107^2 - (Q120*Q122-Q121^2)*N116^2/Q122</f>
        <v>-0.48845813733643195</v>
      </c>
      <c r="R127" t="s">
        <v>135</v>
      </c>
    </row>
    <row r="128" spans="8:19" x14ac:dyDescent="0.2">
      <c r="O128" s="3" t="s">
        <v>136</v>
      </c>
      <c r="P128" s="3" t="e">
        <f>(Q125+Q126*SQRT(Q127))/Q124</f>
        <v>#NUM!</v>
      </c>
      <c r="Q128" s="7" t="e">
        <f>(Q125+Q126*SQRT(Q127))/Q124</f>
        <v>#NUM!</v>
      </c>
      <c r="R128" t="s">
        <v>137</v>
      </c>
    </row>
    <row r="129" spans="15:18" x14ac:dyDescent="0.2">
      <c r="O129" s="3" t="s">
        <v>138</v>
      </c>
      <c r="P129" s="3" t="e">
        <f>(Q125-Q126*SQRT(Q127))/Q124</f>
        <v>#NUM!</v>
      </c>
      <c r="Q129" s="7" t="e">
        <f>(Q125-Q126*SQRT(Q127))/Q124</f>
        <v>#NUM!</v>
      </c>
      <c r="R129" t="s">
        <v>139</v>
      </c>
    </row>
    <row r="131" spans="15:18" x14ac:dyDescent="0.2">
      <c r="Q131" s="3" t="e">
        <f>ATAN(Q128)</f>
        <v>#NUM!</v>
      </c>
      <c r="R131" t="s">
        <v>140</v>
      </c>
    </row>
    <row r="132" spans="15:18" x14ac:dyDescent="0.2">
      <c r="Q132" s="3" t="e">
        <f>ATAN(Q129)</f>
        <v>#NUM!</v>
      </c>
      <c r="R132" t="s">
        <v>141</v>
      </c>
    </row>
    <row r="133" spans="15:18" x14ac:dyDescent="0.2">
      <c r="Q133" s="3" t="e">
        <f>Q131*180/PI()</f>
        <v>#NUM!</v>
      </c>
      <c r="R133" t="s">
        <v>140</v>
      </c>
    </row>
    <row r="134" spans="15:18" x14ac:dyDescent="0.2">
      <c r="Q134" s="3" t="e">
        <f>Q132*180/PI()</f>
        <v>#NUM!</v>
      </c>
      <c r="R134" t="s">
        <v>141</v>
      </c>
    </row>
    <row r="136" spans="15:18" x14ac:dyDescent="0.2">
      <c r="Q136" s="3" t="e">
        <f>ATAN(P128)</f>
        <v>#NUM!</v>
      </c>
      <c r="R136" t="s">
        <v>142</v>
      </c>
    </row>
    <row r="137" spans="15:18" x14ac:dyDescent="0.2">
      <c r="Q137" s="3" t="e">
        <f>Q122*COS(Q136)+Q121*SIN(Q136)</f>
        <v>#NUM!</v>
      </c>
      <c r="R137" t="s">
        <v>143</v>
      </c>
    </row>
    <row r="138" spans="15:18" x14ac:dyDescent="0.2">
      <c r="Q138" s="3" t="e">
        <f>IF(Q137&lt;0,Q136+PI(),Q136)</f>
        <v>#NUM!</v>
      </c>
      <c r="R138" t="s">
        <v>142</v>
      </c>
    </row>
    <row r="139" spans="15:18" x14ac:dyDescent="0.2">
      <c r="Q139" s="3" t="e">
        <f>Q138*180/PI()</f>
        <v>#NUM!</v>
      </c>
      <c r="R139" t="s">
        <v>142</v>
      </c>
    </row>
    <row r="140" spans="15:18" x14ac:dyDescent="0.2">
      <c r="Q140" s="3" t="e">
        <f>Q139+M112</f>
        <v>#NUM!</v>
      </c>
      <c r="R140" t="s">
        <v>144</v>
      </c>
    </row>
    <row r="141" spans="15:18" x14ac:dyDescent="0.2">
      <c r="Q141" s="3" t="e">
        <f>IF(Q140&gt;0,Q140-360,Q140)</f>
        <v>#NUM!</v>
      </c>
      <c r="R141" t="s">
        <v>145</v>
      </c>
    </row>
    <row r="143" spans="15:18" x14ac:dyDescent="0.2">
      <c r="Q143" s="3" t="e">
        <f>ATAN(P129)</f>
        <v>#NUM!</v>
      </c>
      <c r="R143" t="s">
        <v>146</v>
      </c>
    </row>
    <row r="144" spans="15:18" x14ac:dyDescent="0.2">
      <c r="Q144" s="3" t="e">
        <f>Q122*COS(Q136)+Q121*SIN(Q136)</f>
        <v>#NUM!</v>
      </c>
      <c r="R144" t="s">
        <v>147</v>
      </c>
    </row>
    <row r="145" spans="17:18" x14ac:dyDescent="0.2">
      <c r="Q145" s="3" t="e">
        <f>IF(Q144&lt;0,Q143+PI(),Q143)</f>
        <v>#NUM!</v>
      </c>
      <c r="R145" t="s">
        <v>146</v>
      </c>
    </row>
    <row r="146" spans="17:18" x14ac:dyDescent="0.2">
      <c r="Q146" s="3" t="e">
        <f>Q145*180/PI()</f>
        <v>#NUM!</v>
      </c>
      <c r="R146" t="s">
        <v>146</v>
      </c>
    </row>
    <row r="147" spans="17:18" x14ac:dyDescent="0.2">
      <c r="Q147" s="3" t="e">
        <f>Q146+M112</f>
        <v>#NUM!</v>
      </c>
      <c r="R147" t="s">
        <v>148</v>
      </c>
    </row>
    <row r="148" spans="17:18" x14ac:dyDescent="0.2">
      <c r="Q148" s="3" t="e">
        <f>IF(Q147&gt;0,Q147-360,Q147)</f>
        <v>#NUM!</v>
      </c>
      <c r="R148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workbookViewId="0">
      <selection activeCell="M8" sqref="M8"/>
    </sheetView>
  </sheetViews>
  <sheetFormatPr baseColWidth="10" defaultColWidth="8.83203125" defaultRowHeight="15" x14ac:dyDescent="0.2"/>
  <cols>
    <col min="1" max="1" width="11" customWidth="1"/>
    <col min="2" max="2" width="6.1640625" style="1" customWidth="1"/>
    <col min="3" max="3" width="8" style="3" customWidth="1"/>
    <col min="4" max="4" width="8" style="1" customWidth="1"/>
    <col min="5" max="5" width="5.5" style="1" customWidth="1"/>
    <col min="6" max="6" width="6.6640625" style="2" customWidth="1"/>
    <col min="7" max="8" width="8.83203125" style="3"/>
    <col min="9" max="9" width="7.5" style="2" customWidth="1"/>
    <col min="10" max="10" width="1.83203125" customWidth="1"/>
  </cols>
  <sheetData>
    <row r="1" spans="1:9" s="8" customFormat="1" ht="32" x14ac:dyDescent="0.2">
      <c r="A1" s="8" t="s">
        <v>0</v>
      </c>
      <c r="B1" s="9" t="s">
        <v>96</v>
      </c>
      <c r="C1" s="10" t="s">
        <v>97</v>
      </c>
      <c r="D1" s="9" t="s">
        <v>152</v>
      </c>
      <c r="E1" s="9" t="s">
        <v>1</v>
      </c>
      <c r="F1" s="11" t="s">
        <v>151</v>
      </c>
      <c r="G1" s="10" t="s">
        <v>150</v>
      </c>
      <c r="H1" s="10" t="s">
        <v>2</v>
      </c>
      <c r="I1" s="11" t="s">
        <v>3</v>
      </c>
    </row>
    <row r="2" spans="1:9" x14ac:dyDescent="0.2">
      <c r="A2" t="s">
        <v>94</v>
      </c>
      <c r="B2" s="1">
        <v>18</v>
      </c>
      <c r="C2" s="3">
        <v>11.083333333335759</v>
      </c>
      <c r="D2" s="1">
        <v>2200</v>
      </c>
      <c r="E2" s="1" t="s">
        <v>95</v>
      </c>
      <c r="F2" s="2">
        <v>3</v>
      </c>
      <c r="G2" s="3">
        <v>137.55500000000001</v>
      </c>
      <c r="H2" s="3">
        <v>2.8220000000000001</v>
      </c>
      <c r="I2" s="2">
        <v>-47</v>
      </c>
    </row>
    <row r="3" spans="1:9" x14ac:dyDescent="0.2">
      <c r="A3" t="s">
        <v>60</v>
      </c>
      <c r="B3" s="1">
        <v>19</v>
      </c>
      <c r="C3" s="3">
        <v>11.125</v>
      </c>
      <c r="D3" s="1">
        <v>2060</v>
      </c>
      <c r="E3" s="1" t="s">
        <v>61</v>
      </c>
      <c r="F3" s="2">
        <v>12</v>
      </c>
      <c r="G3" s="3">
        <v>139.67099999999999</v>
      </c>
      <c r="H3" s="3">
        <v>9.01</v>
      </c>
      <c r="I3" s="2">
        <v>-61</v>
      </c>
    </row>
    <row r="4" spans="1:9" x14ac:dyDescent="0.2">
      <c r="A4" t="s">
        <v>62</v>
      </c>
      <c r="B4" s="1">
        <v>22</v>
      </c>
      <c r="C4" s="3">
        <v>4.5694444444452529</v>
      </c>
      <c r="D4" s="1">
        <v>2900</v>
      </c>
      <c r="E4" s="1" t="s">
        <v>61</v>
      </c>
      <c r="F4" s="2">
        <v>20</v>
      </c>
      <c r="G4" s="3">
        <v>137.57300000000001</v>
      </c>
      <c r="H4" s="3">
        <v>6.7320000000000002</v>
      </c>
      <c r="I4" s="2">
        <v>-6</v>
      </c>
    </row>
    <row r="5" spans="1:9" x14ac:dyDescent="0.2">
      <c r="A5" t="s">
        <v>63</v>
      </c>
      <c r="B5" s="1">
        <v>16</v>
      </c>
      <c r="C5" s="3">
        <v>4.6111111111094942</v>
      </c>
      <c r="D5" s="1">
        <v>2590</v>
      </c>
      <c r="E5" s="1" t="s">
        <v>61</v>
      </c>
      <c r="F5" s="2">
        <v>22</v>
      </c>
      <c r="G5" s="3">
        <v>148.35400000000001</v>
      </c>
      <c r="H5" s="3">
        <v>5.0060000000000002</v>
      </c>
      <c r="I5" s="2">
        <v>-357</v>
      </c>
    </row>
    <row r="6" spans="1:9" x14ac:dyDescent="0.2">
      <c r="A6" t="s">
        <v>23</v>
      </c>
      <c r="B6" s="1">
        <v>29</v>
      </c>
      <c r="C6" s="3">
        <v>26.458333333335759</v>
      </c>
      <c r="D6" s="1">
        <v>1590</v>
      </c>
      <c r="E6" s="1" t="s">
        <v>24</v>
      </c>
      <c r="F6" s="2">
        <v>8</v>
      </c>
      <c r="G6" s="3">
        <v>128.149</v>
      </c>
      <c r="H6" s="3">
        <v>4.7050000000000001</v>
      </c>
      <c r="I6" s="2">
        <v>-154</v>
      </c>
    </row>
    <row r="7" spans="1:9" x14ac:dyDescent="0.2">
      <c r="A7" t="s">
        <v>25</v>
      </c>
      <c r="B7" s="1">
        <v>27</v>
      </c>
      <c r="C7" s="3">
        <v>25.1875</v>
      </c>
      <c r="D7" s="1">
        <v>1840</v>
      </c>
      <c r="E7" s="1" t="s">
        <v>24</v>
      </c>
      <c r="F7" s="2">
        <v>30</v>
      </c>
      <c r="G7" s="3">
        <v>124.342</v>
      </c>
      <c r="H7" s="3">
        <v>10.597</v>
      </c>
      <c r="I7" s="2">
        <v>-98</v>
      </c>
    </row>
    <row r="8" spans="1:9" x14ac:dyDescent="0.2">
      <c r="A8" t="s">
        <v>64</v>
      </c>
      <c r="B8" s="1">
        <v>27</v>
      </c>
      <c r="C8" s="3">
        <v>18.375</v>
      </c>
      <c r="D8" s="1">
        <v>2050</v>
      </c>
      <c r="E8" s="1" t="s">
        <v>61</v>
      </c>
      <c r="F8" s="2">
        <v>8</v>
      </c>
      <c r="G8" s="3">
        <v>135.286</v>
      </c>
      <c r="H8" s="3">
        <v>4.5110000000000001</v>
      </c>
      <c r="I8" s="2">
        <v>-10</v>
      </c>
    </row>
    <row r="9" spans="1:9" x14ac:dyDescent="0.2">
      <c r="A9" t="s">
        <v>65</v>
      </c>
      <c r="B9" s="1">
        <v>22</v>
      </c>
      <c r="C9" s="3">
        <v>21.270833333328483</v>
      </c>
      <c r="D9" s="1">
        <v>2045</v>
      </c>
      <c r="E9" s="1" t="s">
        <v>61</v>
      </c>
      <c r="F9" s="2">
        <v>29</v>
      </c>
      <c r="G9" s="3">
        <v>131.56800000000001</v>
      </c>
      <c r="H9" s="3">
        <v>12.41</v>
      </c>
      <c r="I9" s="2">
        <v>-60</v>
      </c>
    </row>
    <row r="10" spans="1:9" x14ac:dyDescent="0.2">
      <c r="A10" t="s">
        <v>66</v>
      </c>
      <c r="B10" s="1">
        <v>23</v>
      </c>
      <c r="C10" s="3">
        <v>8.7083333333357587</v>
      </c>
      <c r="D10" s="1">
        <v>2160</v>
      </c>
      <c r="E10" s="1" t="s">
        <v>61</v>
      </c>
      <c r="F10" s="2">
        <v>9</v>
      </c>
      <c r="G10" s="3">
        <v>130.03299999999999</v>
      </c>
      <c r="H10" s="3">
        <v>5.9050000000000002</v>
      </c>
      <c r="I10" s="2">
        <v>-174</v>
      </c>
    </row>
    <row r="11" spans="1:9" x14ac:dyDescent="0.2">
      <c r="A11" t="s">
        <v>67</v>
      </c>
      <c r="B11" s="1">
        <v>18</v>
      </c>
      <c r="C11" s="3">
        <v>8.6736111111094942</v>
      </c>
      <c r="D11" s="1">
        <v>2250</v>
      </c>
      <c r="E11" s="1" t="s">
        <v>61</v>
      </c>
      <c r="F11" s="2">
        <v>7</v>
      </c>
      <c r="G11" s="3">
        <v>128.96899999999999</v>
      </c>
      <c r="H11" s="3">
        <v>3.4359999999999999</v>
      </c>
      <c r="I11" s="2">
        <v>-210</v>
      </c>
    </row>
    <row r="12" spans="1:9" x14ac:dyDescent="0.2">
      <c r="A12" t="s">
        <v>68</v>
      </c>
      <c r="B12" s="1">
        <v>27</v>
      </c>
      <c r="C12" s="3">
        <v>8.0833333333357587</v>
      </c>
      <c r="D12" s="1">
        <v>2470</v>
      </c>
      <c r="E12" s="1" t="s">
        <v>61</v>
      </c>
      <c r="F12" s="2">
        <v>3</v>
      </c>
      <c r="G12" s="3">
        <v>127.905</v>
      </c>
      <c r="H12" s="3">
        <v>2.8580000000000001</v>
      </c>
      <c r="I12" s="2">
        <v>-146</v>
      </c>
    </row>
    <row r="13" spans="1:9" x14ac:dyDescent="0.2">
      <c r="A13" t="s">
        <v>69</v>
      </c>
      <c r="B13" s="1">
        <v>21</v>
      </c>
      <c r="C13" s="3">
        <v>7.7291666666642413</v>
      </c>
      <c r="D13" s="1">
        <v>2390</v>
      </c>
      <c r="E13" s="1" t="s">
        <v>61</v>
      </c>
      <c r="F13" s="2">
        <v>22</v>
      </c>
      <c r="G13" s="3">
        <v>137.346</v>
      </c>
      <c r="H13" s="3">
        <v>7.7590000000000003</v>
      </c>
      <c r="I13" s="2">
        <v>-338</v>
      </c>
    </row>
    <row r="14" spans="1:9" x14ac:dyDescent="0.2">
      <c r="A14" t="s">
        <v>26</v>
      </c>
      <c r="B14" s="1">
        <v>17</v>
      </c>
      <c r="C14" s="3">
        <v>13.979166666671517</v>
      </c>
      <c r="D14" s="1">
        <v>1580</v>
      </c>
      <c r="E14" s="1" t="s">
        <v>24</v>
      </c>
      <c r="F14" s="2">
        <v>15</v>
      </c>
      <c r="G14" s="3">
        <v>129.607</v>
      </c>
      <c r="H14" s="3">
        <v>4.6740000000000004</v>
      </c>
      <c r="I14" s="2">
        <v>-84</v>
      </c>
    </row>
    <row r="15" spans="1:9" x14ac:dyDescent="0.2">
      <c r="A15" t="s">
        <v>27</v>
      </c>
      <c r="B15" s="1">
        <v>18</v>
      </c>
      <c r="C15" s="3">
        <v>14.0625</v>
      </c>
      <c r="D15" s="1">
        <v>1930</v>
      </c>
      <c r="E15" s="1" t="s">
        <v>24</v>
      </c>
      <c r="F15" s="2">
        <v>40</v>
      </c>
      <c r="G15" s="3">
        <v>130.13</v>
      </c>
      <c r="H15" s="3">
        <v>7.3949999999999996</v>
      </c>
      <c r="I15" s="2">
        <v>-56</v>
      </c>
    </row>
    <row r="16" spans="1:9" x14ac:dyDescent="0.2">
      <c r="A16" t="s">
        <v>70</v>
      </c>
      <c r="B16" s="1">
        <v>30</v>
      </c>
      <c r="C16" s="3">
        <v>25.791666666664241</v>
      </c>
      <c r="D16" s="1">
        <v>2080</v>
      </c>
      <c r="E16" s="1" t="s">
        <v>61</v>
      </c>
      <c r="F16" s="2">
        <v>5</v>
      </c>
      <c r="G16" s="3">
        <v>154.749</v>
      </c>
      <c r="H16" s="3">
        <v>1.913</v>
      </c>
      <c r="I16" s="2">
        <v>-338</v>
      </c>
    </row>
    <row r="17" spans="1:9" x14ac:dyDescent="0.2">
      <c r="A17" t="s">
        <v>71</v>
      </c>
      <c r="B17" s="1">
        <v>27</v>
      </c>
      <c r="C17" s="3">
        <v>25.833333333335759</v>
      </c>
      <c r="D17" s="1">
        <v>2040</v>
      </c>
      <c r="E17" s="1" t="s">
        <v>61</v>
      </c>
      <c r="F17" s="2">
        <v>19</v>
      </c>
      <c r="G17" s="3">
        <v>150.072</v>
      </c>
      <c r="H17" s="3">
        <v>6.8019999999999996</v>
      </c>
      <c r="I17" s="2">
        <v>-197</v>
      </c>
    </row>
    <row r="18" spans="1:9" x14ac:dyDescent="0.2">
      <c r="A18" t="s">
        <v>72</v>
      </c>
      <c r="B18" s="1">
        <v>26</v>
      </c>
      <c r="C18" s="3">
        <v>12.819444444445253</v>
      </c>
      <c r="D18" s="1">
        <v>2390</v>
      </c>
      <c r="E18" s="1" t="s">
        <v>61</v>
      </c>
      <c r="F18" s="2">
        <v>14</v>
      </c>
      <c r="G18" s="3">
        <v>142.803</v>
      </c>
      <c r="H18" s="3">
        <v>5.6740000000000004</v>
      </c>
      <c r="I18" s="2">
        <v>-254</v>
      </c>
    </row>
    <row r="19" spans="1:9" x14ac:dyDescent="0.2">
      <c r="A19" t="s">
        <v>73</v>
      </c>
      <c r="B19" s="1">
        <v>27</v>
      </c>
      <c r="C19" s="3">
        <v>12.916666666664241</v>
      </c>
      <c r="D19" s="1">
        <v>2140</v>
      </c>
      <c r="E19" s="1" t="s">
        <v>61</v>
      </c>
      <c r="F19" s="2">
        <v>26</v>
      </c>
      <c r="G19" s="3">
        <v>137.024</v>
      </c>
      <c r="H19" s="3">
        <v>10.673999999999999</v>
      </c>
      <c r="I19" s="2">
        <v>-252</v>
      </c>
    </row>
    <row r="20" spans="1:9" x14ac:dyDescent="0.2">
      <c r="A20" t="s">
        <v>4</v>
      </c>
      <c r="B20" s="1">
        <v>31</v>
      </c>
      <c r="C20" s="3">
        <v>80.666666666664241</v>
      </c>
      <c r="D20" s="1">
        <v>1000</v>
      </c>
      <c r="E20" s="1" t="s">
        <v>5</v>
      </c>
      <c r="F20" s="2">
        <v>36</v>
      </c>
      <c r="G20" s="3">
        <v>137.78399999999999</v>
      </c>
      <c r="H20" s="3">
        <v>8.0350000000000001</v>
      </c>
      <c r="I20" s="2">
        <v>-139</v>
      </c>
    </row>
    <row r="21" spans="1:9" x14ac:dyDescent="0.2">
      <c r="A21" t="s">
        <v>6</v>
      </c>
      <c r="B21" s="1">
        <v>36</v>
      </c>
      <c r="C21" s="3">
        <v>80.003472222226264</v>
      </c>
      <c r="D21" s="1">
        <v>1000</v>
      </c>
      <c r="E21" s="1" t="s">
        <v>5</v>
      </c>
      <c r="F21" s="2">
        <v>27</v>
      </c>
      <c r="G21" s="3">
        <v>129.15199999999999</v>
      </c>
      <c r="H21" s="3">
        <v>5.4640000000000004</v>
      </c>
      <c r="I21" s="2">
        <v>-110</v>
      </c>
    </row>
    <row r="22" spans="1:9" x14ac:dyDescent="0.2">
      <c r="A22" t="s">
        <v>7</v>
      </c>
      <c r="B22" s="1">
        <v>43</v>
      </c>
      <c r="C22" s="3">
        <v>60.739583333335759</v>
      </c>
      <c r="D22" s="1">
        <v>1050</v>
      </c>
      <c r="E22" s="1" t="s">
        <v>5</v>
      </c>
      <c r="F22" s="2">
        <v>29</v>
      </c>
      <c r="G22" s="3">
        <v>149.15299999999999</v>
      </c>
      <c r="H22" s="3">
        <v>11.222</v>
      </c>
      <c r="I22" s="2">
        <v>-49</v>
      </c>
    </row>
    <row r="23" spans="1:9" x14ac:dyDescent="0.2">
      <c r="A23" t="s">
        <v>8</v>
      </c>
      <c r="B23" s="1">
        <v>46</v>
      </c>
      <c r="C23" s="3">
        <v>62.40625</v>
      </c>
      <c r="D23" s="1">
        <v>1120</v>
      </c>
      <c r="E23" s="1" t="s">
        <v>5</v>
      </c>
      <c r="F23" s="2">
        <v>12</v>
      </c>
      <c r="G23" s="3">
        <v>142.404</v>
      </c>
      <c r="H23" s="3">
        <v>4.3849999999999998</v>
      </c>
      <c r="I23" s="2">
        <v>-48</v>
      </c>
    </row>
    <row r="24" spans="1:9" x14ac:dyDescent="0.2">
      <c r="A24" t="s">
        <v>28</v>
      </c>
      <c r="B24" s="1">
        <v>59</v>
      </c>
      <c r="C24" s="3">
        <v>69.840277777773736</v>
      </c>
      <c r="D24" s="1">
        <v>1770</v>
      </c>
      <c r="E24" s="1" t="s">
        <v>24</v>
      </c>
      <c r="F24" s="2">
        <v>12</v>
      </c>
      <c r="G24" s="3">
        <v>145.786</v>
      </c>
      <c r="H24" s="3">
        <v>4.3810000000000002</v>
      </c>
      <c r="I24" s="2">
        <v>-137</v>
      </c>
    </row>
    <row r="25" spans="1:9" x14ac:dyDescent="0.2">
      <c r="A25" t="s">
        <v>29</v>
      </c>
      <c r="B25" s="1">
        <v>26</v>
      </c>
      <c r="C25" s="3">
        <v>36.208333333328483</v>
      </c>
      <c r="D25" s="1">
        <v>1320</v>
      </c>
      <c r="E25" s="1" t="s">
        <v>24</v>
      </c>
      <c r="F25" s="2">
        <v>13</v>
      </c>
      <c r="G25" s="3">
        <v>137.66900000000001</v>
      </c>
      <c r="H25" s="3">
        <v>7.8579999999999997</v>
      </c>
      <c r="I25" s="2">
        <v>-280</v>
      </c>
    </row>
    <row r="26" spans="1:9" x14ac:dyDescent="0.2">
      <c r="A26" t="s">
        <v>9</v>
      </c>
      <c r="B26" s="1">
        <v>53</v>
      </c>
      <c r="C26" s="3">
        <v>152.38541666666424</v>
      </c>
      <c r="D26" s="1">
        <v>670</v>
      </c>
      <c r="E26" s="1" t="s">
        <v>5</v>
      </c>
      <c r="F26" s="2">
        <v>11</v>
      </c>
      <c r="G26" s="3">
        <v>160.124</v>
      </c>
      <c r="H26" s="3">
        <v>6.6180000000000003</v>
      </c>
      <c r="I26" s="2">
        <v>-319</v>
      </c>
    </row>
    <row r="27" spans="1:9" x14ac:dyDescent="0.2">
      <c r="A27" t="s">
        <v>10</v>
      </c>
      <c r="B27" s="1">
        <v>43</v>
      </c>
      <c r="C27" s="3">
        <v>126.41666666667152</v>
      </c>
      <c r="D27" s="1">
        <v>700</v>
      </c>
      <c r="E27" s="1" t="s">
        <v>5</v>
      </c>
      <c r="F27" s="2">
        <v>19</v>
      </c>
      <c r="G27" s="3">
        <v>161.30099999999999</v>
      </c>
      <c r="H27" s="3">
        <v>8.3420000000000005</v>
      </c>
      <c r="I27" s="2">
        <v>-307</v>
      </c>
    </row>
    <row r="28" spans="1:9" x14ac:dyDescent="0.2">
      <c r="A28" t="s">
        <v>74</v>
      </c>
      <c r="B28" s="1">
        <v>16</v>
      </c>
      <c r="C28" s="3">
        <v>4.2083333333284827</v>
      </c>
      <c r="D28" s="1">
        <v>2500</v>
      </c>
      <c r="E28" s="1" t="s">
        <v>61</v>
      </c>
      <c r="F28" s="2">
        <v>52</v>
      </c>
      <c r="G28" s="3">
        <v>130.63200000000001</v>
      </c>
      <c r="H28" s="3">
        <v>8.57</v>
      </c>
      <c r="I28" s="2">
        <v>-13</v>
      </c>
    </row>
    <row r="29" spans="1:9" x14ac:dyDescent="0.2">
      <c r="A29" t="s">
        <v>75</v>
      </c>
      <c r="B29" s="1">
        <v>16</v>
      </c>
      <c r="C29" s="3">
        <v>4.2083333333357587</v>
      </c>
      <c r="D29" s="1">
        <v>2250</v>
      </c>
      <c r="E29" s="1" t="s">
        <v>61</v>
      </c>
      <c r="F29" s="2">
        <v>6</v>
      </c>
      <c r="G29" s="3">
        <v>137.91200000000001</v>
      </c>
      <c r="H29" s="3">
        <v>3.5640000000000001</v>
      </c>
      <c r="I29" s="2">
        <v>-117</v>
      </c>
    </row>
    <row r="30" spans="1:9" x14ac:dyDescent="0.2">
      <c r="A30" t="s">
        <v>76</v>
      </c>
      <c r="B30" s="1">
        <v>20</v>
      </c>
      <c r="C30" s="3">
        <v>11.922916666670062</v>
      </c>
      <c r="D30" s="1">
        <v>1960</v>
      </c>
      <c r="E30" s="1" t="s">
        <v>61</v>
      </c>
      <c r="F30" s="2">
        <v>39</v>
      </c>
      <c r="G30" s="3">
        <v>136.84800000000001</v>
      </c>
      <c r="H30" s="3">
        <v>13.021000000000001</v>
      </c>
      <c r="I30" s="2">
        <v>-179</v>
      </c>
    </row>
    <row r="31" spans="1:9" x14ac:dyDescent="0.2">
      <c r="A31" t="s">
        <v>77</v>
      </c>
      <c r="B31" s="1">
        <v>24</v>
      </c>
      <c r="C31" s="3">
        <v>12.895833333335759</v>
      </c>
      <c r="D31" s="1">
        <v>2220</v>
      </c>
      <c r="E31" s="1" t="s">
        <v>61</v>
      </c>
      <c r="F31" s="2">
        <v>17</v>
      </c>
      <c r="G31" s="3">
        <v>139.964</v>
      </c>
      <c r="H31" s="3">
        <v>5.391</v>
      </c>
      <c r="I31" s="2">
        <v>-233</v>
      </c>
    </row>
    <row r="32" spans="1:9" x14ac:dyDescent="0.2">
      <c r="A32" t="s">
        <v>78</v>
      </c>
      <c r="B32" s="1">
        <v>19</v>
      </c>
      <c r="C32" s="3">
        <v>11.555555555554747</v>
      </c>
      <c r="D32" s="1">
        <v>2420</v>
      </c>
      <c r="E32" s="1" t="s">
        <v>61</v>
      </c>
      <c r="F32" s="2">
        <v>7</v>
      </c>
      <c r="G32" s="3">
        <v>131.50399999999999</v>
      </c>
      <c r="H32" s="3">
        <v>4.6470000000000002</v>
      </c>
      <c r="I32" s="2">
        <v>-331</v>
      </c>
    </row>
    <row r="33" spans="1:9" x14ac:dyDescent="0.2">
      <c r="A33" t="s">
        <v>79</v>
      </c>
      <c r="B33" s="1">
        <v>20</v>
      </c>
      <c r="C33" s="3">
        <v>48.57986111111677</v>
      </c>
      <c r="D33" s="1">
        <v>2160</v>
      </c>
      <c r="E33" s="1" t="s">
        <v>61</v>
      </c>
      <c r="F33" s="2">
        <v>46</v>
      </c>
      <c r="G33" s="3">
        <v>125.877</v>
      </c>
      <c r="H33" s="3">
        <v>7.6710000000000003</v>
      </c>
      <c r="I33" s="2">
        <v>-300</v>
      </c>
    </row>
    <row r="34" spans="1:9" x14ac:dyDescent="0.2">
      <c r="A34" t="s">
        <v>80</v>
      </c>
      <c r="B34" s="1">
        <v>23</v>
      </c>
      <c r="C34" s="3">
        <v>20.4375</v>
      </c>
      <c r="D34" s="1">
        <v>2530</v>
      </c>
      <c r="E34" s="1" t="s">
        <v>61</v>
      </c>
      <c r="F34" s="2">
        <v>3</v>
      </c>
      <c r="G34" s="3">
        <v>151.06399999999999</v>
      </c>
      <c r="H34" s="3">
        <v>2.5619999999999998</v>
      </c>
      <c r="I34" s="2">
        <v>-95</v>
      </c>
    </row>
    <row r="35" spans="1:9" x14ac:dyDescent="0.2">
      <c r="A35" t="s">
        <v>81</v>
      </c>
      <c r="B35" s="1">
        <v>22</v>
      </c>
      <c r="C35" s="3">
        <v>9.0520833333357587</v>
      </c>
      <c r="D35" s="1">
        <v>2090</v>
      </c>
      <c r="E35" s="1" t="s">
        <v>61</v>
      </c>
      <c r="F35" s="2">
        <v>12</v>
      </c>
      <c r="G35" s="3">
        <v>125.298</v>
      </c>
      <c r="H35" s="3">
        <v>5.0149999999999997</v>
      </c>
      <c r="I35" s="2">
        <v>-66</v>
      </c>
    </row>
    <row r="36" spans="1:9" x14ac:dyDescent="0.2">
      <c r="A36" t="s">
        <v>30</v>
      </c>
      <c r="B36" s="1">
        <v>20</v>
      </c>
      <c r="C36" s="3">
        <v>24.541666666664241</v>
      </c>
      <c r="D36" s="1">
        <v>1820</v>
      </c>
      <c r="E36" s="1" t="s">
        <v>24</v>
      </c>
      <c r="F36" s="2">
        <v>27</v>
      </c>
      <c r="G36" s="3">
        <v>131.827</v>
      </c>
      <c r="H36" s="3">
        <v>11.238</v>
      </c>
      <c r="I36" s="2">
        <v>-320</v>
      </c>
    </row>
    <row r="37" spans="1:9" x14ac:dyDescent="0.2">
      <c r="A37" t="s">
        <v>31</v>
      </c>
      <c r="B37" s="1">
        <v>24</v>
      </c>
      <c r="C37" s="3">
        <v>24.541666666664241</v>
      </c>
      <c r="D37" s="1">
        <v>1640</v>
      </c>
      <c r="E37" s="1" t="s">
        <v>24</v>
      </c>
      <c r="F37" s="2">
        <v>25</v>
      </c>
      <c r="G37" s="3">
        <v>135.73400000000001</v>
      </c>
      <c r="H37" s="3">
        <v>6.9470000000000001</v>
      </c>
      <c r="I37" s="2">
        <v>-349</v>
      </c>
    </row>
    <row r="38" spans="1:9" x14ac:dyDescent="0.2">
      <c r="A38" t="s">
        <v>82</v>
      </c>
      <c r="B38" s="1">
        <v>22</v>
      </c>
      <c r="C38" s="3">
        <v>4.3263888888905058</v>
      </c>
      <c r="D38" s="1">
        <v>2760</v>
      </c>
      <c r="E38" s="1" t="s">
        <v>61</v>
      </c>
      <c r="F38" s="2">
        <v>5</v>
      </c>
      <c r="G38" s="3">
        <v>140.273</v>
      </c>
      <c r="H38" s="3">
        <v>2.7240000000000002</v>
      </c>
      <c r="I38" s="2">
        <v>-317</v>
      </c>
    </row>
    <row r="39" spans="1:9" x14ac:dyDescent="0.2">
      <c r="A39" t="s">
        <v>83</v>
      </c>
      <c r="B39" s="1">
        <v>19</v>
      </c>
      <c r="C39" s="3">
        <v>4.3333333333284827</v>
      </c>
      <c r="D39" s="1">
        <v>2230</v>
      </c>
      <c r="E39" s="1" t="s">
        <v>61</v>
      </c>
      <c r="F39" s="2">
        <v>46</v>
      </c>
      <c r="G39" s="3">
        <v>129.43700000000001</v>
      </c>
      <c r="H39" s="3">
        <v>8.577</v>
      </c>
      <c r="I39" s="2">
        <v>-327</v>
      </c>
    </row>
    <row r="40" spans="1:9" x14ac:dyDescent="0.2">
      <c r="A40" t="s">
        <v>32</v>
      </c>
      <c r="B40" s="1">
        <v>24</v>
      </c>
      <c r="C40" s="3">
        <v>120.02083333332848</v>
      </c>
      <c r="D40" s="1">
        <v>1930</v>
      </c>
      <c r="E40" s="1" t="s">
        <v>24</v>
      </c>
      <c r="F40" s="2">
        <v>23</v>
      </c>
      <c r="G40" s="3">
        <v>134.596</v>
      </c>
      <c r="H40" s="3">
        <v>5.3550000000000004</v>
      </c>
      <c r="I40" s="2">
        <v>-49</v>
      </c>
    </row>
    <row r="41" spans="1:9" x14ac:dyDescent="0.2">
      <c r="A41" t="s">
        <v>33</v>
      </c>
      <c r="B41" s="1">
        <v>24</v>
      </c>
      <c r="C41" s="3">
        <v>32.833333333335759</v>
      </c>
      <c r="D41" s="1">
        <v>1510</v>
      </c>
      <c r="E41" s="1" t="s">
        <v>24</v>
      </c>
      <c r="F41" s="2">
        <v>2</v>
      </c>
      <c r="G41" s="3">
        <v>125.78</v>
      </c>
      <c r="H41" s="3">
        <v>1.4770000000000001</v>
      </c>
      <c r="I41" s="2">
        <v>-177</v>
      </c>
    </row>
    <row r="42" spans="1:9" x14ac:dyDescent="0.2">
      <c r="A42" t="s">
        <v>34</v>
      </c>
      <c r="B42" s="1">
        <v>23</v>
      </c>
      <c r="C42" s="3">
        <v>20.798611111109494</v>
      </c>
      <c r="D42" s="1">
        <v>1570</v>
      </c>
      <c r="E42" s="1" t="s">
        <v>24</v>
      </c>
      <c r="F42" s="2">
        <v>10</v>
      </c>
      <c r="G42" s="3">
        <v>142.28800000000001</v>
      </c>
      <c r="H42" s="3">
        <v>8.2789999999999999</v>
      </c>
      <c r="I42" s="2">
        <v>-3</v>
      </c>
    </row>
    <row r="43" spans="1:9" x14ac:dyDescent="0.2">
      <c r="A43" t="s">
        <v>35</v>
      </c>
      <c r="B43" s="1">
        <v>19</v>
      </c>
      <c r="C43" s="3">
        <v>15.375</v>
      </c>
      <c r="D43" s="1">
        <v>1640</v>
      </c>
      <c r="E43" s="1" t="s">
        <v>24</v>
      </c>
      <c r="F43" s="2">
        <v>16</v>
      </c>
      <c r="G43" s="3">
        <v>144.01499999999999</v>
      </c>
      <c r="H43" s="3">
        <v>6.55</v>
      </c>
      <c r="I43" s="2">
        <v>-43</v>
      </c>
    </row>
    <row r="44" spans="1:9" x14ac:dyDescent="0.2">
      <c r="A44" t="s">
        <v>36</v>
      </c>
      <c r="B44" s="1">
        <v>26</v>
      </c>
      <c r="C44" s="3">
        <v>24.083333333335759</v>
      </c>
      <c r="D44" s="1">
        <v>1880</v>
      </c>
      <c r="E44" s="1" t="s">
        <v>24</v>
      </c>
      <c r="F44" s="2">
        <v>19</v>
      </c>
      <c r="G44" s="3">
        <v>116.967</v>
      </c>
      <c r="H44" s="3">
        <v>8.2110000000000003</v>
      </c>
      <c r="I44" s="2">
        <v>-118</v>
      </c>
    </row>
    <row r="45" spans="1:9" x14ac:dyDescent="0.2">
      <c r="A45" t="s">
        <v>37</v>
      </c>
      <c r="B45" s="1">
        <v>25</v>
      </c>
      <c r="C45" s="3">
        <v>24.083333333335759</v>
      </c>
      <c r="D45" s="1">
        <v>1520</v>
      </c>
      <c r="E45" s="1" t="s">
        <v>24</v>
      </c>
      <c r="F45" s="2">
        <v>14</v>
      </c>
      <c r="G45" s="3">
        <v>112.96599999999999</v>
      </c>
      <c r="H45" s="3">
        <v>5.843</v>
      </c>
      <c r="I45" s="2">
        <v>-140</v>
      </c>
    </row>
    <row r="46" spans="1:9" x14ac:dyDescent="0.2">
      <c r="A46" t="s">
        <v>38</v>
      </c>
      <c r="B46" s="1">
        <v>28</v>
      </c>
      <c r="C46" s="3">
        <v>34.979166666664241</v>
      </c>
      <c r="D46" s="1">
        <v>1410</v>
      </c>
      <c r="E46" s="1" t="s">
        <v>24</v>
      </c>
      <c r="F46" s="2">
        <v>7</v>
      </c>
      <c r="G46" s="3">
        <v>136.34399999999999</v>
      </c>
      <c r="H46" s="3">
        <v>7.41</v>
      </c>
      <c r="I46" s="2">
        <v>-115</v>
      </c>
    </row>
    <row r="47" spans="1:9" x14ac:dyDescent="0.2">
      <c r="A47" t="s">
        <v>39</v>
      </c>
      <c r="B47" s="1">
        <v>26</v>
      </c>
      <c r="C47" s="3">
        <v>34.970833333332848</v>
      </c>
      <c r="D47" s="1">
        <v>1430</v>
      </c>
      <c r="E47" s="1" t="s">
        <v>24</v>
      </c>
      <c r="F47" s="2">
        <v>11</v>
      </c>
      <c r="G47" s="3">
        <v>148.923</v>
      </c>
      <c r="H47" s="3">
        <v>5.3979999999999997</v>
      </c>
      <c r="I47" s="2">
        <v>-197</v>
      </c>
    </row>
    <row r="48" spans="1:9" x14ac:dyDescent="0.2">
      <c r="A48" t="s">
        <v>40</v>
      </c>
      <c r="B48" s="1">
        <v>24</v>
      </c>
      <c r="C48" s="3">
        <v>61.4375</v>
      </c>
      <c r="D48" s="1">
        <v>1328</v>
      </c>
      <c r="E48" s="1" t="s">
        <v>24</v>
      </c>
      <c r="F48" s="2">
        <v>10</v>
      </c>
      <c r="G48" s="3">
        <v>130.50200000000001</v>
      </c>
      <c r="H48" s="3">
        <v>7.133</v>
      </c>
      <c r="I48" s="2">
        <v>-40</v>
      </c>
    </row>
    <row r="49" spans="1:9" x14ac:dyDescent="0.2">
      <c r="A49" t="s">
        <v>41</v>
      </c>
      <c r="B49" s="1">
        <v>26</v>
      </c>
      <c r="C49" s="3">
        <v>75.194444444445253</v>
      </c>
      <c r="D49" s="1">
        <v>1320</v>
      </c>
      <c r="E49" s="1" t="s">
        <v>24</v>
      </c>
      <c r="F49" s="2">
        <v>6</v>
      </c>
      <c r="G49" s="3">
        <v>129.91200000000001</v>
      </c>
      <c r="H49" s="3">
        <v>3.6659999999999999</v>
      </c>
      <c r="I49" s="2">
        <v>-88</v>
      </c>
    </row>
    <row r="50" spans="1:9" x14ac:dyDescent="0.2">
      <c r="A50" t="s">
        <v>11</v>
      </c>
      <c r="B50" s="1">
        <v>39</v>
      </c>
      <c r="C50" s="3">
        <v>98.291666666664241</v>
      </c>
      <c r="D50" s="1">
        <v>900</v>
      </c>
      <c r="E50" s="1" t="s">
        <v>5</v>
      </c>
      <c r="F50" s="2">
        <v>4</v>
      </c>
      <c r="G50" s="3">
        <v>144.61099999999999</v>
      </c>
      <c r="H50" s="3">
        <v>3.774</v>
      </c>
      <c r="I50" s="2">
        <v>-199</v>
      </c>
    </row>
    <row r="51" spans="1:9" x14ac:dyDescent="0.2">
      <c r="A51" t="s">
        <v>12</v>
      </c>
      <c r="B51" s="1">
        <v>41</v>
      </c>
      <c r="C51" s="3">
        <v>104.375</v>
      </c>
      <c r="D51" s="1">
        <v>890</v>
      </c>
      <c r="E51" s="1" t="s">
        <v>5</v>
      </c>
      <c r="F51" s="2">
        <v>0</v>
      </c>
      <c r="G51" s="3">
        <v>141.75700000000001</v>
      </c>
      <c r="H51" s="3">
        <v>0.92600000000000005</v>
      </c>
      <c r="I51" s="2">
        <v>-85</v>
      </c>
    </row>
    <row r="52" spans="1:9" x14ac:dyDescent="0.2">
      <c r="A52" t="s">
        <v>42</v>
      </c>
      <c r="B52" s="1">
        <v>26</v>
      </c>
      <c r="C52" s="3">
        <v>10.40625</v>
      </c>
      <c r="D52" s="1">
        <v>1960</v>
      </c>
      <c r="E52" s="1" t="s">
        <v>24</v>
      </c>
      <c r="F52" s="2">
        <v>6</v>
      </c>
      <c r="G52" s="3">
        <v>128.22800000000001</v>
      </c>
      <c r="H52" s="3">
        <v>4.3639999999999999</v>
      </c>
      <c r="I52" s="2">
        <v>-43</v>
      </c>
    </row>
    <row r="53" spans="1:9" x14ac:dyDescent="0.2">
      <c r="A53" t="s">
        <v>43</v>
      </c>
      <c r="B53" s="1">
        <v>27</v>
      </c>
      <c r="C53" s="3">
        <v>10.402777777781012</v>
      </c>
      <c r="D53" s="1">
        <v>1860</v>
      </c>
      <c r="E53" s="1" t="s">
        <v>24</v>
      </c>
      <c r="F53" s="2">
        <v>23</v>
      </c>
      <c r="G53" s="3">
        <v>130.566</v>
      </c>
      <c r="H53" s="3">
        <v>6.22</v>
      </c>
      <c r="I53" s="2">
        <v>-64</v>
      </c>
    </row>
    <row r="54" spans="1:9" x14ac:dyDescent="0.2">
      <c r="A54" t="s">
        <v>84</v>
      </c>
      <c r="B54" s="1">
        <v>26</v>
      </c>
      <c r="C54" s="3">
        <v>13.979166666664241</v>
      </c>
      <c r="D54" s="1">
        <v>2430</v>
      </c>
      <c r="E54" s="1" t="s">
        <v>61</v>
      </c>
      <c r="F54" s="2">
        <v>15</v>
      </c>
      <c r="G54" s="3">
        <v>137.649</v>
      </c>
      <c r="H54" s="3">
        <v>5.6120000000000001</v>
      </c>
      <c r="I54" s="2">
        <v>-191</v>
      </c>
    </row>
    <row r="55" spans="1:9" x14ac:dyDescent="0.2">
      <c r="A55" t="s">
        <v>85</v>
      </c>
      <c r="B55" s="1">
        <v>18</v>
      </c>
      <c r="C55" s="3">
        <v>13.888888888890506</v>
      </c>
      <c r="D55" s="1">
        <v>1920</v>
      </c>
      <c r="E55" s="1" t="s">
        <v>61</v>
      </c>
      <c r="F55" s="2">
        <v>29</v>
      </c>
      <c r="G55" s="3">
        <v>123.685</v>
      </c>
      <c r="H55" s="3">
        <v>8.4489999999999998</v>
      </c>
      <c r="I55" s="2">
        <v>-134</v>
      </c>
    </row>
    <row r="56" spans="1:9" x14ac:dyDescent="0.2">
      <c r="A56" t="s">
        <v>13</v>
      </c>
      <c r="B56" s="1">
        <v>27</v>
      </c>
      <c r="C56" s="3">
        <v>74.291666666671517</v>
      </c>
      <c r="D56" s="1">
        <v>700</v>
      </c>
      <c r="E56" s="1" t="s">
        <v>5</v>
      </c>
      <c r="F56" s="2">
        <v>41</v>
      </c>
      <c r="G56" s="3">
        <v>134.733</v>
      </c>
      <c r="H56" s="3">
        <v>10.428000000000001</v>
      </c>
      <c r="I56" s="2">
        <v>-54</v>
      </c>
    </row>
    <row r="57" spans="1:9" x14ac:dyDescent="0.2">
      <c r="A57" t="s">
        <v>14</v>
      </c>
      <c r="B57" s="1">
        <v>27</v>
      </c>
      <c r="C57" s="3">
        <v>66.166666666671517</v>
      </c>
      <c r="D57" s="1">
        <v>1120</v>
      </c>
      <c r="E57" s="1" t="s">
        <v>5</v>
      </c>
      <c r="F57" s="2">
        <v>15</v>
      </c>
      <c r="G57" s="3">
        <v>134.72200000000001</v>
      </c>
      <c r="H57" s="3">
        <v>5.38</v>
      </c>
      <c r="I57" s="2">
        <v>-129</v>
      </c>
    </row>
    <row r="58" spans="1:9" x14ac:dyDescent="0.2">
      <c r="A58" t="s">
        <v>86</v>
      </c>
      <c r="B58" s="1">
        <v>18</v>
      </c>
      <c r="C58" s="3">
        <v>9.4791666666642413</v>
      </c>
      <c r="D58" s="1">
        <v>2695</v>
      </c>
      <c r="E58" s="1" t="s">
        <v>61</v>
      </c>
      <c r="F58" s="2">
        <v>10</v>
      </c>
      <c r="G58" s="3">
        <v>127.351</v>
      </c>
      <c r="H58" s="3">
        <v>3.0009999999999999</v>
      </c>
      <c r="I58" s="2">
        <v>-307</v>
      </c>
    </row>
    <row r="59" spans="1:9" x14ac:dyDescent="0.2">
      <c r="A59" t="s">
        <v>87</v>
      </c>
      <c r="B59" s="1">
        <v>18</v>
      </c>
      <c r="C59" s="3">
        <v>7.7395833333284827</v>
      </c>
      <c r="D59" s="1">
        <v>2780</v>
      </c>
      <c r="E59" s="1" t="s">
        <v>61</v>
      </c>
      <c r="F59" s="2">
        <v>43</v>
      </c>
      <c r="G59" s="3">
        <v>128.078</v>
      </c>
      <c r="H59" s="3">
        <v>13.353999999999999</v>
      </c>
      <c r="I59" s="2">
        <v>-307</v>
      </c>
    </row>
    <row r="60" spans="1:9" x14ac:dyDescent="0.2">
      <c r="A60" t="s">
        <v>44</v>
      </c>
      <c r="B60" s="1">
        <v>26</v>
      </c>
      <c r="C60" s="3">
        <v>33.125</v>
      </c>
      <c r="D60" s="1">
        <v>2000</v>
      </c>
      <c r="E60" s="1" t="s">
        <v>24</v>
      </c>
      <c r="F60" s="2">
        <v>6</v>
      </c>
      <c r="G60" s="3">
        <v>132.047</v>
      </c>
      <c r="H60" s="3">
        <v>4.3719999999999999</v>
      </c>
      <c r="I60" s="2">
        <v>-66</v>
      </c>
    </row>
    <row r="61" spans="1:9" x14ac:dyDescent="0.2">
      <c r="A61" t="s">
        <v>45</v>
      </c>
      <c r="B61" s="1">
        <v>29</v>
      </c>
      <c r="C61" s="3">
        <v>16.041666666664241</v>
      </c>
      <c r="D61" s="1">
        <v>1990</v>
      </c>
      <c r="E61" s="1" t="s">
        <v>24</v>
      </c>
      <c r="F61" s="2">
        <v>14</v>
      </c>
      <c r="G61" s="3">
        <v>143.49299999999999</v>
      </c>
      <c r="H61" s="3">
        <v>6.48</v>
      </c>
      <c r="I61" s="2">
        <v>-209</v>
      </c>
    </row>
    <row r="62" spans="1:9" x14ac:dyDescent="0.2">
      <c r="A62" t="s">
        <v>46</v>
      </c>
      <c r="B62" s="1">
        <v>33</v>
      </c>
      <c r="C62" s="3">
        <v>25.895833333335759</v>
      </c>
      <c r="D62" s="1">
        <v>1760</v>
      </c>
      <c r="E62" s="1" t="s">
        <v>24</v>
      </c>
      <c r="F62" s="2">
        <v>14</v>
      </c>
      <c r="G62" s="3">
        <v>128.62</v>
      </c>
      <c r="H62" s="3">
        <v>4.0869999999999997</v>
      </c>
      <c r="I62" s="2">
        <v>-204</v>
      </c>
    </row>
    <row r="63" spans="1:9" x14ac:dyDescent="0.2">
      <c r="A63" t="s">
        <v>47</v>
      </c>
      <c r="B63" s="1">
        <v>27</v>
      </c>
      <c r="C63" s="3">
        <v>29.270833333335759</v>
      </c>
      <c r="D63" s="1">
        <v>1540</v>
      </c>
      <c r="E63" s="1" t="s">
        <v>24</v>
      </c>
      <c r="F63" s="2">
        <v>7</v>
      </c>
      <c r="G63" s="3">
        <v>129.69</v>
      </c>
      <c r="H63" s="3">
        <v>1.891</v>
      </c>
      <c r="I63" s="2">
        <v>-131</v>
      </c>
    </row>
    <row r="64" spans="1:9" x14ac:dyDescent="0.2">
      <c r="A64" t="s">
        <v>48</v>
      </c>
      <c r="B64" s="1">
        <v>27</v>
      </c>
      <c r="C64" s="3">
        <v>29.125</v>
      </c>
      <c r="D64" s="1">
        <v>1960</v>
      </c>
      <c r="E64" s="1" t="s">
        <v>24</v>
      </c>
      <c r="F64" s="2">
        <v>36</v>
      </c>
      <c r="G64" s="3">
        <v>143.51900000000001</v>
      </c>
      <c r="H64" s="3">
        <v>8.4730000000000008</v>
      </c>
      <c r="I64" s="2">
        <v>-223</v>
      </c>
    </row>
    <row r="65" spans="1:9" x14ac:dyDescent="0.2">
      <c r="A65" t="s">
        <v>49</v>
      </c>
      <c r="B65" s="1">
        <v>19</v>
      </c>
      <c r="C65" s="3">
        <v>29.125</v>
      </c>
      <c r="D65" s="1">
        <v>1880</v>
      </c>
      <c r="E65" s="1" t="s">
        <v>24</v>
      </c>
      <c r="F65" s="2">
        <v>13</v>
      </c>
      <c r="G65" s="3">
        <v>138.755</v>
      </c>
      <c r="H65" s="3">
        <v>4.7750000000000004</v>
      </c>
      <c r="I65" s="2">
        <v>-73</v>
      </c>
    </row>
    <row r="66" spans="1:9" x14ac:dyDescent="0.2">
      <c r="A66" t="s">
        <v>15</v>
      </c>
      <c r="B66" s="1">
        <v>48</v>
      </c>
      <c r="C66" s="3">
        <v>50.90625</v>
      </c>
      <c r="D66" s="1">
        <v>1070</v>
      </c>
      <c r="E66" s="1" t="s">
        <v>5</v>
      </c>
      <c r="F66" s="2">
        <v>16</v>
      </c>
      <c r="G66" s="3">
        <v>137.95099999999999</v>
      </c>
      <c r="H66" s="3">
        <v>6.032</v>
      </c>
      <c r="I66" s="2">
        <v>-12</v>
      </c>
    </row>
    <row r="67" spans="1:9" x14ac:dyDescent="0.2">
      <c r="A67" t="s">
        <v>16</v>
      </c>
      <c r="B67" s="1">
        <v>48</v>
      </c>
      <c r="C67" s="3">
        <v>50.833333333335759</v>
      </c>
      <c r="D67" s="1">
        <v>970</v>
      </c>
      <c r="E67" s="1" t="s">
        <v>5</v>
      </c>
      <c r="F67" s="2">
        <v>0</v>
      </c>
      <c r="G67" s="3">
        <v>143.08699999999999</v>
      </c>
      <c r="H67" s="3">
        <v>0.59099999999999997</v>
      </c>
      <c r="I67" s="2">
        <v>-115</v>
      </c>
    </row>
    <row r="68" spans="1:9" x14ac:dyDescent="0.2">
      <c r="A68" t="s">
        <v>17</v>
      </c>
      <c r="B68" s="1">
        <v>44</v>
      </c>
      <c r="C68" s="3">
        <v>115.35416666666424</v>
      </c>
      <c r="D68" s="1">
        <v>980</v>
      </c>
      <c r="E68" s="1" t="s">
        <v>5</v>
      </c>
      <c r="F68" s="2">
        <v>13</v>
      </c>
      <c r="G68" s="3">
        <v>160.55600000000001</v>
      </c>
      <c r="H68" s="3">
        <v>4.9749999999999996</v>
      </c>
      <c r="I68" s="2">
        <v>-292</v>
      </c>
    </row>
    <row r="69" spans="1:9" x14ac:dyDescent="0.2">
      <c r="A69" t="s">
        <v>18</v>
      </c>
      <c r="B69" s="1">
        <v>40</v>
      </c>
      <c r="C69" s="3">
        <v>76.625</v>
      </c>
      <c r="D69" s="1">
        <v>980</v>
      </c>
      <c r="E69" s="1" t="s">
        <v>5</v>
      </c>
      <c r="F69" s="2">
        <v>3</v>
      </c>
      <c r="G69" s="3">
        <v>151.02000000000001</v>
      </c>
      <c r="H69" s="3">
        <v>1.552</v>
      </c>
      <c r="I69" s="2">
        <v>-162</v>
      </c>
    </row>
    <row r="70" spans="1:9" x14ac:dyDescent="0.2">
      <c r="A70" t="s">
        <v>50</v>
      </c>
      <c r="B70" s="1">
        <v>21</v>
      </c>
      <c r="C70" s="3">
        <v>26.833333333328483</v>
      </c>
      <c r="D70" s="1">
        <v>1710</v>
      </c>
      <c r="E70" s="1" t="s">
        <v>24</v>
      </c>
      <c r="F70" s="2">
        <v>9</v>
      </c>
      <c r="G70" s="3">
        <v>128.55600000000001</v>
      </c>
      <c r="H70" s="3">
        <v>4.4980000000000002</v>
      </c>
      <c r="I70" s="2">
        <v>-296</v>
      </c>
    </row>
    <row r="71" spans="1:9" x14ac:dyDescent="0.2">
      <c r="A71" t="s">
        <v>51</v>
      </c>
      <c r="B71" s="1">
        <v>20</v>
      </c>
      <c r="C71" s="3">
        <v>26.604166666664241</v>
      </c>
      <c r="D71" s="1">
        <v>1900</v>
      </c>
      <c r="E71" s="1" t="s">
        <v>24</v>
      </c>
      <c r="F71" s="2">
        <v>10</v>
      </c>
      <c r="G71" s="3">
        <v>138.66900000000001</v>
      </c>
      <c r="H71" s="3">
        <v>4.2220000000000004</v>
      </c>
      <c r="I71" s="2">
        <v>-242</v>
      </c>
    </row>
    <row r="72" spans="1:9" x14ac:dyDescent="0.2">
      <c r="A72" t="s">
        <v>52</v>
      </c>
      <c r="B72" s="1">
        <v>19</v>
      </c>
      <c r="C72" s="3">
        <v>25.916666666664241</v>
      </c>
      <c r="D72" s="1">
        <v>1640</v>
      </c>
      <c r="E72" s="1" t="s">
        <v>24</v>
      </c>
      <c r="F72" s="2">
        <v>1</v>
      </c>
      <c r="G72" s="3">
        <v>142.61199999999999</v>
      </c>
      <c r="H72" s="3">
        <v>1.19</v>
      </c>
      <c r="I72" s="2">
        <v>-287</v>
      </c>
    </row>
    <row r="73" spans="1:9" x14ac:dyDescent="0.2">
      <c r="A73" t="s">
        <v>53</v>
      </c>
      <c r="B73" s="1">
        <v>25</v>
      </c>
      <c r="C73" s="3">
        <v>31.880555555551837</v>
      </c>
      <c r="D73" s="1">
        <v>2080</v>
      </c>
      <c r="E73" s="1" t="s">
        <v>24</v>
      </c>
      <c r="F73" s="2">
        <v>2</v>
      </c>
      <c r="G73" s="3">
        <v>156.41200000000001</v>
      </c>
      <c r="H73" s="3">
        <v>1.7030000000000001</v>
      </c>
      <c r="I73" s="2">
        <v>-260</v>
      </c>
    </row>
    <row r="74" spans="1:9" x14ac:dyDescent="0.2">
      <c r="A74" t="s">
        <v>19</v>
      </c>
      <c r="B74" s="1">
        <v>32</v>
      </c>
      <c r="C74" s="3">
        <v>80.333333333335759</v>
      </c>
      <c r="D74" s="1">
        <v>871</v>
      </c>
      <c r="E74" s="1" t="s">
        <v>5</v>
      </c>
      <c r="F74" s="2">
        <v>0</v>
      </c>
      <c r="G74" s="3">
        <v>137.49700000000001</v>
      </c>
      <c r="H74" s="3">
        <v>0.39300000000000002</v>
      </c>
      <c r="I74" s="2">
        <v>-162</v>
      </c>
    </row>
    <row r="75" spans="1:9" x14ac:dyDescent="0.2">
      <c r="A75" t="s">
        <v>20</v>
      </c>
      <c r="B75" s="1">
        <v>45</v>
      </c>
      <c r="C75" s="3">
        <v>91.40625</v>
      </c>
      <c r="D75" s="1">
        <v>710</v>
      </c>
      <c r="E75" s="1" t="s">
        <v>5</v>
      </c>
      <c r="F75" s="2">
        <v>0</v>
      </c>
      <c r="G75" s="3">
        <v>146.80199999999999</v>
      </c>
      <c r="H75" s="3">
        <v>0.88500000000000001</v>
      </c>
      <c r="I75" s="2">
        <v>-81</v>
      </c>
    </row>
    <row r="76" spans="1:9" x14ac:dyDescent="0.2">
      <c r="A76" t="s">
        <v>88</v>
      </c>
      <c r="B76" s="1">
        <v>19</v>
      </c>
      <c r="C76" s="3">
        <v>12.791666666671517</v>
      </c>
      <c r="D76" s="1">
        <v>2230</v>
      </c>
      <c r="E76" s="1" t="s">
        <v>61</v>
      </c>
      <c r="F76" s="2">
        <v>43</v>
      </c>
      <c r="G76" s="3">
        <v>140.649</v>
      </c>
      <c r="H76" s="3">
        <v>9.1460000000000008</v>
      </c>
      <c r="I76" s="2">
        <v>-232</v>
      </c>
    </row>
    <row r="77" spans="1:9" x14ac:dyDescent="0.2">
      <c r="A77" t="s">
        <v>89</v>
      </c>
      <c r="B77" s="1">
        <v>21</v>
      </c>
      <c r="C77" s="3">
        <v>7.7916666666715173</v>
      </c>
      <c r="D77" s="1">
        <v>2120</v>
      </c>
      <c r="E77" s="1" t="s">
        <v>61</v>
      </c>
      <c r="F77" s="2">
        <v>33</v>
      </c>
      <c r="G77" s="3">
        <v>144.965</v>
      </c>
      <c r="H77" s="3">
        <v>6.5179999999999998</v>
      </c>
      <c r="I77" s="2">
        <v>-236</v>
      </c>
    </row>
    <row r="78" spans="1:9" x14ac:dyDescent="0.2">
      <c r="A78" t="s">
        <v>54</v>
      </c>
      <c r="B78" s="1">
        <v>24</v>
      </c>
      <c r="C78" s="3">
        <v>29.1875</v>
      </c>
      <c r="D78" s="1">
        <v>1710</v>
      </c>
      <c r="E78" s="1" t="s">
        <v>24</v>
      </c>
      <c r="F78" s="2">
        <v>9</v>
      </c>
      <c r="G78" s="3">
        <v>129.75800000000001</v>
      </c>
      <c r="H78" s="3">
        <v>3.3959999999999999</v>
      </c>
      <c r="I78" s="2">
        <v>-135</v>
      </c>
    </row>
    <row r="79" spans="1:9" x14ac:dyDescent="0.2">
      <c r="A79" t="s">
        <v>55</v>
      </c>
      <c r="B79" s="1">
        <v>24</v>
      </c>
      <c r="C79" s="3">
        <v>28</v>
      </c>
      <c r="D79" s="1">
        <v>1940</v>
      </c>
      <c r="E79" s="1" t="s">
        <v>24</v>
      </c>
      <c r="F79" s="2">
        <v>25</v>
      </c>
      <c r="G79" s="3">
        <v>136.18199999999999</v>
      </c>
      <c r="H79" s="3">
        <v>4.79</v>
      </c>
      <c r="I79" s="2">
        <v>-228</v>
      </c>
    </row>
    <row r="80" spans="1:9" x14ac:dyDescent="0.2">
      <c r="A80" t="s">
        <v>56</v>
      </c>
      <c r="B80" s="1">
        <v>17</v>
      </c>
      <c r="C80" s="3">
        <v>15.927083333328483</v>
      </c>
      <c r="D80" s="1">
        <v>1540</v>
      </c>
      <c r="E80" s="1" t="s">
        <v>24</v>
      </c>
      <c r="F80" s="2">
        <v>32</v>
      </c>
      <c r="G80" s="3">
        <v>140.90299999999999</v>
      </c>
      <c r="H80" s="3">
        <v>7.306</v>
      </c>
      <c r="I80" s="2">
        <v>-258</v>
      </c>
    </row>
    <row r="81" spans="1:9" x14ac:dyDescent="0.2">
      <c r="A81" t="s">
        <v>57</v>
      </c>
      <c r="B81" s="1">
        <v>16</v>
      </c>
      <c r="C81" s="3">
        <v>19.833333333328483</v>
      </c>
      <c r="D81" s="1">
        <v>1870</v>
      </c>
      <c r="E81" s="1" t="s">
        <v>24</v>
      </c>
      <c r="F81" s="2">
        <v>34</v>
      </c>
      <c r="G81" s="3">
        <v>134.59399999999999</v>
      </c>
      <c r="H81" s="3">
        <v>8.1219999999999999</v>
      </c>
      <c r="I81" s="2">
        <v>-328</v>
      </c>
    </row>
    <row r="82" spans="1:9" x14ac:dyDescent="0.2">
      <c r="A82" t="s">
        <v>90</v>
      </c>
      <c r="B82" s="1">
        <v>20</v>
      </c>
      <c r="C82" s="3">
        <v>10.4375</v>
      </c>
      <c r="D82" s="1">
        <v>2740</v>
      </c>
      <c r="E82" s="1" t="s">
        <v>61</v>
      </c>
      <c r="F82" s="2">
        <v>5</v>
      </c>
      <c r="G82" s="3">
        <v>132.76499999999999</v>
      </c>
      <c r="H82" s="3">
        <v>3.2050000000000001</v>
      </c>
      <c r="I82" s="2">
        <v>-109</v>
      </c>
    </row>
    <row r="83" spans="1:9" x14ac:dyDescent="0.2">
      <c r="A83" t="s">
        <v>91</v>
      </c>
      <c r="B83" s="1">
        <v>20</v>
      </c>
      <c r="C83" s="3">
        <v>8.5729166666642413</v>
      </c>
      <c r="D83" s="1">
        <v>2010</v>
      </c>
      <c r="E83" s="1" t="s">
        <v>61</v>
      </c>
      <c r="F83" s="2">
        <v>2</v>
      </c>
      <c r="G83" s="3">
        <v>129.279</v>
      </c>
      <c r="H83" s="3">
        <v>1.6579999999999999</v>
      </c>
      <c r="I83" s="2">
        <v>-38</v>
      </c>
    </row>
    <row r="84" spans="1:9" x14ac:dyDescent="0.2">
      <c r="A84" t="s">
        <v>58</v>
      </c>
      <c r="B84" s="1">
        <v>18</v>
      </c>
      <c r="C84" s="3">
        <v>35.541666666664241</v>
      </c>
      <c r="D84" s="1">
        <v>1820</v>
      </c>
      <c r="E84" s="1" t="s">
        <v>24</v>
      </c>
      <c r="F84" s="2">
        <v>5</v>
      </c>
      <c r="G84" s="3">
        <v>134.26300000000001</v>
      </c>
      <c r="H84" s="3">
        <v>5.1769999999999996</v>
      </c>
      <c r="I84" s="2">
        <v>-298</v>
      </c>
    </row>
    <row r="85" spans="1:9" x14ac:dyDescent="0.2">
      <c r="A85" t="s">
        <v>59</v>
      </c>
      <c r="B85" s="1">
        <v>21</v>
      </c>
      <c r="C85" s="3">
        <v>35.5625</v>
      </c>
      <c r="D85" s="1">
        <v>1625</v>
      </c>
      <c r="E85" s="1" t="s">
        <v>24</v>
      </c>
      <c r="F85" s="2">
        <v>16</v>
      </c>
      <c r="G85" s="3">
        <v>131.453</v>
      </c>
      <c r="H85" s="3">
        <v>6.5819999999999999</v>
      </c>
      <c r="I85" s="2">
        <v>-266</v>
      </c>
    </row>
    <row r="86" spans="1:9" x14ac:dyDescent="0.2">
      <c r="A86" t="s">
        <v>21</v>
      </c>
      <c r="B86" s="1">
        <v>29</v>
      </c>
      <c r="C86" s="3">
        <v>61.6875</v>
      </c>
      <c r="D86" s="1">
        <v>1050</v>
      </c>
      <c r="E86" s="1" t="s">
        <v>5</v>
      </c>
      <c r="F86" s="2">
        <v>27</v>
      </c>
      <c r="G86" s="3">
        <v>124.18300000000001</v>
      </c>
      <c r="H86" s="3">
        <v>6.3070000000000004</v>
      </c>
      <c r="I86" s="2">
        <v>-22</v>
      </c>
    </row>
    <row r="87" spans="1:9" x14ac:dyDescent="0.2">
      <c r="A87" t="s">
        <v>22</v>
      </c>
      <c r="B87" s="1">
        <v>29</v>
      </c>
      <c r="C87" s="3">
        <v>76.416666666664241</v>
      </c>
      <c r="D87" s="1">
        <v>1210</v>
      </c>
      <c r="E87" s="1" t="s">
        <v>5</v>
      </c>
      <c r="F87" s="2">
        <v>32</v>
      </c>
      <c r="G87" s="3">
        <v>114.07</v>
      </c>
      <c r="H87" s="3">
        <v>6.2880000000000003</v>
      </c>
      <c r="I87" s="2">
        <v>-18</v>
      </c>
    </row>
    <row r="88" spans="1:9" x14ac:dyDescent="0.2">
      <c r="A88" t="s">
        <v>92</v>
      </c>
      <c r="B88" s="1">
        <v>19</v>
      </c>
      <c r="C88" s="3">
        <v>8.0972222222262644</v>
      </c>
      <c r="D88" s="1">
        <v>2000</v>
      </c>
      <c r="E88" s="1" t="s">
        <v>61</v>
      </c>
      <c r="F88" s="2">
        <v>6</v>
      </c>
      <c r="G88" s="3">
        <v>144.28</v>
      </c>
      <c r="H88" s="3">
        <v>3.0459999999999998</v>
      </c>
      <c r="I88" s="2">
        <v>-64</v>
      </c>
    </row>
    <row r="89" spans="1:9" x14ac:dyDescent="0.2">
      <c r="A89" t="s">
        <v>93</v>
      </c>
      <c r="B89" s="1">
        <v>15</v>
      </c>
      <c r="C89" s="3">
        <v>8.1180555555547471</v>
      </c>
      <c r="D89" s="1">
        <v>2240</v>
      </c>
      <c r="E89" s="1" t="s">
        <v>61</v>
      </c>
      <c r="F89" s="2">
        <v>10</v>
      </c>
      <c r="G89" s="3">
        <v>137.83000000000001</v>
      </c>
      <c r="H89" s="3">
        <v>5.8730000000000002</v>
      </c>
      <c r="I89" s="2">
        <v>-137</v>
      </c>
    </row>
  </sheetData>
  <sortState xmlns:xlrd2="http://schemas.microsoft.com/office/spreadsheetml/2017/richdata2" ref="A2:F89">
    <sortCondition ref="A2:A8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88Tw24h</vt:lpstr>
      <vt:lpstr>Check</vt:lpstr>
      <vt:lpstr>PMC</vt:lpstr>
      <vt:lpstr>cosHR2d</vt:lpstr>
      <vt:lpstr>Cbb</vt:lpstr>
      <vt:lpstr>Cbc</vt:lpstr>
      <vt:lpstr>Ccc</vt:lpstr>
      <vt:lpstr>F</vt:lpstr>
      <vt:lpstr>GC_Paren</vt:lpstr>
      <vt:lpstr>Kit_R</vt:lpstr>
      <vt:lpstr>mult</vt:lpstr>
      <vt:lpstr>N</vt:lpstr>
      <vt:lpstr>PopA</vt:lpstr>
      <vt:lpstr>PopA_CI</vt:lpstr>
      <vt:lpstr>PopBeta</vt:lpstr>
      <vt:lpstr>PopGamma</vt:lpstr>
      <vt:lpstr>PopMeasor</vt:lpstr>
      <vt:lpstr>PopPhiDegrees</vt:lpstr>
      <vt:lpstr>PopPhiRadians</vt:lpstr>
      <vt:lpstr>PopPR</vt:lpstr>
      <vt:lpstr>s_beta_gamma</vt:lpstr>
      <vt:lpstr>S_Matrix</vt:lpstr>
      <vt:lpstr>Saa</vt:lpstr>
      <vt:lpstr>Sab</vt:lpstr>
      <vt:lpstr>Sba</vt:lpstr>
      <vt:lpstr>Sbb</vt:lpstr>
      <vt:lpstr>SD_Mesor</vt:lpstr>
      <vt:lpstr>SI_Matrix</vt:lpstr>
      <vt:lpstr>SIaa</vt:lpstr>
      <vt:lpstr>SIab</vt:lpstr>
      <vt:lpstr>SIba</vt:lpstr>
      <vt:lpstr>SIbb</vt:lpstr>
      <vt:lpstr>ss_beta</vt:lpstr>
      <vt:lpstr>ss_gamma</vt:lpstr>
      <vt:lpstr>SS_Mesor</vt:lpstr>
      <vt:lpstr>tVal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A. Chase Turner</cp:lastModifiedBy>
  <dcterms:created xsi:type="dcterms:W3CDTF">2025-03-07T21:36:06Z</dcterms:created>
  <dcterms:modified xsi:type="dcterms:W3CDTF">2025-07-10T21:56:45Z</dcterms:modified>
</cp:coreProperties>
</file>