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vvani\Documents\Python Scripts\"/>
    </mc:Choice>
  </mc:AlternateContent>
  <xr:revisionPtr revIDLastSave="0" documentId="13_ncr:1_{C269EB17-4637-4A54-93DF-3AFBE29DBA79}" xr6:coauthVersionLast="47" xr6:coauthVersionMax="47" xr10:uidLastSave="{00000000-0000-0000-0000-000000000000}"/>
  <bookViews>
    <workbookView xWindow="1100" yWindow="1100" windowWidth="17420" windowHeight="8570" xr2:uid="{00000000-000D-0000-FFFF-FFFF00000000}"/>
  </bookViews>
  <sheets>
    <sheet name="simulator" sheetId="1" r:id="rId1"/>
    <sheet name="lkup_simul" sheetId="2" r:id="rId2"/>
    <sheet name="conv_Kstars" sheetId="3" state="hidden" r:id="rId3"/>
    <sheet name="dfk_pk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N19" i="1"/>
  <c r="O18" i="1"/>
  <c r="N18" i="1"/>
  <c r="N17" i="1"/>
  <c r="N13" i="1"/>
  <c r="O13" i="1"/>
  <c r="O12" i="1"/>
  <c r="N12" i="1"/>
  <c r="N11" i="1"/>
  <c r="D32" i="1"/>
  <c r="AB18" i="1"/>
  <c r="AB19" i="1" s="1"/>
  <c r="AA18" i="1"/>
  <c r="AA19" i="1" s="1"/>
  <c r="N39" i="1"/>
  <c r="AC19" i="1"/>
  <c r="AC20" i="1"/>
  <c r="A19" i="4"/>
  <c r="A18" i="4"/>
  <c r="A17" i="4"/>
  <c r="A16" i="4"/>
  <c r="A15" i="4"/>
  <c r="A14" i="4"/>
  <c r="A13" i="4"/>
  <c r="A12" i="4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O4" i="4"/>
  <c r="N4" i="4"/>
  <c r="M4" i="4"/>
  <c r="L4" i="4"/>
  <c r="K4" i="4"/>
  <c r="J4" i="4"/>
  <c r="I4" i="4"/>
  <c r="H4" i="4"/>
  <c r="G4" i="4"/>
  <c r="F4" i="4"/>
  <c r="CJ52" i="3"/>
  <c r="BX52" i="3"/>
  <c r="DA52" i="3" s="1"/>
  <c r="CN50" i="3"/>
  <c r="CF50" i="3"/>
  <c r="BS50" i="3"/>
  <c r="CW50" i="3" s="1"/>
  <c r="BK50" i="3"/>
  <c r="CO50" i="3" s="1"/>
  <c r="BC50" i="3"/>
  <c r="CG50" i="3" s="1"/>
  <c r="W50" i="3"/>
  <c r="W51" i="3" s="1"/>
  <c r="W52" i="3" s="1"/>
  <c r="BS52" i="3" s="1"/>
  <c r="CW52" i="3" s="1"/>
  <c r="G50" i="3"/>
  <c r="G51" i="3" s="1"/>
  <c r="G52" i="3" s="1"/>
  <c r="BC52" i="3" s="1"/>
  <c r="CG52" i="3" s="1"/>
  <c r="CY49" i="3"/>
  <c r="CV49" i="3"/>
  <c r="CN49" i="3"/>
  <c r="CI49" i="3"/>
  <c r="BX49" i="3"/>
  <c r="BW49" i="3"/>
  <c r="BV49" i="3"/>
  <c r="BQ49" i="3"/>
  <c r="BQ50" i="3" s="1"/>
  <c r="U50" i="3" s="1"/>
  <c r="BI49" i="3"/>
  <c r="BI50" i="3" s="1"/>
  <c r="BA49" i="3"/>
  <c r="BA50" i="3" s="1"/>
  <c r="AW49" i="3"/>
  <c r="BU49" i="3" s="1"/>
  <c r="BU50" i="3" s="1"/>
  <c r="AV49" i="3"/>
  <c r="BT49" i="3" s="1"/>
  <c r="AU49" i="3"/>
  <c r="BS49" i="3" s="1"/>
  <c r="CW49" i="3" s="1"/>
  <c r="AT49" i="3"/>
  <c r="BR49" i="3" s="1"/>
  <c r="BR50" i="3" s="1"/>
  <c r="V50" i="3" s="1"/>
  <c r="AS49" i="3"/>
  <c r="AR49" i="3"/>
  <c r="AQ49" i="3"/>
  <c r="BO49" i="3" s="1"/>
  <c r="CS49" i="3" s="1"/>
  <c r="AP49" i="3"/>
  <c r="BN49" i="3" s="1"/>
  <c r="BN50" i="3" s="1"/>
  <c r="R50" i="3" s="1"/>
  <c r="R51" i="3" s="1"/>
  <c r="R52" i="3" s="1"/>
  <c r="BN52" i="3" s="1"/>
  <c r="CR52" i="3" s="1"/>
  <c r="AO49" i="3"/>
  <c r="BM49" i="3" s="1"/>
  <c r="BM50" i="3" s="1"/>
  <c r="AN49" i="3"/>
  <c r="BL49" i="3" s="1"/>
  <c r="AM49" i="3"/>
  <c r="BK49" i="3" s="1"/>
  <c r="CO49" i="3" s="1"/>
  <c r="AL49" i="3"/>
  <c r="BJ49" i="3" s="1"/>
  <c r="BJ50" i="3" s="1"/>
  <c r="N50" i="3" s="1"/>
  <c r="N51" i="3" s="1"/>
  <c r="N52" i="3" s="1"/>
  <c r="BJ52" i="3" s="1"/>
  <c r="CN52" i="3" s="1"/>
  <c r="AK49" i="3"/>
  <c r="AJ49" i="3"/>
  <c r="AI49" i="3"/>
  <c r="BG49" i="3" s="1"/>
  <c r="CK49" i="3" s="1"/>
  <c r="AH49" i="3"/>
  <c r="BF49" i="3" s="1"/>
  <c r="BF50" i="3" s="1"/>
  <c r="J50" i="3" s="1"/>
  <c r="J51" i="3" s="1"/>
  <c r="J52" i="3" s="1"/>
  <c r="BF52" i="3" s="1"/>
  <c r="AG49" i="3"/>
  <c r="BE49" i="3" s="1"/>
  <c r="BE50" i="3" s="1"/>
  <c r="AF49" i="3"/>
  <c r="BD49" i="3" s="1"/>
  <c r="AE49" i="3"/>
  <c r="BC49" i="3" s="1"/>
  <c r="CG49" i="3" s="1"/>
  <c r="AD49" i="3"/>
  <c r="BB49" i="3" s="1"/>
  <c r="BB50" i="3" s="1"/>
  <c r="F50" i="3" s="1"/>
  <c r="F51" i="3" s="1"/>
  <c r="F52" i="3" s="1"/>
  <c r="BB52" i="3" s="1"/>
  <c r="CF52" i="3" s="1"/>
  <c r="AC49" i="3"/>
  <c r="AB49" i="3"/>
  <c r="AA49" i="3"/>
  <c r="AY49" i="3" s="1"/>
  <c r="CC49" i="3" s="1"/>
  <c r="Z49" i="3"/>
  <c r="AX49" i="3" s="1"/>
  <c r="AX50" i="3" s="1"/>
  <c r="B50" i="3" s="1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EB28" i="3"/>
  <c r="EA28" i="3"/>
  <c r="DG28" i="3"/>
  <c r="DF28" i="3"/>
  <c r="DA28" i="3"/>
  <c r="BX28" i="3"/>
  <c r="EB26" i="3"/>
  <c r="EA26" i="3"/>
  <c r="DG26" i="3"/>
  <c r="DF26" i="3"/>
  <c r="DG25" i="3"/>
  <c r="DF25" i="3"/>
  <c r="BW25" i="3"/>
  <c r="BV25" i="3"/>
  <c r="BX25" i="3" s="1"/>
  <c r="BT25" i="3"/>
  <c r="BL25" i="3"/>
  <c r="BG25" i="3"/>
  <c r="BG26" i="3" s="1"/>
  <c r="BB25" i="3"/>
  <c r="AW25" i="3"/>
  <c r="DY27" i="3" s="1"/>
  <c r="DY29" i="3" s="1"/>
  <c r="AV25" i="3"/>
  <c r="DX27" i="3" s="1"/>
  <c r="AU25" i="3"/>
  <c r="AT25" i="3"/>
  <c r="BR25" i="3" s="1"/>
  <c r="AS25" i="3"/>
  <c r="AR25" i="3"/>
  <c r="BP25" i="3" s="1"/>
  <c r="AQ25" i="3"/>
  <c r="AP25" i="3"/>
  <c r="BN25" i="3" s="1"/>
  <c r="AO25" i="3"/>
  <c r="AN25" i="3"/>
  <c r="AM25" i="3"/>
  <c r="BK25" i="3" s="1"/>
  <c r="AL25" i="3"/>
  <c r="BJ25" i="3" s="1"/>
  <c r="AK25" i="3"/>
  <c r="AJ25" i="3"/>
  <c r="BH25" i="3" s="1"/>
  <c r="AI25" i="3"/>
  <c r="AH25" i="3"/>
  <c r="BF25" i="3" s="1"/>
  <c r="AG25" i="3"/>
  <c r="AF25" i="3"/>
  <c r="BD25" i="3" s="1"/>
  <c r="AE25" i="3"/>
  <c r="BC25" i="3" s="1"/>
  <c r="AD25" i="3"/>
  <c r="AC25" i="3"/>
  <c r="AB25" i="3"/>
  <c r="AZ25" i="3" s="1"/>
  <c r="AA25" i="3"/>
  <c r="AY25" i="3" s="1"/>
  <c r="Z25" i="3"/>
  <c r="AX25" i="3" s="1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EE23" i="3"/>
  <c r="ED23" i="3"/>
  <c r="DC23" i="3"/>
  <c r="EE22" i="3"/>
  <c r="DZ22" i="3"/>
  <c r="DW22" i="3"/>
  <c r="DC22" i="3"/>
  <c r="CV22" i="3"/>
  <c r="CU22" i="3"/>
  <c r="DY22" i="3" s="1"/>
  <c r="CT22" i="3"/>
  <c r="DX22" i="3" s="1"/>
  <c r="CS22" i="3"/>
  <c r="EE21" i="3"/>
  <c r="DZ21" i="3"/>
  <c r="DW21" i="3"/>
  <c r="DC21" i="3"/>
  <c r="CV21" i="3"/>
  <c r="CU21" i="3"/>
  <c r="DY21" i="3" s="1"/>
  <c r="CT21" i="3"/>
  <c r="DX21" i="3" s="1"/>
  <c r="CS21" i="3"/>
  <c r="EE20" i="3"/>
  <c r="EC20" i="3"/>
  <c r="EB20" i="3"/>
  <c r="EA20" i="3"/>
  <c r="DZ20" i="3"/>
  <c r="DL20" i="3"/>
  <c r="DK20" i="3"/>
  <c r="DJ20" i="3"/>
  <c r="DG20" i="3"/>
  <c r="DF20" i="3"/>
  <c r="DC20" i="3"/>
  <c r="DA20" i="3"/>
  <c r="CU20" i="3"/>
  <c r="DY20" i="3" s="1"/>
  <c r="CL20" i="3"/>
  <c r="CM20" i="3" s="1"/>
  <c r="CK20" i="3"/>
  <c r="DO20" i="3" s="1"/>
  <c r="CJ20" i="3"/>
  <c r="DN20" i="3" s="1"/>
  <c r="CI20" i="3"/>
  <c r="DM20" i="3" s="1"/>
  <c r="CF20" i="3"/>
  <c r="CE20" i="3"/>
  <c r="DI20" i="3" s="1"/>
  <c r="CD20" i="3"/>
  <c r="EC19" i="3"/>
  <c r="EB19" i="3"/>
  <c r="EA19" i="3"/>
  <c r="DZ19" i="3"/>
  <c r="DX19" i="3"/>
  <c r="DV19" i="3"/>
  <c r="DU19" i="3"/>
  <c r="DT19" i="3"/>
  <c r="DP19" i="3"/>
  <c r="DL19" i="3"/>
  <c r="DH19" i="3"/>
  <c r="DG19" i="3"/>
  <c r="DF19" i="3"/>
  <c r="DC19" i="3"/>
  <c r="EE19" i="3" s="1"/>
  <c r="DA19" i="3"/>
  <c r="CU19" i="3"/>
  <c r="DY19" i="3" s="1"/>
  <c r="CS19" i="3"/>
  <c r="DW19" i="3" s="1"/>
  <c r="CR19" i="3"/>
  <c r="CO19" i="3"/>
  <c r="DS19" i="3" s="1"/>
  <c r="CN19" i="3"/>
  <c r="DR19" i="3" s="1"/>
  <c r="CM19" i="3"/>
  <c r="DQ19" i="3" s="1"/>
  <c r="CL19" i="3"/>
  <c r="CK19" i="3"/>
  <c r="DO19" i="3" s="1"/>
  <c r="CJ19" i="3"/>
  <c r="DN19" i="3" s="1"/>
  <c r="CI19" i="3"/>
  <c r="DM19" i="3" s="1"/>
  <c r="CH19" i="3"/>
  <c r="CG19" i="3"/>
  <c r="DK19" i="3" s="1"/>
  <c r="CF19" i="3"/>
  <c r="DJ19" i="3" s="1"/>
  <c r="CE19" i="3"/>
  <c r="DI19" i="3" s="1"/>
  <c r="CD19" i="3"/>
  <c r="DC18" i="3"/>
  <c r="DC17" i="3"/>
  <c r="EC16" i="3"/>
  <c r="EB16" i="3"/>
  <c r="EA16" i="3"/>
  <c r="DY16" i="3"/>
  <c r="DU16" i="3"/>
  <c r="DS16" i="3"/>
  <c r="DR16" i="3"/>
  <c r="DO16" i="3"/>
  <c r="DN16" i="3"/>
  <c r="DL16" i="3"/>
  <c r="DK16" i="3"/>
  <c r="DJ16" i="3"/>
  <c r="DI16" i="3"/>
  <c r="DH16" i="3"/>
  <c r="DF16" i="3"/>
  <c r="DC16" i="3"/>
  <c r="EE16" i="3" s="1"/>
  <c r="DA16" i="3"/>
  <c r="CV16" i="3"/>
  <c r="DZ16" i="3" s="1"/>
  <c r="CU16" i="3"/>
  <c r="CT16" i="3"/>
  <c r="DX16" i="3" s="1"/>
  <c r="CS16" i="3"/>
  <c r="DW16" i="3" s="1"/>
  <c r="CR16" i="3"/>
  <c r="DV16" i="3" s="1"/>
  <c r="CP16" i="3"/>
  <c r="DT16" i="3" s="1"/>
  <c r="CN16" i="3"/>
  <c r="CM16" i="3"/>
  <c r="DQ16" i="3" s="1"/>
  <c r="CL16" i="3"/>
  <c r="DP16" i="3" s="1"/>
  <c r="CK16" i="3"/>
  <c r="CJ16" i="3"/>
  <c r="CI16" i="3"/>
  <c r="CZ16" i="3" s="1"/>
  <c r="CC16" i="3"/>
  <c r="DG16" i="3" s="1"/>
  <c r="CB16" i="3"/>
  <c r="DB16" i="3" s="1"/>
  <c r="DC15" i="3"/>
  <c r="DR14" i="3"/>
  <c r="DN14" i="3"/>
  <c r="DL14" i="3"/>
  <c r="DK14" i="3"/>
  <c r="DJ14" i="3"/>
  <c r="DI14" i="3"/>
  <c r="DH14" i="3"/>
  <c r="DG14" i="3"/>
  <c r="DF14" i="3"/>
  <c r="DC14" i="3"/>
  <c r="EE14" i="3" s="1"/>
  <c r="DA14" i="3"/>
  <c r="CN14" i="3"/>
  <c r="CO14" i="3" s="1"/>
  <c r="CM14" i="3"/>
  <c r="DQ14" i="3" s="1"/>
  <c r="CL14" i="3"/>
  <c r="DP14" i="3" s="1"/>
  <c r="CK14" i="3"/>
  <c r="DO14" i="3" s="1"/>
  <c r="CJ14" i="3"/>
  <c r="CI14" i="3"/>
  <c r="DM14" i="3" s="1"/>
  <c r="ED13" i="3"/>
  <c r="DC13" i="3"/>
  <c r="EE13" i="3" s="1"/>
  <c r="DB13" i="3"/>
  <c r="EC12" i="3"/>
  <c r="EB12" i="3"/>
  <c r="DY12" i="3"/>
  <c r="DX12" i="3"/>
  <c r="DV12" i="3"/>
  <c r="DT12" i="3"/>
  <c r="DP12" i="3"/>
  <c r="DL12" i="3"/>
  <c r="DK12" i="3"/>
  <c r="DJ12" i="3"/>
  <c r="DI12" i="3"/>
  <c r="DH12" i="3"/>
  <c r="DG12" i="3"/>
  <c r="DF12" i="3"/>
  <c r="DC12" i="3"/>
  <c r="EE12" i="3" s="1"/>
  <c r="DA12" i="3"/>
  <c r="CW12" i="3"/>
  <c r="EA12" i="3" s="1"/>
  <c r="CV12" i="3"/>
  <c r="DZ12" i="3" s="1"/>
  <c r="CT12" i="3"/>
  <c r="CS12" i="3"/>
  <c r="DW12" i="3" s="1"/>
  <c r="CR12" i="3"/>
  <c r="CQ12" i="3"/>
  <c r="DU12" i="3" s="1"/>
  <c r="CP12" i="3"/>
  <c r="CO12" i="3"/>
  <c r="DS12" i="3" s="1"/>
  <c r="CN12" i="3"/>
  <c r="DR12" i="3" s="1"/>
  <c r="CM12" i="3"/>
  <c r="DQ12" i="3" s="1"/>
  <c r="CL12" i="3"/>
  <c r="CK12" i="3"/>
  <c r="DO12" i="3" s="1"/>
  <c r="CJ12" i="3"/>
  <c r="DN12" i="3" s="1"/>
  <c r="CI12" i="3"/>
  <c r="DB12" i="3" s="1"/>
  <c r="CH12" i="3"/>
  <c r="DS11" i="3"/>
  <c r="DR11" i="3"/>
  <c r="DM11" i="3"/>
  <c r="DL11" i="3"/>
  <c r="DK11" i="3"/>
  <c r="DJ11" i="3"/>
  <c r="DI11" i="3"/>
  <c r="DH11" i="3"/>
  <c r="DG11" i="3"/>
  <c r="DF11" i="3"/>
  <c r="DC11" i="3"/>
  <c r="EE11" i="3" s="1"/>
  <c r="DA11" i="3"/>
  <c r="CO11" i="3"/>
  <c r="CP11" i="3" s="1"/>
  <c r="DT11" i="3" s="1"/>
  <c r="CN11" i="3"/>
  <c r="CM11" i="3"/>
  <c r="DQ11" i="3" s="1"/>
  <c r="CL11" i="3"/>
  <c r="DP11" i="3" s="1"/>
  <c r="CK11" i="3"/>
  <c r="DO11" i="3" s="1"/>
  <c r="CJ11" i="3"/>
  <c r="DN11" i="3" s="1"/>
  <c r="CI11" i="3"/>
  <c r="CF11" i="3"/>
  <c r="DN10" i="3"/>
  <c r="DM10" i="3"/>
  <c r="DJ10" i="3"/>
  <c r="DI10" i="3"/>
  <c r="DH10" i="3"/>
  <c r="DG10" i="3"/>
  <c r="DF10" i="3"/>
  <c r="DC10" i="3"/>
  <c r="EE10" i="3" s="1"/>
  <c r="DA10" i="3"/>
  <c r="CL10" i="3"/>
  <c r="DP10" i="3" s="1"/>
  <c r="CK10" i="3"/>
  <c r="DO10" i="3" s="1"/>
  <c r="CJ10" i="3"/>
  <c r="CI10" i="3"/>
  <c r="CH10" i="3"/>
  <c r="DL10" i="3" s="1"/>
  <c r="CG10" i="3"/>
  <c r="DK10" i="3" s="1"/>
  <c r="CF10" i="3"/>
  <c r="CE10" i="3"/>
  <c r="EE9" i="3"/>
  <c r="EC9" i="3"/>
  <c r="EB9" i="3"/>
  <c r="EA9" i="3"/>
  <c r="DZ9" i="3"/>
  <c r="DW9" i="3"/>
  <c r="DT9" i="3"/>
  <c r="DP9" i="3"/>
  <c r="DO9" i="3"/>
  <c r="DL9" i="3"/>
  <c r="DI9" i="3"/>
  <c r="DH9" i="3"/>
  <c r="DG9" i="3"/>
  <c r="DC9" i="3"/>
  <c r="DA9" i="3"/>
  <c r="CU9" i="3"/>
  <c r="CT9" i="3"/>
  <c r="CS9" i="3"/>
  <c r="CR9" i="3"/>
  <c r="CQ9" i="3"/>
  <c r="CO9" i="3"/>
  <c r="CN9" i="3"/>
  <c r="CM9" i="3"/>
  <c r="DQ9" i="3" s="1"/>
  <c r="CL9" i="3"/>
  <c r="CK9" i="3"/>
  <c r="CJ9" i="3"/>
  <c r="CI9" i="3"/>
  <c r="DM9" i="3" s="1"/>
  <c r="CH9" i="3"/>
  <c r="CG9" i="3"/>
  <c r="CF9" i="3"/>
  <c r="CC9" i="3"/>
  <c r="CB9" i="3"/>
  <c r="DF6" i="3"/>
  <c r="AY5" i="3"/>
  <c r="CC6" i="3" s="1"/>
  <c r="DG6" i="3" s="1"/>
  <c r="BB43" i="2"/>
  <c r="BB44" i="2" s="1"/>
  <c r="BB45" i="2" s="1"/>
  <c r="BB46" i="2" s="1"/>
  <c r="BB47" i="2" s="1"/>
  <c r="BB48" i="2" s="1"/>
  <c r="BB49" i="2" s="1"/>
  <c r="BE42" i="2"/>
  <c r="BE41" i="2"/>
  <c r="BE40" i="2"/>
  <c r="BE39" i="2"/>
  <c r="BF38" i="2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E38" i="2"/>
  <c r="BE37" i="2"/>
  <c r="BF36" i="2"/>
  <c r="BF37" i="2" s="1"/>
  <c r="BE36" i="2"/>
  <c r="BF35" i="2"/>
  <c r="BE35" i="2"/>
  <c r="BE34" i="2"/>
  <c r="BE33" i="2"/>
  <c r="BF33" i="2" s="1"/>
  <c r="CC32" i="2"/>
  <c r="BF32" i="2"/>
  <c r="BE32" i="2"/>
  <c r="CC31" i="2"/>
  <c r="BE31" i="2"/>
  <c r="BF31" i="2" s="1"/>
  <c r="CC30" i="2"/>
  <c r="BF30" i="2"/>
  <c r="BE30" i="2"/>
  <c r="CC29" i="2"/>
  <c r="BE29" i="2"/>
  <c r="BF29" i="2" s="1"/>
  <c r="CC28" i="2"/>
  <c r="BE28" i="2"/>
  <c r="BF28" i="2" s="1"/>
  <c r="R28" i="2"/>
  <c r="R29" i="2" s="1"/>
  <c r="CC27" i="2"/>
  <c r="BF27" i="2"/>
  <c r="BE27" i="2"/>
  <c r="CC26" i="2"/>
  <c r="BE26" i="2"/>
  <c r="BF26" i="2" s="1"/>
  <c r="AI26" i="2"/>
  <c r="AH26" i="2"/>
  <c r="CE25" i="2"/>
  <c r="CE26" i="2" s="1"/>
  <c r="CE27" i="2" s="1"/>
  <c r="CE28" i="2" s="1"/>
  <c r="CE29" i="2" s="1"/>
  <c r="CE30" i="2" s="1"/>
  <c r="CE31" i="2" s="1"/>
  <c r="CE32" i="2" s="1"/>
  <c r="CC25" i="2"/>
  <c r="BF25" i="2"/>
  <c r="BE25" i="2"/>
  <c r="AI25" i="2"/>
  <c r="AH25" i="2"/>
  <c r="CC24" i="2"/>
  <c r="BE24" i="2"/>
  <c r="BF24" i="2" s="1"/>
  <c r="AI24" i="2"/>
  <c r="AH24" i="2"/>
  <c r="CC23" i="2"/>
  <c r="BE23" i="2"/>
  <c r="BF23" i="2" s="1"/>
  <c r="AI23" i="2"/>
  <c r="AH23" i="2"/>
  <c r="DD22" i="2"/>
  <c r="CC22" i="2"/>
  <c r="BE22" i="2"/>
  <c r="BF22" i="2" s="1"/>
  <c r="AI22" i="2"/>
  <c r="AH22" i="2"/>
  <c r="DD21" i="2"/>
  <c r="CC21" i="2"/>
  <c r="BE21" i="2"/>
  <c r="BF21" i="2" s="1"/>
  <c r="AI21" i="2"/>
  <c r="AH21" i="2"/>
  <c r="DD20" i="2"/>
  <c r="CQ20" i="2"/>
  <c r="CC20" i="2"/>
  <c r="BF20" i="2"/>
  <c r="BE20" i="2"/>
  <c r="AI20" i="2"/>
  <c r="AH20" i="2"/>
  <c r="DX19" i="2"/>
  <c r="DD19" i="2"/>
  <c r="CQ19" i="2"/>
  <c r="CN19" i="2"/>
  <c r="CE19" i="2"/>
  <c r="CE20" i="2" s="1"/>
  <c r="CE21" i="2" s="1"/>
  <c r="CE22" i="2" s="1"/>
  <c r="CE23" i="2" s="1"/>
  <c r="CE24" i="2" s="1"/>
  <c r="CC19" i="2"/>
  <c r="BF19" i="2"/>
  <c r="BE19" i="2"/>
  <c r="AI19" i="2"/>
  <c r="AH19" i="2"/>
  <c r="DX18" i="2"/>
  <c r="DD18" i="2"/>
  <c r="CQ18" i="2"/>
  <c r="CN18" i="2"/>
  <c r="CH18" i="2"/>
  <c r="CC18" i="2"/>
  <c r="BE18" i="2"/>
  <c r="BF18" i="2" s="1"/>
  <c r="BF17" i="2" s="1"/>
  <c r="AI18" i="2"/>
  <c r="AH18" i="2"/>
  <c r="DX17" i="2"/>
  <c r="DD17" i="2"/>
  <c r="CQ17" i="2"/>
  <c r="CN17" i="2"/>
  <c r="CH17" i="2"/>
  <c r="CC17" i="2"/>
  <c r="AI17" i="2"/>
  <c r="AH17" i="2"/>
  <c r="DX16" i="2"/>
  <c r="DD16" i="2"/>
  <c r="CQ16" i="2"/>
  <c r="CN16" i="2"/>
  <c r="CH16" i="2"/>
  <c r="CF16" i="2"/>
  <c r="CF17" i="2" s="1"/>
  <c r="CF18" i="2" s="1"/>
  <c r="CF19" i="2" s="1"/>
  <c r="CF20" i="2" s="1"/>
  <c r="CF21" i="2" s="1"/>
  <c r="CF22" i="2" s="1"/>
  <c r="CF23" i="2" s="1"/>
  <c r="CF24" i="2" s="1"/>
  <c r="CF25" i="2" s="1"/>
  <c r="CF26" i="2" s="1"/>
  <c r="CF27" i="2" s="1"/>
  <c r="CF28" i="2" s="1"/>
  <c r="CF29" i="2" s="1"/>
  <c r="CF30" i="2" s="1"/>
  <c r="CF31" i="2" s="1"/>
  <c r="CF32" i="2" s="1"/>
  <c r="CC16" i="2"/>
  <c r="BE16" i="2"/>
  <c r="AI16" i="2"/>
  <c r="AH16" i="2"/>
  <c r="R16" i="2"/>
  <c r="DX15" i="2"/>
  <c r="DD15" i="2"/>
  <c r="CQ15" i="2"/>
  <c r="CN15" i="2"/>
  <c r="CH15" i="2"/>
  <c r="CF15" i="2"/>
  <c r="CC15" i="2"/>
  <c r="BF15" i="2"/>
  <c r="AI15" i="2"/>
  <c r="AH15" i="2"/>
  <c r="R15" i="2"/>
  <c r="DX14" i="2"/>
  <c r="DD14" i="2"/>
  <c r="CQ14" i="2"/>
  <c r="CN14" i="2"/>
  <c r="CH14" i="2"/>
  <c r="CC14" i="2"/>
  <c r="BE14" i="2"/>
  <c r="AI14" i="2"/>
  <c r="AH14" i="2"/>
  <c r="R14" i="2"/>
  <c r="DX13" i="2"/>
  <c r="DD13" i="2"/>
  <c r="CQ13" i="2"/>
  <c r="CN13" i="2"/>
  <c r="CH13" i="2"/>
  <c r="CF13" i="2"/>
  <c r="CC13" i="2"/>
  <c r="BE13" i="2"/>
  <c r="AI13" i="2"/>
  <c r="AH13" i="2"/>
  <c r="R13" i="2"/>
  <c r="DX12" i="2"/>
  <c r="DD12" i="2"/>
  <c r="CQ12" i="2"/>
  <c r="CO12" i="2"/>
  <c r="CO13" i="2" s="1"/>
  <c r="CO14" i="2" s="1"/>
  <c r="CO15" i="2" s="1"/>
  <c r="CO16" i="2" s="1"/>
  <c r="CO17" i="2" s="1"/>
  <c r="CO18" i="2" s="1"/>
  <c r="CO19" i="2" s="1"/>
  <c r="CN12" i="2"/>
  <c r="CH12" i="2"/>
  <c r="CF12" i="2"/>
  <c r="CF11" i="2" s="1"/>
  <c r="CF10" i="2" s="1"/>
  <c r="CF9" i="2" s="1"/>
  <c r="CC12" i="2"/>
  <c r="BF12" i="2"/>
  <c r="AI12" i="2"/>
  <c r="AH12" i="2"/>
  <c r="R12" i="2"/>
  <c r="DX11" i="2"/>
  <c r="DD11" i="2"/>
  <c r="CQ11" i="2"/>
  <c r="CO11" i="2"/>
  <c r="CN11" i="2"/>
  <c r="CH11" i="2"/>
  <c r="CE11" i="2"/>
  <c r="CE10" i="2" s="1"/>
  <c r="CE9" i="2" s="1"/>
  <c r="CE8" i="2" s="1"/>
  <c r="CE7" i="2" s="1"/>
  <c r="CE6" i="2" s="1"/>
  <c r="CE5" i="2" s="1"/>
  <c r="CC11" i="2"/>
  <c r="BF11" i="2"/>
  <c r="BF10" i="2" s="1"/>
  <c r="BF9" i="2" s="1"/>
  <c r="BF8" i="2" s="1"/>
  <c r="AI11" i="2"/>
  <c r="AH11" i="2"/>
  <c r="R11" i="2"/>
  <c r="DX10" i="2"/>
  <c r="DD10" i="2"/>
  <c r="CQ10" i="2"/>
  <c r="CO10" i="2"/>
  <c r="CN10" i="2"/>
  <c r="CH10" i="2"/>
  <c r="CC10" i="2"/>
  <c r="AI10" i="2"/>
  <c r="AH10" i="2"/>
  <c r="R10" i="2"/>
  <c r="DX9" i="2"/>
  <c r="DD9" i="2"/>
  <c r="CQ9" i="2"/>
  <c r="CO9" i="2"/>
  <c r="CN9" i="2"/>
  <c r="CH9" i="2"/>
  <c r="CC9" i="2"/>
  <c r="R9" i="2"/>
  <c r="EV8" i="2"/>
  <c r="EU8" i="2"/>
  <c r="ET8" i="2"/>
  <c r="ES8" i="2"/>
  <c r="DX8" i="2"/>
  <c r="DD8" i="2"/>
  <c r="CX8" i="2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Q8" i="2"/>
  <c r="CN8" i="2"/>
  <c r="CH8" i="2"/>
  <c r="CF8" i="2"/>
  <c r="CF7" i="2" s="1"/>
  <c r="CF6" i="2" s="1"/>
  <c r="CF5" i="2" s="1"/>
  <c r="CC8" i="2"/>
  <c r="R8" i="2"/>
  <c r="EV7" i="2"/>
  <c r="EU7" i="2"/>
  <c r="ET7" i="2"/>
  <c r="ES7" i="2"/>
  <c r="EE7" i="2"/>
  <c r="DX7" i="2"/>
  <c r="DH7" i="2"/>
  <c r="DH8" i="2" s="1"/>
  <c r="DD7" i="2"/>
  <c r="EH7" i="2" s="1"/>
  <c r="EK7" i="2" s="1"/>
  <c r="CX7" i="2"/>
  <c r="CQ7" i="2"/>
  <c r="CN7" i="2"/>
  <c r="CH7" i="2"/>
  <c r="CC7" i="2"/>
  <c r="BH7" i="2"/>
  <c r="BH8" i="2" s="1"/>
  <c r="R7" i="2"/>
  <c r="FQ6" i="2"/>
  <c r="FQ7" i="2" s="1"/>
  <c r="FQ8" i="2" s="1"/>
  <c r="FQ9" i="2" s="1"/>
  <c r="FQ10" i="2" s="1"/>
  <c r="FQ11" i="2" s="1"/>
  <c r="FQ12" i="2" s="1"/>
  <c r="FQ13" i="2" s="1"/>
  <c r="FQ14" i="2" s="1"/>
  <c r="FQ15" i="2" s="1"/>
  <c r="FQ16" i="2" s="1"/>
  <c r="FQ17" i="2" s="1"/>
  <c r="FQ18" i="2" s="1"/>
  <c r="FQ19" i="2" s="1"/>
  <c r="FP6" i="2"/>
  <c r="FP7" i="2" s="1"/>
  <c r="FP8" i="2" s="1"/>
  <c r="FP9" i="2" s="1"/>
  <c r="FP10" i="2" s="1"/>
  <c r="FP11" i="2" s="1"/>
  <c r="FP12" i="2" s="1"/>
  <c r="FP13" i="2" s="1"/>
  <c r="FP14" i="2" s="1"/>
  <c r="FP15" i="2" s="1"/>
  <c r="FP16" i="2" s="1"/>
  <c r="EV6" i="2"/>
  <c r="EU6" i="2"/>
  <c r="ET6" i="2"/>
  <c r="ES6" i="2"/>
  <c r="DX6" i="2"/>
  <c r="DT6" i="2"/>
  <c r="DQ6" i="2"/>
  <c r="DP6" i="2"/>
  <c r="DS6" i="2" s="1"/>
  <c r="DD6" i="2"/>
  <c r="CQ6" i="2"/>
  <c r="CN6" i="2"/>
  <c r="CH6" i="2"/>
  <c r="CC6" i="2"/>
  <c r="BI6" i="2"/>
  <c r="R6" i="2"/>
  <c r="FT5" i="2"/>
  <c r="FT6" i="2" s="1"/>
  <c r="FT7" i="2" s="1"/>
  <c r="FT8" i="2" s="1"/>
  <c r="FT9" i="2" s="1"/>
  <c r="FT10" i="2" s="1"/>
  <c r="FT11" i="2" s="1"/>
  <c r="FT12" i="2" s="1"/>
  <c r="EV5" i="2"/>
  <c r="EU5" i="2"/>
  <c r="ET5" i="2"/>
  <c r="ES5" i="2"/>
  <c r="DX5" i="2"/>
  <c r="DT5" i="2"/>
  <c r="DS5" i="2"/>
  <c r="DD5" i="2"/>
  <c r="DK6" i="2" s="1"/>
  <c r="DN6" i="2" s="1"/>
  <c r="CN5" i="2"/>
  <c r="CC5" i="2"/>
  <c r="BI5" i="2"/>
  <c r="BF5" i="2"/>
  <c r="R5" i="2"/>
  <c r="FQ4" i="2"/>
  <c r="EV4" i="2"/>
  <c r="EU4" i="2"/>
  <c r="ET4" i="2"/>
  <c r="ES4" i="2"/>
  <c r="DX4" i="2"/>
  <c r="DT4" i="2"/>
  <c r="DS4" i="2"/>
  <c r="BF4" i="2"/>
  <c r="BI4" i="2" s="1"/>
  <c r="R4" i="2"/>
  <c r="BF3" i="2"/>
  <c r="BI3" i="2" s="1"/>
  <c r="R3" i="2"/>
  <c r="BF2" i="2"/>
  <c r="BI2" i="2" s="1"/>
  <c r="AT36" i="1"/>
  <c r="AS36" i="1"/>
  <c r="AR36" i="1"/>
  <c r="AQ36" i="1"/>
  <c r="AP36" i="1"/>
  <c r="AB36" i="1"/>
  <c r="AA36" i="1"/>
  <c r="AS35" i="1"/>
  <c r="AR35" i="1"/>
  <c r="AQ35" i="1"/>
  <c r="AO35" i="1"/>
  <c r="AB35" i="1"/>
  <c r="AA35" i="1"/>
  <c r="AB34" i="1"/>
  <c r="AA34" i="1"/>
  <c r="AT33" i="1"/>
  <c r="AS33" i="1"/>
  <c r="AR33" i="1"/>
  <c r="AQ33" i="1"/>
  <c r="AP33" i="1"/>
  <c r="AB33" i="1"/>
  <c r="AA33" i="1"/>
  <c r="AS32" i="1"/>
  <c r="AR32" i="1"/>
  <c r="AQ32" i="1"/>
  <c r="AO32" i="1"/>
  <c r="AB32" i="1"/>
  <c r="AA32" i="1"/>
  <c r="AB31" i="1"/>
  <c r="AA31" i="1"/>
  <c r="AE27" i="1"/>
  <c r="AD27" i="1"/>
  <c r="AC27" i="1"/>
  <c r="Y27" i="1"/>
  <c r="X27" i="1"/>
  <c r="W27" i="1"/>
  <c r="AD26" i="1"/>
  <c r="X26" i="1"/>
  <c r="AN15" i="1" s="1"/>
  <c r="AE25" i="1"/>
  <c r="AD25" i="1"/>
  <c r="AC25" i="1"/>
  <c r="Y25" i="1"/>
  <c r="X25" i="1"/>
  <c r="W25" i="1"/>
  <c r="AB22" i="1"/>
  <c r="AA22" i="1"/>
  <c r="AB21" i="1"/>
  <c r="AC7" i="1" s="1"/>
  <c r="AC9" i="1" s="1"/>
  <c r="AA21" i="1"/>
  <c r="AB20" i="1"/>
  <c r="AA20" i="1"/>
  <c r="AM17" i="1"/>
  <c r="AL17" i="1"/>
  <c r="AB17" i="1"/>
  <c r="AA17" i="1"/>
  <c r="AM16" i="1"/>
  <c r="AL16" i="1"/>
  <c r="AN16" i="1" s="1"/>
  <c r="AM14" i="1"/>
  <c r="AN14" i="1" s="1"/>
  <c r="AL14" i="1"/>
  <c r="AM13" i="1"/>
  <c r="AL13" i="1"/>
  <c r="AN13" i="1" s="1"/>
  <c r="AC13" i="1"/>
  <c r="AB13" i="1"/>
  <c r="W13" i="1"/>
  <c r="W11" i="1" s="1"/>
  <c r="V13" i="1"/>
  <c r="AM12" i="1"/>
  <c r="AL12" i="1"/>
  <c r="AC12" i="1"/>
  <c r="AB12" i="1"/>
  <c r="V12" i="1"/>
  <c r="F12" i="1"/>
  <c r="E12" i="1"/>
  <c r="D12" i="1"/>
  <c r="AM11" i="1"/>
  <c r="AL11" i="1"/>
  <c r="AC11" i="1"/>
  <c r="AB11" i="1"/>
  <c r="V11" i="1"/>
  <c r="F11" i="1"/>
  <c r="E11" i="1"/>
  <c r="V8" i="1" s="1"/>
  <c r="AM10" i="1"/>
  <c r="AL10" i="1"/>
  <c r="AC10" i="1"/>
  <c r="AB10" i="1"/>
  <c r="V10" i="1"/>
  <c r="AM9" i="1"/>
  <c r="AL9" i="1"/>
  <c r="AK9" i="1"/>
  <c r="AB9" i="1"/>
  <c r="V9" i="1"/>
  <c r="AM8" i="1"/>
  <c r="AL8" i="1"/>
  <c r="AK8" i="1"/>
  <c r="AC8" i="1"/>
  <c r="AB8" i="1"/>
  <c r="C8" i="1"/>
  <c r="AM7" i="1"/>
  <c r="AL7" i="1"/>
  <c r="AB7" i="1"/>
  <c r="W7" i="1"/>
  <c r="W9" i="1" s="1"/>
  <c r="R7" i="1"/>
  <c r="P7" i="1"/>
  <c r="AM6" i="1"/>
  <c r="AN6" i="1" s="1"/>
  <c r="AL6" i="1"/>
  <c r="R6" i="1"/>
  <c r="Q6" i="1"/>
  <c r="AM5" i="1"/>
  <c r="AN5" i="1" s="1"/>
  <c r="AL5" i="1"/>
  <c r="AO33" i="1" s="1"/>
  <c r="AP3" i="1"/>
  <c r="AP18" i="1" s="1"/>
  <c r="AO3" i="1"/>
  <c r="AO18" i="1" s="1"/>
  <c r="U3" i="1"/>
  <c r="AD1" i="1"/>
  <c r="X1" i="1"/>
  <c r="AN9" i="1" l="1"/>
  <c r="AP9" i="1" s="1"/>
  <c r="W8" i="1"/>
  <c r="W10" i="1"/>
  <c r="W12" i="1"/>
  <c r="AN17" i="1"/>
  <c r="AO17" i="1" s="1"/>
  <c r="AN11" i="1"/>
  <c r="AP11" i="1" s="1"/>
  <c r="AN12" i="1"/>
  <c r="AN10" i="1"/>
  <c r="AO10" i="1" s="1"/>
  <c r="D11" i="1"/>
  <c r="V7" i="1" s="1"/>
  <c r="P6" i="1"/>
  <c r="AP15" i="1"/>
  <c r="AN7" i="1"/>
  <c r="AO7" i="1" s="1"/>
  <c r="C11" i="1"/>
  <c r="AP16" i="1"/>
  <c r="AO16" i="1"/>
  <c r="FP17" i="2"/>
  <c r="FP18" i="2" s="1"/>
  <c r="FP19" i="2" s="1"/>
  <c r="X4" i="1"/>
  <c r="AD4" i="1"/>
  <c r="AO12" i="1"/>
  <c r="AP12" i="1"/>
  <c r="AP17" i="1"/>
  <c r="AO5" i="1"/>
  <c r="AP5" i="1"/>
  <c r="AO14" i="1"/>
  <c r="AP14" i="1"/>
  <c r="AO6" i="1"/>
  <c r="AP6" i="1"/>
  <c r="W15" i="1"/>
  <c r="AO9" i="1"/>
  <c r="AP13" i="1"/>
  <c r="AO13" i="1"/>
  <c r="AP27" i="1"/>
  <c r="BH9" i="2"/>
  <c r="BI8" i="2"/>
  <c r="AO15" i="1"/>
  <c r="DJ6" i="2"/>
  <c r="DJ8" i="2"/>
  <c r="DM8" i="2" s="1"/>
  <c r="ED19" i="3"/>
  <c r="AX26" i="3"/>
  <c r="CB25" i="3"/>
  <c r="DH25" i="3" s="1"/>
  <c r="BF26" i="3"/>
  <c r="CJ25" i="3"/>
  <c r="DP25" i="3" s="1"/>
  <c r="BJ26" i="3"/>
  <c r="CN25" i="3"/>
  <c r="DT25" i="3" s="1"/>
  <c r="BN26" i="3"/>
  <c r="CR25" i="3"/>
  <c r="DX25" i="3" s="1"/>
  <c r="BR26" i="3"/>
  <c r="V26" i="3" s="1"/>
  <c r="CV25" i="3"/>
  <c r="EB25" i="3" s="1"/>
  <c r="BX26" i="3"/>
  <c r="DA26" i="3" s="1"/>
  <c r="DA27" i="3" s="1"/>
  <c r="DA25" i="3"/>
  <c r="DB23" i="3"/>
  <c r="AO36" i="1"/>
  <c r="BI7" i="2"/>
  <c r="DK8" i="2"/>
  <c r="DN8" i="2" s="1"/>
  <c r="DP7" i="2"/>
  <c r="EG6" i="2"/>
  <c r="AO11" i="1"/>
  <c r="AC15" i="1"/>
  <c r="DJ7" i="2"/>
  <c r="DM7" i="2" s="1"/>
  <c r="DH9" i="2"/>
  <c r="EH6" i="2"/>
  <c r="EK6" i="2" s="1"/>
  <c r="DK7" i="2"/>
  <c r="DN7" i="2" s="1"/>
  <c r="EG7" i="2"/>
  <c r="EE8" i="2"/>
  <c r="DL7" i="2"/>
  <c r="DI7" i="2" s="1"/>
  <c r="DJ9" i="3"/>
  <c r="DN9" i="3"/>
  <c r="DR9" i="3"/>
  <c r="DB9" i="3"/>
  <c r="EG9" i="3" s="1"/>
  <c r="CK31" i="3"/>
  <c r="DX9" i="3"/>
  <c r="DK9" i="3"/>
  <c r="DS9" i="3"/>
  <c r="CZ12" i="3"/>
  <c r="DM12" i="3"/>
  <c r="AZ5" i="3"/>
  <c r="AY26" i="3"/>
  <c r="CC25" i="3"/>
  <c r="DI25" i="3" s="1"/>
  <c r="BC26" i="3"/>
  <c r="CG25" i="3"/>
  <c r="DM25" i="3" s="1"/>
  <c r="BK26" i="3"/>
  <c r="CO25" i="3"/>
  <c r="DU25" i="3" s="1"/>
  <c r="DU9" i="3"/>
  <c r="DY9" i="3"/>
  <c r="CM10" i="3"/>
  <c r="ED12" i="3"/>
  <c r="CP14" i="3"/>
  <c r="DS14" i="3"/>
  <c r="AZ26" i="3"/>
  <c r="CD25" i="3"/>
  <c r="DJ25" i="3" s="1"/>
  <c r="BD26" i="3"/>
  <c r="CH25" i="3"/>
  <c r="DN25" i="3" s="1"/>
  <c r="BH26" i="3"/>
  <c r="CL25" i="3"/>
  <c r="DR25" i="3" s="1"/>
  <c r="BP26" i="3"/>
  <c r="T26" i="3" s="1"/>
  <c r="CT25" i="3"/>
  <c r="DZ25" i="3" s="1"/>
  <c r="CZ9" i="3"/>
  <c r="DF9" i="3"/>
  <c r="DV9" i="3"/>
  <c r="CQ11" i="3"/>
  <c r="CN20" i="3"/>
  <c r="DQ20" i="3"/>
  <c r="EE15" i="3"/>
  <c r="EE17" i="3"/>
  <c r="EE18" i="3"/>
  <c r="CZ19" i="3"/>
  <c r="DH20" i="3"/>
  <c r="DP20" i="3"/>
  <c r="DF27" i="3"/>
  <c r="CH49" i="3"/>
  <c r="BD50" i="3"/>
  <c r="CP49" i="3"/>
  <c r="BL50" i="3"/>
  <c r="CX49" i="3"/>
  <c r="BT50" i="3"/>
  <c r="BO25" i="3"/>
  <c r="DW27" i="3"/>
  <c r="BS25" i="3"/>
  <c r="DG27" i="3"/>
  <c r="DM16" i="3"/>
  <c r="ED16" i="3" s="1"/>
  <c r="DB19" i="3"/>
  <c r="BA25" i="3"/>
  <c r="BE25" i="3"/>
  <c r="BI25" i="3"/>
  <c r="BM25" i="3"/>
  <c r="BQ25" i="3"/>
  <c r="BB26" i="3"/>
  <c r="CF25" i="3"/>
  <c r="DL25" i="3" s="1"/>
  <c r="K26" i="3"/>
  <c r="K27" i="3" s="1"/>
  <c r="K28" i="3" s="1"/>
  <c r="BG28" i="3" s="1"/>
  <c r="CK28" i="3" s="1"/>
  <c r="CK26" i="3"/>
  <c r="BL26" i="3"/>
  <c r="CP25" i="3"/>
  <c r="DV25" i="3" s="1"/>
  <c r="BT26" i="3"/>
  <c r="CX25" i="3"/>
  <c r="CK25" i="3"/>
  <c r="DQ25" i="3" s="1"/>
  <c r="CU51" i="3"/>
  <c r="BX50" i="3"/>
  <c r="DA50" i="3" s="1"/>
  <c r="DA51" i="3" s="1"/>
  <c r="DA49" i="3"/>
  <c r="CF51" i="3"/>
  <c r="CG51" i="3"/>
  <c r="CN51" i="3"/>
  <c r="BU25" i="3"/>
  <c r="AZ49" i="3"/>
  <c r="BH49" i="3"/>
  <c r="BP49" i="3"/>
  <c r="CO51" i="3"/>
  <c r="CI50" i="3"/>
  <c r="I50" i="3"/>
  <c r="I51" i="3" s="1"/>
  <c r="I52" i="3" s="1"/>
  <c r="BE52" i="3" s="1"/>
  <c r="CI52" i="3" s="1"/>
  <c r="CQ50" i="3"/>
  <c r="CQ51" i="3" s="1"/>
  <c r="Q50" i="3"/>
  <c r="Q51" i="3" s="1"/>
  <c r="Q52" i="3" s="1"/>
  <c r="BM52" i="3" s="1"/>
  <c r="CQ52" i="3" s="1"/>
  <c r="CY50" i="3"/>
  <c r="Y50" i="3"/>
  <c r="Y51" i="3" s="1"/>
  <c r="Y52" i="3" s="1"/>
  <c r="BU52" i="3" s="1"/>
  <c r="CY52" i="3" s="1"/>
  <c r="CQ49" i="3"/>
  <c r="O50" i="3"/>
  <c r="O51" i="3" s="1"/>
  <c r="O52" i="3" s="1"/>
  <c r="BK52" i="3" s="1"/>
  <c r="CO52" i="3" s="1"/>
  <c r="CW51" i="3"/>
  <c r="CB49" i="3"/>
  <c r="CJ49" i="3"/>
  <c r="CR49" i="3"/>
  <c r="U51" i="3"/>
  <c r="U52" i="3" s="1"/>
  <c r="BQ52" i="3" s="1"/>
  <c r="B51" i="3"/>
  <c r="B52" i="3" s="1"/>
  <c r="CV51" i="3"/>
  <c r="V51" i="3"/>
  <c r="V52" i="3" s="1"/>
  <c r="BR52" i="3" s="1"/>
  <c r="CE49" i="3"/>
  <c r="CM49" i="3"/>
  <c r="CU49" i="3"/>
  <c r="AY50" i="3"/>
  <c r="BG50" i="3"/>
  <c r="BO50" i="3"/>
  <c r="S50" i="3" s="1"/>
  <c r="CB50" i="3"/>
  <c r="CJ50" i="3"/>
  <c r="CJ51" i="3" s="1"/>
  <c r="CR50" i="3"/>
  <c r="CR51" i="3" s="1"/>
  <c r="CE50" i="3"/>
  <c r="CE51" i="3" s="1"/>
  <c r="E50" i="3"/>
  <c r="E51" i="3" s="1"/>
  <c r="E52" i="3" s="1"/>
  <c r="BA52" i="3" s="1"/>
  <c r="CE52" i="3" s="1"/>
  <c r="CM50" i="3"/>
  <c r="M50" i="3"/>
  <c r="M51" i="3" s="1"/>
  <c r="M52" i="3" s="1"/>
  <c r="BI52" i="3" s="1"/>
  <c r="CM52" i="3" s="1"/>
  <c r="CF49" i="3"/>
  <c r="AP10" i="1" l="1"/>
  <c r="C12" i="1"/>
  <c r="AF2" i="1" s="1"/>
  <c r="Z2" i="1"/>
  <c r="AC22" i="1"/>
  <c r="AC21" i="1"/>
  <c r="X2" i="1"/>
  <c r="X3" i="1" s="1"/>
  <c r="X9" i="1" s="1"/>
  <c r="Y9" i="1" s="1"/>
  <c r="AD2" i="1"/>
  <c r="AD3" i="1" s="1"/>
  <c r="AD7" i="1" s="1"/>
  <c r="BU26" i="3"/>
  <c r="CY25" i="3"/>
  <c r="BI26" i="3"/>
  <c r="CM25" i="3"/>
  <c r="DS25" i="3" s="1"/>
  <c r="CP50" i="3"/>
  <c r="P50" i="3"/>
  <c r="P51" i="3" s="1"/>
  <c r="P52" i="3" s="1"/>
  <c r="BL52" i="3" s="1"/>
  <c r="CP52" i="3" s="1"/>
  <c r="C26" i="3"/>
  <c r="C27" i="3" s="1"/>
  <c r="C28" i="3" s="1"/>
  <c r="AY28" i="3" s="1"/>
  <c r="CC28" i="3" s="1"/>
  <c r="CC26" i="3"/>
  <c r="S51" i="3"/>
  <c r="S52" i="3" s="1"/>
  <c r="BO52" i="3" s="1"/>
  <c r="AX52" i="3"/>
  <c r="CB52" i="3" s="1"/>
  <c r="CD49" i="3"/>
  <c r="AZ50" i="3"/>
  <c r="BM26" i="3"/>
  <c r="CQ25" i="3"/>
  <c r="DW25" i="3" s="1"/>
  <c r="BS26" i="3"/>
  <c r="CW25" i="3"/>
  <c r="EC25" i="3" s="1"/>
  <c r="CL26" i="3"/>
  <c r="L26" i="3"/>
  <c r="L27" i="3" s="1"/>
  <c r="L28" i="3" s="1"/>
  <c r="BH28" i="3" s="1"/>
  <c r="CL28" i="3" s="1"/>
  <c r="CD26" i="3"/>
  <c r="D26" i="3"/>
  <c r="D27" i="3" s="1"/>
  <c r="D28" i="3" s="1"/>
  <c r="AZ28" i="3" s="1"/>
  <c r="CQ14" i="3"/>
  <c r="DT14" i="3"/>
  <c r="DT7" i="2"/>
  <c r="DP8" i="2"/>
  <c r="DS7" i="2"/>
  <c r="DM6" i="2"/>
  <c r="DL6" i="2"/>
  <c r="AP25" i="1"/>
  <c r="AP23" i="1"/>
  <c r="AO25" i="1"/>
  <c r="AO19" i="1"/>
  <c r="P14" i="1" s="1"/>
  <c r="AO23" i="1"/>
  <c r="AO26" i="1"/>
  <c r="CF26" i="3"/>
  <c r="F26" i="3"/>
  <c r="F27" i="3" s="1"/>
  <c r="F28" i="3" s="1"/>
  <c r="BB28" i="3" s="1"/>
  <c r="CF28" i="3" s="1"/>
  <c r="CO20" i="3"/>
  <c r="DR20" i="3"/>
  <c r="O26" i="3"/>
  <c r="O27" i="3" s="1"/>
  <c r="O28" i="3" s="1"/>
  <c r="BK28" i="3" s="1"/>
  <c r="CO28" i="3" s="1"/>
  <c r="CO26" i="3"/>
  <c r="DB22" i="3"/>
  <c r="DB21" i="3"/>
  <c r="V27" i="3"/>
  <c r="V28" i="3" s="1"/>
  <c r="BR28" i="3" s="1"/>
  <c r="CN26" i="3"/>
  <c r="N26" i="3"/>
  <c r="N27" i="3" s="1"/>
  <c r="N28" i="3" s="1"/>
  <c r="BJ28" i="3" s="1"/>
  <c r="CN28" i="3" s="1"/>
  <c r="CB26" i="3"/>
  <c r="B26" i="3"/>
  <c r="AO27" i="1"/>
  <c r="CM51" i="3"/>
  <c r="CC50" i="3"/>
  <c r="C50" i="3"/>
  <c r="C51" i="3" s="1"/>
  <c r="C52" i="3" s="1"/>
  <c r="AY52" i="3" s="1"/>
  <c r="CC52" i="3" s="1"/>
  <c r="CY51" i="3"/>
  <c r="CI51" i="3"/>
  <c r="CT49" i="3"/>
  <c r="BP50" i="3"/>
  <c r="T50" i="3" s="1"/>
  <c r="CK27" i="3"/>
  <c r="DQ26" i="3"/>
  <c r="CK22" i="3"/>
  <c r="DO22" i="3" s="1"/>
  <c r="BE26" i="3"/>
  <c r="CI25" i="3"/>
  <c r="DO25" i="3" s="1"/>
  <c r="EA27" i="3"/>
  <c r="BO26" i="3"/>
  <c r="S26" i="3" s="1"/>
  <c r="CS25" i="3"/>
  <c r="DY25" i="3" s="1"/>
  <c r="DU11" i="3"/>
  <c r="CR11" i="3"/>
  <c r="T27" i="3"/>
  <c r="T28" i="3" s="1"/>
  <c r="BP28" i="3" s="1"/>
  <c r="CH26" i="3"/>
  <c r="H26" i="3"/>
  <c r="H27" i="3" s="1"/>
  <c r="H28" i="3" s="1"/>
  <c r="BD28" i="3" s="1"/>
  <c r="CH28" i="3" s="1"/>
  <c r="DQ10" i="3"/>
  <c r="CN10" i="3"/>
  <c r="BA5" i="3"/>
  <c r="CD6" i="3"/>
  <c r="EH8" i="2"/>
  <c r="EK8" i="2" s="1"/>
  <c r="EG8" i="2"/>
  <c r="EJ8" i="2" s="1"/>
  <c r="EE9" i="2"/>
  <c r="DL8" i="2"/>
  <c r="DI8" i="2" s="1"/>
  <c r="BI9" i="2"/>
  <c r="BH10" i="2"/>
  <c r="AP26" i="1"/>
  <c r="CK50" i="3"/>
  <c r="K50" i="3"/>
  <c r="K51" i="3" s="1"/>
  <c r="K52" i="3" s="1"/>
  <c r="BG52" i="3" s="1"/>
  <c r="CK52" i="3" s="1"/>
  <c r="CP26" i="3"/>
  <c r="P26" i="3"/>
  <c r="P27" i="3" s="1"/>
  <c r="P28" i="3" s="1"/>
  <c r="BL28" i="3" s="1"/>
  <c r="CP28" i="3" s="1"/>
  <c r="CL49" i="3"/>
  <c r="BH50" i="3"/>
  <c r="CX26" i="3"/>
  <c r="X26" i="3"/>
  <c r="X27" i="3" s="1"/>
  <c r="X28" i="3" s="1"/>
  <c r="BT28" i="3" s="1"/>
  <c r="CX28" i="3" s="1"/>
  <c r="CX21" i="3" s="1"/>
  <c r="EB21" i="3" s="1"/>
  <c r="DQ28" i="3"/>
  <c r="CK21" i="3"/>
  <c r="DO21" i="3" s="1"/>
  <c r="DO31" i="3" s="1"/>
  <c r="BQ26" i="3"/>
  <c r="U26" i="3" s="1"/>
  <c r="CU25" i="3"/>
  <c r="EA25" i="3" s="1"/>
  <c r="BA26" i="3"/>
  <c r="CE25" i="3"/>
  <c r="DK25" i="3" s="1"/>
  <c r="DX29" i="3"/>
  <c r="DG29" i="3"/>
  <c r="CX50" i="3"/>
  <c r="CX51" i="3" s="1"/>
  <c r="X50" i="3"/>
  <c r="X51" i="3" s="1"/>
  <c r="X52" i="3" s="1"/>
  <c r="BT52" i="3" s="1"/>
  <c r="CX52" i="3" s="1"/>
  <c r="CH50" i="3"/>
  <c r="H50" i="3"/>
  <c r="H51" i="3" s="1"/>
  <c r="H52" i="3" s="1"/>
  <c r="BD52" i="3" s="1"/>
  <c r="CH52" i="3" s="1"/>
  <c r="ED9" i="3"/>
  <c r="G26" i="3"/>
  <c r="G27" i="3" s="1"/>
  <c r="G28" i="3" s="1"/>
  <c r="BC28" i="3" s="1"/>
  <c r="CG28" i="3" s="1"/>
  <c r="CG26" i="3"/>
  <c r="EJ7" i="2"/>
  <c r="EI7" i="2"/>
  <c r="DJ9" i="2"/>
  <c r="DM9" i="2" s="1"/>
  <c r="DK9" i="2"/>
  <c r="DN9" i="2" s="1"/>
  <c r="DH10" i="2"/>
  <c r="EJ6" i="2"/>
  <c r="EI6" i="2"/>
  <c r="CR26" i="3"/>
  <c r="R26" i="3"/>
  <c r="R27" i="3" s="1"/>
  <c r="R28" i="3" s="1"/>
  <c r="BN28" i="3" s="1"/>
  <c r="CR28" i="3" s="1"/>
  <c r="CR21" i="3" s="1"/>
  <c r="DV21" i="3" s="1"/>
  <c r="CJ26" i="3"/>
  <c r="J26" i="3"/>
  <c r="J27" i="3" s="1"/>
  <c r="J28" i="3" s="1"/>
  <c r="BF28" i="3" s="1"/>
  <c r="CJ28" i="3" s="1"/>
  <c r="AP8" i="1"/>
  <c r="AP19" i="1" s="1"/>
  <c r="R14" i="1" s="1"/>
  <c r="AO24" i="1"/>
  <c r="X11" i="1" l="1"/>
  <c r="Y11" i="1" s="1"/>
  <c r="X8" i="1"/>
  <c r="Y8" i="1" s="1"/>
  <c r="X13" i="1"/>
  <c r="X10" i="1"/>
  <c r="P10" i="1" s="1"/>
  <c r="X12" i="1"/>
  <c r="Y12" i="1" s="1"/>
  <c r="X7" i="1"/>
  <c r="P9" i="1" s="1"/>
  <c r="AD12" i="1"/>
  <c r="AE12" i="1" s="1"/>
  <c r="AD11" i="1"/>
  <c r="AE11" i="1" s="1"/>
  <c r="AD10" i="1"/>
  <c r="AD8" i="1"/>
  <c r="AE8" i="1" s="1"/>
  <c r="AD13" i="1"/>
  <c r="R11" i="1" s="1"/>
  <c r="AD9" i="1"/>
  <c r="AE9" i="1" s="1"/>
  <c r="CJ27" i="3"/>
  <c r="DP26" i="3"/>
  <c r="CJ22" i="3"/>
  <c r="DN22" i="3" s="1"/>
  <c r="CJ31" i="3"/>
  <c r="DL9" i="2"/>
  <c r="DI9" i="2" s="1"/>
  <c r="CG27" i="3"/>
  <c r="DM26" i="3"/>
  <c r="CG22" i="3"/>
  <c r="DK22" i="3" s="1"/>
  <c r="CG31" i="3"/>
  <c r="DV26" i="3"/>
  <c r="CP27" i="3"/>
  <c r="CP22" i="3"/>
  <c r="DT22" i="3" s="1"/>
  <c r="AE10" i="1"/>
  <c r="DR10" i="3"/>
  <c r="CO10" i="3"/>
  <c r="CN31" i="3"/>
  <c r="B27" i="3"/>
  <c r="B28" i="3" s="1"/>
  <c r="DS20" i="3"/>
  <c r="CP20" i="3"/>
  <c r="Y10" i="1"/>
  <c r="P17" i="1" s="1"/>
  <c r="DS8" i="2"/>
  <c r="DT8" i="2"/>
  <c r="DP9" i="2"/>
  <c r="CD28" i="3"/>
  <c r="EB27" i="3"/>
  <c r="EB29" i="3" s="1"/>
  <c r="CQ26" i="3"/>
  <c r="Q26" i="3"/>
  <c r="Q27" i="3" s="1"/>
  <c r="Q28" i="3" s="1"/>
  <c r="BM28" i="3" s="1"/>
  <c r="CQ28" i="3" s="1"/>
  <c r="CQ21" i="3" s="1"/>
  <c r="DU21" i="3" s="1"/>
  <c r="DI28" i="3"/>
  <c r="CC21" i="3"/>
  <c r="DG21" i="3" s="1"/>
  <c r="CR27" i="3"/>
  <c r="CR22" i="3"/>
  <c r="DV22" i="3" s="1"/>
  <c r="DJ10" i="2"/>
  <c r="DM10" i="2" s="1"/>
  <c r="DK10" i="2"/>
  <c r="DN10" i="2" s="1"/>
  <c r="DH11" i="2"/>
  <c r="DM28" i="3"/>
  <c r="CG21" i="3"/>
  <c r="DK21" i="3" s="1"/>
  <c r="DK31" i="3" s="1"/>
  <c r="CB51" i="3"/>
  <c r="BI10" i="2"/>
  <c r="BH11" i="2"/>
  <c r="EI8" i="2"/>
  <c r="EF8" i="2" s="1"/>
  <c r="DH6" i="3"/>
  <c r="CT27" i="3"/>
  <c r="DH26" i="3"/>
  <c r="CB22" i="3"/>
  <c r="DF22" i="3" s="1"/>
  <c r="CV27" i="3"/>
  <c r="CO27" i="3"/>
  <c r="DU26" i="3"/>
  <c r="CO22" i="3"/>
  <c r="DS22" i="3" s="1"/>
  <c r="DL28" i="3"/>
  <c r="CF21" i="3"/>
  <c r="DJ21" i="3" s="1"/>
  <c r="CD27" i="3"/>
  <c r="DJ26" i="3"/>
  <c r="CD22" i="3"/>
  <c r="DH22" i="3" s="1"/>
  <c r="CD31" i="3"/>
  <c r="CD50" i="3"/>
  <c r="D50" i="3"/>
  <c r="D51" i="3" s="1"/>
  <c r="D52" i="3" s="1"/>
  <c r="AZ52" i="3" s="1"/>
  <c r="CD52" i="3" s="1"/>
  <c r="CZ52" i="3" s="1"/>
  <c r="CM26" i="3"/>
  <c r="M26" i="3"/>
  <c r="M27" i="3" s="1"/>
  <c r="M28" i="3" s="1"/>
  <c r="BI28" i="3" s="1"/>
  <c r="CM28" i="3" s="1"/>
  <c r="DP28" i="3"/>
  <c r="CJ21" i="3"/>
  <c r="DN21" i="3" s="1"/>
  <c r="DN31" i="3" s="1"/>
  <c r="CH51" i="3"/>
  <c r="DY30" i="3"/>
  <c r="U27" i="3"/>
  <c r="U28" i="3" s="1"/>
  <c r="BQ28" i="3" s="1"/>
  <c r="CU27" i="3"/>
  <c r="CX27" i="3"/>
  <c r="CX22" i="3"/>
  <c r="EB22" i="3" s="1"/>
  <c r="CK51" i="3"/>
  <c r="EH9" i="2"/>
  <c r="EK9" i="2" s="1"/>
  <c r="EG9" i="2"/>
  <c r="EJ9" i="2" s="1"/>
  <c r="EE10" i="2"/>
  <c r="BB5" i="3"/>
  <c r="CE6" i="3"/>
  <c r="DI6" i="3" s="1"/>
  <c r="DN28" i="3"/>
  <c r="CH21" i="3"/>
  <c r="DL21" i="3" s="1"/>
  <c r="CI26" i="3"/>
  <c r="I26" i="3"/>
  <c r="I27" i="3" s="1"/>
  <c r="I28" i="3" s="1"/>
  <c r="BE28" i="3" s="1"/>
  <c r="CI28" i="3" s="1"/>
  <c r="CT51" i="3"/>
  <c r="T51" i="3"/>
  <c r="T52" i="3" s="1"/>
  <c r="BP52" i="3" s="1"/>
  <c r="DT28" i="3"/>
  <c r="CN21" i="3"/>
  <c r="DR21" i="3" s="1"/>
  <c r="DU28" i="3"/>
  <c r="CO21" i="3"/>
  <c r="DS21" i="3" s="1"/>
  <c r="CF27" i="3"/>
  <c r="DL26" i="3"/>
  <c r="DL27" i="3" s="1"/>
  <c r="CF22" i="3"/>
  <c r="DJ22" i="3" s="1"/>
  <c r="CF31" i="3"/>
  <c r="P11" i="1"/>
  <c r="Y13" i="1"/>
  <c r="P18" i="1" s="1"/>
  <c r="DR28" i="3"/>
  <c r="CL21" i="3"/>
  <c r="DP21" i="3" s="1"/>
  <c r="W26" i="3"/>
  <c r="W27" i="3" s="1"/>
  <c r="W28" i="3" s="1"/>
  <c r="BS28" i="3" s="1"/>
  <c r="CW28" i="3" s="1"/>
  <c r="CW26" i="3"/>
  <c r="CS51" i="3"/>
  <c r="CP51" i="3"/>
  <c r="CL50" i="3"/>
  <c r="L50" i="3"/>
  <c r="L51" i="3" s="1"/>
  <c r="L52" i="3" s="1"/>
  <c r="BH52" i="3" s="1"/>
  <c r="CL52" i="3" s="1"/>
  <c r="DV28" i="3"/>
  <c r="CP21" i="3"/>
  <c r="DT21" i="3" s="1"/>
  <c r="AE7" i="1"/>
  <c r="CH27" i="3"/>
  <c r="DN26" i="3"/>
  <c r="DN27" i="3" s="1"/>
  <c r="CH22" i="3"/>
  <c r="DL22" i="3" s="1"/>
  <c r="CH31" i="3"/>
  <c r="DV11" i="3"/>
  <c r="CS11" i="3"/>
  <c r="CS27" i="3"/>
  <c r="S27" i="3"/>
  <c r="S28" i="3" s="1"/>
  <c r="BO28" i="3" s="1"/>
  <c r="CC51" i="3"/>
  <c r="CN27" i="3"/>
  <c r="DT26" i="3"/>
  <c r="DT27" i="3" s="1"/>
  <c r="CN22" i="3"/>
  <c r="DR22" i="3" s="1"/>
  <c r="AO28" i="1"/>
  <c r="DI6" i="2"/>
  <c r="DU14" i="3"/>
  <c r="CR14" i="3"/>
  <c r="CL27" i="3"/>
  <c r="DR26" i="3"/>
  <c r="DR27" i="3" s="1"/>
  <c r="CL22" i="3"/>
  <c r="DP22" i="3" s="1"/>
  <c r="CL31" i="3"/>
  <c r="CC27" i="3"/>
  <c r="DI26" i="3"/>
  <c r="DI27" i="3" s="1"/>
  <c r="CC22" i="3"/>
  <c r="DG22" i="3" s="1"/>
  <c r="CC31" i="3"/>
  <c r="CY26" i="3"/>
  <c r="Y26" i="3"/>
  <c r="Y27" i="3" s="1"/>
  <c r="Y28" i="3" s="1"/>
  <c r="BU28" i="3" s="1"/>
  <c r="CY28" i="3" s="1"/>
  <c r="CY21" i="3" s="1"/>
  <c r="EC21" i="3" s="1"/>
  <c r="AP24" i="1"/>
  <c r="AP28" i="1" s="1"/>
  <c r="CE26" i="3"/>
  <c r="E26" i="3"/>
  <c r="E27" i="3" s="1"/>
  <c r="E28" i="3" s="1"/>
  <c r="BA28" i="3" s="1"/>
  <c r="CE28" i="3" s="1"/>
  <c r="DQ27" i="3"/>
  <c r="AE13" i="1" l="1"/>
  <c r="R18" i="1" s="1"/>
  <c r="Y7" i="1"/>
  <c r="X15" i="1"/>
  <c r="R17" i="1"/>
  <c r="R10" i="1"/>
  <c r="R9" i="1"/>
  <c r="AD15" i="1"/>
  <c r="CS14" i="3"/>
  <c r="DV14" i="3"/>
  <c r="CT11" i="3"/>
  <c r="DW11" i="3"/>
  <c r="DK28" i="3"/>
  <c r="CE21" i="3"/>
  <c r="DI21" i="3" s="1"/>
  <c r="DR29" i="3"/>
  <c r="DL31" i="3"/>
  <c r="EI9" i="2"/>
  <c r="EF9" i="2" s="1"/>
  <c r="DS28" i="3"/>
  <c r="CM21" i="3"/>
  <c r="DQ21" i="3" s="1"/>
  <c r="DJ31" i="3"/>
  <c r="BI11" i="2"/>
  <c r="BH12" i="2"/>
  <c r="DJ28" i="3"/>
  <c r="CD21" i="3"/>
  <c r="DH21" i="3" s="1"/>
  <c r="DH31" i="3" s="1"/>
  <c r="CE27" i="3"/>
  <c r="DK26" i="3"/>
  <c r="DK27" i="3" s="1"/>
  <c r="CE22" i="3"/>
  <c r="DI22" i="3" s="1"/>
  <c r="CE31" i="3"/>
  <c r="CY27" i="3"/>
  <c r="CY22" i="3"/>
  <c r="EC22" i="3" s="1"/>
  <c r="CZ50" i="3"/>
  <c r="R16" i="1"/>
  <c r="AE15" i="1"/>
  <c r="AB15" i="1" s="1"/>
  <c r="CW27" i="3"/>
  <c r="EC26" i="3"/>
  <c r="EC27" i="3" s="1"/>
  <c r="EC29" i="3" s="1"/>
  <c r="EC30" i="3" s="1"/>
  <c r="CW22" i="3"/>
  <c r="EA22" i="3" s="1"/>
  <c r="EH10" i="2"/>
  <c r="EK10" i="2" s="1"/>
  <c r="EG10" i="2"/>
  <c r="EJ10" i="2" s="1"/>
  <c r="EE11" i="2"/>
  <c r="CM27" i="3"/>
  <c r="DS26" i="3"/>
  <c r="DS27" i="3" s="1"/>
  <c r="DS29" i="3" s="1"/>
  <c r="DS30" i="3" s="1"/>
  <c r="CM22" i="3"/>
  <c r="DQ22" i="3" s="1"/>
  <c r="CM31" i="3"/>
  <c r="DJ11" i="2"/>
  <c r="DM11" i="2" s="1"/>
  <c r="DH12" i="2"/>
  <c r="DK11" i="2"/>
  <c r="DN11" i="2" s="1"/>
  <c r="DT9" i="2"/>
  <c r="DS9" i="2"/>
  <c r="DP10" i="2"/>
  <c r="CZ26" i="3"/>
  <c r="DS10" i="3"/>
  <c r="CP10" i="3"/>
  <c r="CO31" i="3"/>
  <c r="EC28" i="3"/>
  <c r="CW21" i="3"/>
  <c r="EA21" i="3" s="1"/>
  <c r="DL29" i="3"/>
  <c r="DO28" i="3"/>
  <c r="CI21" i="3"/>
  <c r="DM21" i="3" s="1"/>
  <c r="DJ27" i="3"/>
  <c r="DJ29" i="3" s="1"/>
  <c r="P16" i="1"/>
  <c r="Y15" i="1"/>
  <c r="V15" i="1" s="1"/>
  <c r="CQ27" i="3"/>
  <c r="CQ22" i="3"/>
  <c r="DU22" i="3" s="1"/>
  <c r="AX28" i="3"/>
  <c r="DR31" i="3"/>
  <c r="DM27" i="3"/>
  <c r="DM29" i="3" s="1"/>
  <c r="DM30" i="3" s="1"/>
  <c r="DT29" i="3"/>
  <c r="DT30" i="3" s="1"/>
  <c r="CL51" i="3"/>
  <c r="DP31" i="3"/>
  <c r="CI27" i="3"/>
  <c r="DO26" i="3"/>
  <c r="DO27" i="3" s="1"/>
  <c r="DO29" i="3" s="1"/>
  <c r="CI22" i="3"/>
  <c r="DM22" i="3" s="1"/>
  <c r="ED22" i="3" s="1"/>
  <c r="CI31" i="3"/>
  <c r="CF6" i="3"/>
  <c r="BC5" i="3"/>
  <c r="CD51" i="3"/>
  <c r="DU27" i="3"/>
  <c r="DU29" i="3" s="1"/>
  <c r="DU30" i="3" s="1"/>
  <c r="EF7" i="2"/>
  <c r="EF6" i="2" s="1"/>
  <c r="EF5" i="2" s="1"/>
  <c r="DL10" i="2"/>
  <c r="DI10" i="2" s="1"/>
  <c r="DG31" i="3"/>
  <c r="CQ20" i="3"/>
  <c r="DT20" i="3"/>
  <c r="DV27" i="3"/>
  <c r="DP27" i="3"/>
  <c r="DP29" i="3" s="1"/>
  <c r="DP30" i="3" s="1"/>
  <c r="AB16" i="1" l="1"/>
  <c r="EE12" i="2"/>
  <c r="EH11" i="2"/>
  <c r="EK11" i="2" s="1"/>
  <c r="EG11" i="2"/>
  <c r="EJ11" i="2" s="1"/>
  <c r="EE26" i="3"/>
  <c r="CZ51" i="3"/>
  <c r="CZ49" i="3"/>
  <c r="BI12" i="2"/>
  <c r="BH13" i="2"/>
  <c r="DQ31" i="3"/>
  <c r="DI31" i="3"/>
  <c r="CT14" i="3"/>
  <c r="DW14" i="3"/>
  <c r="CB28" i="3"/>
  <c r="DZ27" i="3"/>
  <c r="DS31" i="3"/>
  <c r="ED26" i="3"/>
  <c r="DM31" i="3"/>
  <c r="CG6" i="3"/>
  <c r="BD5" i="3"/>
  <c r="DO30" i="3"/>
  <c r="AF14" i="1"/>
  <c r="DN29" i="3"/>
  <c r="DN30" i="3" s="1"/>
  <c r="DT10" i="2"/>
  <c r="DP11" i="2"/>
  <c r="DS10" i="2"/>
  <c r="DL11" i="2"/>
  <c r="DI11" i="2" s="1"/>
  <c r="AA16" i="1"/>
  <c r="DK29" i="3"/>
  <c r="DK30" i="3" s="1"/>
  <c r="DV29" i="3"/>
  <c r="DV30" i="3" s="1"/>
  <c r="DW29" i="3"/>
  <c r="CR20" i="3"/>
  <c r="DU20" i="3"/>
  <c r="DJ6" i="3"/>
  <c r="DL30" i="3"/>
  <c r="CP31" i="3"/>
  <c r="DT10" i="3"/>
  <c r="DT31" i="3" s="1"/>
  <c r="CQ10" i="3"/>
  <c r="DH13" i="2"/>
  <c r="DK12" i="2"/>
  <c r="DN12" i="2" s="1"/>
  <c r="DJ12" i="2"/>
  <c r="DM12" i="2" s="1"/>
  <c r="DL12" i="2"/>
  <c r="DI12" i="2" s="1"/>
  <c r="EI10" i="2"/>
  <c r="EF10" i="2" s="1"/>
  <c r="DR30" i="3"/>
  <c r="DQ29" i="3"/>
  <c r="DQ30" i="3" s="1"/>
  <c r="DX11" i="3"/>
  <c r="CU11" i="3"/>
  <c r="Z14" i="1" l="1"/>
  <c r="DZ29" i="3"/>
  <c r="DZ30" i="3" s="1"/>
  <c r="EA29" i="3"/>
  <c r="EI12" i="2"/>
  <c r="EF12" i="2" s="1"/>
  <c r="EE13" i="2"/>
  <c r="EH12" i="2"/>
  <c r="EK12" i="2" s="1"/>
  <c r="EG12" i="2"/>
  <c r="EJ12" i="2" s="1"/>
  <c r="CU14" i="3"/>
  <c r="DX14" i="3"/>
  <c r="BH14" i="2"/>
  <c r="BI13" i="2"/>
  <c r="CV11" i="3"/>
  <c r="DY11" i="3"/>
  <c r="CR10" i="3"/>
  <c r="DU10" i="3"/>
  <c r="DU31" i="3" s="1"/>
  <c r="CQ31" i="3"/>
  <c r="BE5" i="3"/>
  <c r="CH6" i="3"/>
  <c r="DH28" i="3"/>
  <c r="CB21" i="3"/>
  <c r="DF21" i="3" s="1"/>
  <c r="CB31" i="3"/>
  <c r="CB27" i="3"/>
  <c r="CZ28" i="3"/>
  <c r="EI11" i="2"/>
  <c r="EF11" i="2" s="1"/>
  <c r="DP12" i="2"/>
  <c r="DT11" i="2"/>
  <c r="DS11" i="2"/>
  <c r="DK13" i="2"/>
  <c r="DN13" i="2" s="1"/>
  <c r="DH14" i="2"/>
  <c r="DJ13" i="2"/>
  <c r="DM13" i="2" s="1"/>
  <c r="CS20" i="3"/>
  <c r="DV20" i="3"/>
  <c r="DW30" i="3"/>
  <c r="DX30" i="3"/>
  <c r="AG14" i="1"/>
  <c r="R20" i="1" s="1"/>
  <c r="R13" i="1"/>
  <c r="DK6" i="3"/>
  <c r="P13" i="1" l="1"/>
  <c r="AA14" i="1"/>
  <c r="P20" i="1" s="1"/>
  <c r="EE28" i="3"/>
  <c r="EE27" i="3" s="1"/>
  <c r="CZ25" i="3"/>
  <c r="EE25" i="3" s="1"/>
  <c r="CZ27" i="3"/>
  <c r="EA30" i="3"/>
  <c r="EB30" i="3"/>
  <c r="DK14" i="2"/>
  <c r="DN14" i="2" s="1"/>
  <c r="DJ14" i="2"/>
  <c r="DM14" i="2" s="1"/>
  <c r="DH15" i="2"/>
  <c r="DL14" i="2"/>
  <c r="DI14" i="2" s="1"/>
  <c r="ED28" i="3"/>
  <c r="DH27" i="3"/>
  <c r="BF5" i="3"/>
  <c r="CI6" i="3"/>
  <c r="DV10" i="3"/>
  <c r="DV31" i="3" s="1"/>
  <c r="CS10" i="3"/>
  <c r="CR31" i="3"/>
  <c r="DZ11" i="3"/>
  <c r="CW11" i="3"/>
  <c r="DW20" i="3"/>
  <c r="CT20" i="3"/>
  <c r="DP13" i="2"/>
  <c r="DS12" i="2"/>
  <c r="DT12" i="2"/>
  <c r="DL13" i="2"/>
  <c r="DI13" i="2" s="1"/>
  <c r="ED21" i="3"/>
  <c r="DF31" i="3"/>
  <c r="DL6" i="3"/>
  <c r="BH15" i="2"/>
  <c r="DY14" i="3"/>
  <c r="CV14" i="3"/>
  <c r="EH13" i="2"/>
  <c r="EK13" i="2" s="1"/>
  <c r="EE14" i="2"/>
  <c r="EG13" i="2"/>
  <c r="EJ13" i="2" s="1"/>
  <c r="CX11" i="3" l="1"/>
  <c r="EA11" i="3"/>
  <c r="DM6" i="3"/>
  <c r="CW14" i="3"/>
  <c r="DZ14" i="3"/>
  <c r="DS13" i="2"/>
  <c r="DT13" i="2"/>
  <c r="CJ6" i="3"/>
  <c r="BG5" i="3"/>
  <c r="DH16" i="2"/>
  <c r="DK15" i="2"/>
  <c r="DN15" i="2" s="1"/>
  <c r="DJ15" i="2"/>
  <c r="DM15" i="2" s="1"/>
  <c r="DL15" i="2"/>
  <c r="DI15" i="2" s="1"/>
  <c r="EI13" i="2"/>
  <c r="EF13" i="2" s="1"/>
  <c r="BI15" i="2"/>
  <c r="BI14" i="2" s="1"/>
  <c r="BH16" i="2"/>
  <c r="EH14" i="2"/>
  <c r="EK14" i="2" s="1"/>
  <c r="EG14" i="2"/>
  <c r="EJ14" i="2" s="1"/>
  <c r="EE15" i="2"/>
  <c r="DX20" i="3"/>
  <c r="ED20" i="3" s="1"/>
  <c r="CZ20" i="3"/>
  <c r="DB20" i="3"/>
  <c r="CT10" i="3"/>
  <c r="DW10" i="3"/>
  <c r="DW31" i="3" s="1"/>
  <c r="CS31" i="3"/>
  <c r="DH29" i="3"/>
  <c r="DH30" i="3" s="1"/>
  <c r="DI29" i="3"/>
  <c r="ED27" i="3"/>
  <c r="ED25" i="3"/>
  <c r="DK16" i="2" l="1"/>
  <c r="DN16" i="2" s="1"/>
  <c r="DH17" i="2"/>
  <c r="DJ16" i="2"/>
  <c r="DM16" i="2" s="1"/>
  <c r="CK6" i="3"/>
  <c r="BH5" i="3"/>
  <c r="DI30" i="3"/>
  <c r="DJ30" i="3"/>
  <c r="EE16" i="2"/>
  <c r="EH15" i="2"/>
  <c r="EK15" i="2" s="1"/>
  <c r="EG15" i="2"/>
  <c r="EJ15" i="2" s="1"/>
  <c r="BH17" i="2"/>
  <c r="DN6" i="3"/>
  <c r="CX14" i="3"/>
  <c r="EA14" i="3"/>
  <c r="DX10" i="3"/>
  <c r="DX31" i="3" s="1"/>
  <c r="CU10" i="3"/>
  <c r="CT31" i="3"/>
  <c r="EI14" i="2"/>
  <c r="EF14" i="2" s="1"/>
  <c r="EB11" i="3"/>
  <c r="CY11" i="3"/>
  <c r="DJ17" i="2" l="1"/>
  <c r="DM17" i="2" s="1"/>
  <c r="DK17" i="2"/>
  <c r="DN17" i="2" s="1"/>
  <c r="DH18" i="2"/>
  <c r="CV10" i="3"/>
  <c r="DY10" i="3"/>
  <c r="DY31" i="3" s="1"/>
  <c r="CU31" i="3"/>
  <c r="BH18" i="2"/>
  <c r="BI17" i="2"/>
  <c r="BI16" i="2" s="1"/>
  <c r="EH16" i="2"/>
  <c r="EK16" i="2" s="1"/>
  <c r="EE17" i="2"/>
  <c r="EG16" i="2"/>
  <c r="EJ16" i="2" s="1"/>
  <c r="BI5" i="3"/>
  <c r="CL6" i="3"/>
  <c r="DP6" i="3" s="1"/>
  <c r="EC11" i="3"/>
  <c r="ED11" i="3" s="1"/>
  <c r="CZ11" i="3"/>
  <c r="DB11" i="3"/>
  <c r="CY14" i="3"/>
  <c r="EB14" i="3"/>
  <c r="EI15" i="2"/>
  <c r="EF15" i="2" s="1"/>
  <c r="DO6" i="3"/>
  <c r="DL16" i="2"/>
  <c r="DI16" i="2" s="1"/>
  <c r="DH19" i="2" l="1"/>
  <c r="DK18" i="2"/>
  <c r="DN18" i="2" s="1"/>
  <c r="DJ18" i="2"/>
  <c r="DM18" i="2" s="1"/>
  <c r="DL18" i="2"/>
  <c r="DI18" i="2" s="1"/>
  <c r="BJ5" i="3"/>
  <c r="CM6" i="3"/>
  <c r="DQ6" i="3" s="1"/>
  <c r="EI16" i="2"/>
  <c r="EF16" i="2" s="1"/>
  <c r="DL17" i="2"/>
  <c r="DI17" i="2" s="1"/>
  <c r="EC14" i="3"/>
  <c r="ED14" i="3" s="1"/>
  <c r="DB14" i="3"/>
  <c r="CZ14" i="3"/>
  <c r="EG17" i="2"/>
  <c r="EJ17" i="2" s="1"/>
  <c r="EE18" i="2"/>
  <c r="EH17" i="2"/>
  <c r="EK17" i="2" s="1"/>
  <c r="BH19" i="2"/>
  <c r="CV31" i="3"/>
  <c r="DZ10" i="3"/>
  <c r="DZ31" i="3" s="1"/>
  <c r="CW10" i="3"/>
  <c r="EE19" i="2" l="1"/>
  <c r="EH18" i="2"/>
  <c r="EK18" i="2" s="1"/>
  <c r="EG18" i="2"/>
  <c r="EJ18" i="2" s="1"/>
  <c r="CN6" i="3"/>
  <c r="BK5" i="3"/>
  <c r="CW31" i="3"/>
  <c r="EA10" i="3"/>
  <c r="EA31" i="3" s="1"/>
  <c r="CX10" i="3"/>
  <c r="BI19" i="2"/>
  <c r="BI18" i="2" s="1"/>
  <c r="BH20" i="2"/>
  <c r="EI17" i="2"/>
  <c r="EF17" i="2" s="1"/>
  <c r="DL19" i="2"/>
  <c r="DI19" i="2" s="1"/>
  <c r="DK19" i="2"/>
  <c r="DN19" i="2" s="1"/>
  <c r="DJ19" i="2"/>
  <c r="DM19" i="2" s="1"/>
  <c r="DH20" i="2"/>
  <c r="CO6" i="3" l="1"/>
  <c r="DS6" i="3" s="1"/>
  <c r="BL5" i="3"/>
  <c r="BH21" i="2"/>
  <c r="DR6" i="3"/>
  <c r="EE20" i="2"/>
  <c r="EI19" i="2"/>
  <c r="EF19" i="2" s="1"/>
  <c r="EH19" i="2"/>
  <c r="EK19" i="2" s="1"/>
  <c r="EG19" i="2"/>
  <c r="EJ19" i="2" s="1"/>
  <c r="CX31" i="3"/>
  <c r="EB10" i="3"/>
  <c r="EB31" i="3" s="1"/>
  <c r="CY10" i="3"/>
  <c r="DK20" i="2"/>
  <c r="DN20" i="2" s="1"/>
  <c r="DJ20" i="2"/>
  <c r="DM20" i="2" s="1"/>
  <c r="DH21" i="2"/>
  <c r="EI18" i="2"/>
  <c r="EF18" i="2" s="1"/>
  <c r="DJ21" i="2" l="1"/>
  <c r="DM21" i="2" s="1"/>
  <c r="DH22" i="2"/>
  <c r="DK21" i="2"/>
  <c r="DN21" i="2" s="1"/>
  <c r="EH20" i="2"/>
  <c r="EK20" i="2" s="1"/>
  <c r="EG20" i="2"/>
  <c r="EJ20" i="2" s="1"/>
  <c r="EE21" i="2"/>
  <c r="BH22" i="2"/>
  <c r="BI21" i="2"/>
  <c r="BI20" i="2" s="1"/>
  <c r="DL20" i="2"/>
  <c r="DI20" i="2" s="1"/>
  <c r="CY31" i="3"/>
  <c r="EC10" i="3"/>
  <c r="CZ10" i="3"/>
  <c r="CZ31" i="3" s="1"/>
  <c r="DB10" i="3"/>
  <c r="BM5" i="3"/>
  <c r="CP6" i="3"/>
  <c r="DT6" i="3" s="1"/>
  <c r="DL21" i="2" l="1"/>
  <c r="DI21" i="2" s="1"/>
  <c r="BN5" i="3"/>
  <c r="CQ6" i="3"/>
  <c r="DU6" i="3" s="1"/>
  <c r="BH23" i="2"/>
  <c r="EI20" i="2"/>
  <c r="EF20" i="2" s="1"/>
  <c r="DJ22" i="2"/>
  <c r="DM22" i="2" s="1"/>
  <c r="DL22" i="2"/>
  <c r="DI22" i="2" s="1"/>
  <c r="DH23" i="2"/>
  <c r="DK22" i="2"/>
  <c r="DN22" i="2" s="1"/>
  <c r="CK32" i="3"/>
  <c r="CJ32" i="3"/>
  <c r="CC32" i="3"/>
  <c r="CH32" i="3"/>
  <c r="CN32" i="3"/>
  <c r="CD32" i="3"/>
  <c r="CL32" i="3"/>
  <c r="CF32" i="3"/>
  <c r="CG32" i="3"/>
  <c r="CO32" i="3"/>
  <c r="CI32" i="3"/>
  <c r="CM32" i="3"/>
  <c r="CE32" i="3"/>
  <c r="CP32" i="3"/>
  <c r="CQ32" i="3"/>
  <c r="CB32" i="3"/>
  <c r="CR32" i="3"/>
  <c r="CS32" i="3"/>
  <c r="CT32" i="3"/>
  <c r="CU32" i="3"/>
  <c r="CV32" i="3"/>
  <c r="CW32" i="3"/>
  <c r="EC31" i="3"/>
  <c r="EC32" i="3" s="1"/>
  <c r="ED10" i="3"/>
  <c r="ED31" i="3" s="1"/>
  <c r="CY32" i="3"/>
  <c r="EH21" i="2"/>
  <c r="EK21" i="2" s="1"/>
  <c r="EG21" i="2"/>
  <c r="EJ21" i="2" s="1"/>
  <c r="EE22" i="2"/>
  <c r="CX32" i="3"/>
  <c r="CS18" i="3" l="1"/>
  <c r="CS17" i="3"/>
  <c r="CS15" i="3"/>
  <c r="CS23" i="3" s="1"/>
  <c r="CP18" i="3"/>
  <c r="CP17" i="3"/>
  <c r="CP15" i="3"/>
  <c r="CP23" i="3" s="1"/>
  <c r="CO18" i="3"/>
  <c r="CO17" i="3"/>
  <c r="CO15" i="3"/>
  <c r="CO23" i="3" s="1"/>
  <c r="CJ18" i="3"/>
  <c r="CJ17" i="3"/>
  <c r="CJ15" i="3"/>
  <c r="CJ23" i="3" s="1"/>
  <c r="BH24" i="2"/>
  <c r="BI23" i="2"/>
  <c r="BI22" i="2" s="1"/>
  <c r="CR18" i="3"/>
  <c r="CR17" i="3"/>
  <c r="CR15" i="3"/>
  <c r="CR23" i="3" s="1"/>
  <c r="EE23" i="2"/>
  <c r="EH22" i="2"/>
  <c r="EK22" i="2" s="1"/>
  <c r="EG22" i="2"/>
  <c r="EJ22" i="2" s="1"/>
  <c r="CU18" i="3"/>
  <c r="CU17" i="3"/>
  <c r="CU15" i="3"/>
  <c r="CU23" i="3" s="1"/>
  <c r="CM18" i="3"/>
  <c r="CM17" i="3"/>
  <c r="CM15" i="3"/>
  <c r="CM23" i="3" s="1"/>
  <c r="CH18" i="3"/>
  <c r="CH17" i="3"/>
  <c r="CH15" i="3"/>
  <c r="CH23" i="3" s="1"/>
  <c r="CR6" i="3"/>
  <c r="DV6" i="3" s="1"/>
  <c r="BO5" i="3"/>
  <c r="CX18" i="3"/>
  <c r="CX17" i="3"/>
  <c r="CX15" i="3"/>
  <c r="CX23" i="3" s="1"/>
  <c r="CW18" i="3"/>
  <c r="CW17" i="3"/>
  <c r="CW15" i="3"/>
  <c r="CW23" i="3" s="1"/>
  <c r="CD18" i="3"/>
  <c r="CD17" i="3"/>
  <c r="CD15" i="3"/>
  <c r="CD23" i="3" s="1"/>
  <c r="EI21" i="2"/>
  <c r="EF21" i="2" s="1"/>
  <c r="CY18" i="3"/>
  <c r="CY17" i="3"/>
  <c r="CY15" i="3"/>
  <c r="CY23" i="3" s="1"/>
  <c r="CV18" i="3"/>
  <c r="CV17" i="3"/>
  <c r="CV15" i="3"/>
  <c r="CV23" i="3" s="1"/>
  <c r="CE18" i="3"/>
  <c r="CE17" i="3"/>
  <c r="CE15" i="3"/>
  <c r="CE23" i="3" s="1"/>
  <c r="CG18" i="3"/>
  <c r="CG17" i="3"/>
  <c r="CG15" i="3"/>
  <c r="CG23" i="3" s="1"/>
  <c r="CN18" i="3"/>
  <c r="CN17" i="3"/>
  <c r="CN15" i="3"/>
  <c r="CN23" i="3" s="1"/>
  <c r="CK18" i="3"/>
  <c r="CK17" i="3"/>
  <c r="CK15" i="3"/>
  <c r="CK23" i="3" s="1"/>
  <c r="DO32" i="3"/>
  <c r="DK32" i="3"/>
  <c r="DN32" i="3"/>
  <c r="DJ32" i="3"/>
  <c r="DL32" i="3"/>
  <c r="DR32" i="3"/>
  <c r="DH32" i="3"/>
  <c r="DP32" i="3"/>
  <c r="DG32" i="3"/>
  <c r="DQ32" i="3"/>
  <c r="DT32" i="3"/>
  <c r="DM32" i="3"/>
  <c r="DS32" i="3"/>
  <c r="DI32" i="3"/>
  <c r="DU32" i="3"/>
  <c r="DF32" i="3"/>
  <c r="DV32" i="3"/>
  <c r="DW32" i="3"/>
  <c r="DX32" i="3"/>
  <c r="DY32" i="3"/>
  <c r="DZ32" i="3"/>
  <c r="EA32" i="3"/>
  <c r="EB32" i="3"/>
  <c r="CB18" i="3"/>
  <c r="DB18" i="3" s="1"/>
  <c r="CB17" i="3"/>
  <c r="CB15" i="3"/>
  <c r="CF18" i="3"/>
  <c r="CF17" i="3"/>
  <c r="CF15" i="3"/>
  <c r="CF23" i="3" s="1"/>
  <c r="EC17" i="3"/>
  <c r="EC18" i="3"/>
  <c r="EC15" i="3"/>
  <c r="CT18" i="3"/>
  <c r="CT17" i="3"/>
  <c r="CT15" i="3"/>
  <c r="CT23" i="3" s="1"/>
  <c r="CQ18" i="3"/>
  <c r="CQ17" i="3"/>
  <c r="CQ15" i="3"/>
  <c r="CQ23" i="3" s="1"/>
  <c r="CI18" i="3"/>
  <c r="CI17" i="3"/>
  <c r="CI15" i="3"/>
  <c r="CI23" i="3" s="1"/>
  <c r="CL18" i="3"/>
  <c r="CL17" i="3"/>
  <c r="CL15" i="3"/>
  <c r="CL23" i="3" s="1"/>
  <c r="CC18" i="3"/>
  <c r="CC17" i="3"/>
  <c r="CC15" i="3"/>
  <c r="CC23" i="3" s="1"/>
  <c r="DH24" i="2"/>
  <c r="DK23" i="2"/>
  <c r="DN23" i="2" s="1"/>
  <c r="DJ23" i="2"/>
  <c r="DM23" i="2" s="1"/>
  <c r="DF15" i="3" l="1"/>
  <c r="DF17" i="3"/>
  <c r="DF18" i="3"/>
  <c r="CS6" i="3"/>
  <c r="DW6" i="3" s="1"/>
  <c r="BP5" i="3"/>
  <c r="DL23" i="2"/>
  <c r="DI23" i="2" s="1"/>
  <c r="EB17" i="3"/>
  <c r="EB15" i="3"/>
  <c r="EB18" i="3"/>
  <c r="DX17" i="3"/>
  <c r="DX15" i="3"/>
  <c r="DX18" i="3"/>
  <c r="DU15" i="3"/>
  <c r="DU18" i="3"/>
  <c r="DU17" i="3"/>
  <c r="DT15" i="3"/>
  <c r="DT18" i="3"/>
  <c r="DT17" i="3"/>
  <c r="DH17" i="3"/>
  <c r="DH15" i="3"/>
  <c r="DH18" i="3"/>
  <c r="DN15" i="3"/>
  <c r="DN17" i="3"/>
  <c r="DN18" i="3"/>
  <c r="DY15" i="3"/>
  <c r="DY18" i="3"/>
  <c r="DY17" i="3"/>
  <c r="DM17" i="3"/>
  <c r="DM15" i="3"/>
  <c r="DM18" i="3"/>
  <c r="DJ15" i="3"/>
  <c r="DJ18" i="3"/>
  <c r="DJ17" i="3"/>
  <c r="DB15" i="3"/>
  <c r="CB23" i="3"/>
  <c r="DW17" i="3"/>
  <c r="DW15" i="3"/>
  <c r="DW18" i="3"/>
  <c r="DQ17" i="3"/>
  <c r="DQ15" i="3"/>
  <c r="DQ18" i="3"/>
  <c r="DR15" i="3"/>
  <c r="DR18" i="3"/>
  <c r="DR17" i="3"/>
  <c r="EE24" i="2"/>
  <c r="EH23" i="2"/>
  <c r="EK23" i="2" s="1"/>
  <c r="EG23" i="2"/>
  <c r="EJ23" i="2" s="1"/>
  <c r="DH25" i="2"/>
  <c r="DK24" i="2"/>
  <c r="DN24" i="2" s="1"/>
  <c r="DJ24" i="2"/>
  <c r="DM24" i="2" s="1"/>
  <c r="DP15" i="3"/>
  <c r="DP18" i="3"/>
  <c r="DP17" i="3"/>
  <c r="EA18" i="3"/>
  <c r="EA17" i="3"/>
  <c r="EA15" i="3"/>
  <c r="DI15" i="3"/>
  <c r="DI18" i="3"/>
  <c r="DI17" i="3"/>
  <c r="DK18" i="3"/>
  <c r="DK17" i="3"/>
  <c r="DK15" i="3"/>
  <c r="DB17" i="3"/>
  <c r="DZ15" i="3"/>
  <c r="DZ17" i="3"/>
  <c r="DZ18" i="3"/>
  <c r="DV15" i="3"/>
  <c r="DV17" i="3"/>
  <c r="DV18" i="3"/>
  <c r="DS15" i="3"/>
  <c r="DS17" i="3"/>
  <c r="DS18" i="3"/>
  <c r="DG17" i="3"/>
  <c r="DG15" i="3"/>
  <c r="DG18" i="3"/>
  <c r="DL17" i="3"/>
  <c r="DL15" i="3"/>
  <c r="DL18" i="3"/>
  <c r="DO17" i="3"/>
  <c r="DO18" i="3"/>
  <c r="DO15" i="3"/>
  <c r="EI22" i="2"/>
  <c r="EF22" i="2" s="1"/>
  <c r="BH25" i="2"/>
  <c r="ED18" i="3" l="1"/>
  <c r="DH26" i="2"/>
  <c r="DK25" i="2"/>
  <c r="DN25" i="2" s="1"/>
  <c r="DJ25" i="2"/>
  <c r="DM25" i="2" s="1"/>
  <c r="EE25" i="2"/>
  <c r="EH24" i="2"/>
  <c r="EK24" i="2" s="1"/>
  <c r="EG24" i="2"/>
  <c r="EJ24" i="2" s="1"/>
  <c r="ED17" i="3"/>
  <c r="BI25" i="2"/>
  <c r="BI24" i="2" s="1"/>
  <c r="BH26" i="2"/>
  <c r="DL24" i="2"/>
  <c r="DI24" i="2" s="1"/>
  <c r="EI23" i="2"/>
  <c r="EF23" i="2" s="1"/>
  <c r="BQ5" i="3"/>
  <c r="CT6" i="3"/>
  <c r="ED15" i="3"/>
  <c r="DX6" i="3" l="1"/>
  <c r="BR5" i="3"/>
  <c r="CU6" i="3"/>
  <c r="DY6" i="3" s="1"/>
  <c r="BH27" i="2"/>
  <c r="EG25" i="2"/>
  <c r="EJ25" i="2" s="1"/>
  <c r="EE26" i="2"/>
  <c r="EH25" i="2"/>
  <c r="EK25" i="2" s="1"/>
  <c r="DJ26" i="2"/>
  <c r="DM26" i="2" s="1"/>
  <c r="DH27" i="2"/>
  <c r="DK26" i="2"/>
  <c r="DN26" i="2" s="1"/>
  <c r="EI24" i="2"/>
  <c r="EF24" i="2" s="1"/>
  <c r="DL25" i="2"/>
  <c r="DI25" i="2" s="1"/>
  <c r="BH28" i="2" l="1"/>
  <c r="BI27" i="2"/>
  <c r="BI26" i="2" s="1"/>
  <c r="CV6" i="3"/>
  <c r="BS5" i="3"/>
  <c r="DL26" i="2"/>
  <c r="DI26" i="2" s="1"/>
  <c r="EH26" i="2"/>
  <c r="EK26" i="2" s="1"/>
  <c r="EG26" i="2"/>
  <c r="EJ26" i="2" s="1"/>
  <c r="EE27" i="2"/>
  <c r="EI26" i="2"/>
  <c r="EF26" i="2" s="1"/>
  <c r="DH28" i="2"/>
  <c r="DL27" i="2"/>
  <c r="DI27" i="2" s="1"/>
  <c r="DK27" i="2"/>
  <c r="DN27" i="2" s="1"/>
  <c r="DJ27" i="2"/>
  <c r="DM27" i="2" s="1"/>
  <c r="EI25" i="2"/>
  <c r="EF25" i="2" s="1"/>
  <c r="EG27" i="2" l="1"/>
  <c r="EJ27" i="2" s="1"/>
  <c r="EE28" i="2"/>
  <c r="EH27" i="2"/>
  <c r="EK27" i="2" s="1"/>
  <c r="BH29" i="2"/>
  <c r="CW6" i="3"/>
  <c r="BT5" i="3"/>
  <c r="DH29" i="2"/>
  <c r="DJ28" i="2"/>
  <c r="DM28" i="2" s="1"/>
  <c r="DK28" i="2"/>
  <c r="DN28" i="2" s="1"/>
  <c r="DZ6" i="3"/>
  <c r="BU5" i="3" l="1"/>
  <c r="CY6" i="3" s="1"/>
  <c r="CX6" i="3"/>
  <c r="EA6" i="3"/>
  <c r="AQ14" i="1"/>
  <c r="AS14" i="1" s="1"/>
  <c r="AQ10" i="1"/>
  <c r="AS10" i="1" s="1"/>
  <c r="AQ6" i="1"/>
  <c r="AS6" i="1" s="1"/>
  <c r="AQ16" i="1"/>
  <c r="AS16" i="1" s="1"/>
  <c r="AQ17" i="1"/>
  <c r="AS17" i="1" s="1"/>
  <c r="AS26" i="1" s="1"/>
  <c r="AQ26" i="1" s="1"/>
  <c r="AR9" i="1"/>
  <c r="AT9" i="1" s="1"/>
  <c r="AQ11" i="1"/>
  <c r="AS11" i="1" s="1"/>
  <c r="AR12" i="1"/>
  <c r="AT12" i="1" s="1"/>
  <c r="AR18" i="1"/>
  <c r="AT18" i="1" s="1"/>
  <c r="AR17" i="1"/>
  <c r="AT17" i="1" s="1"/>
  <c r="AT26" i="1" s="1"/>
  <c r="AR26" i="1" s="1"/>
  <c r="AQ9" i="1"/>
  <c r="AS9" i="1" s="1"/>
  <c r="AR5" i="1"/>
  <c r="AT5" i="1" s="1"/>
  <c r="AQ13" i="1"/>
  <c r="AS13" i="1" s="1"/>
  <c r="AQ12" i="1"/>
  <c r="AS12" i="1" s="1"/>
  <c r="AR16" i="1"/>
  <c r="AT16" i="1" s="1"/>
  <c r="AQ5" i="1"/>
  <c r="AS5" i="1" s="1"/>
  <c r="EI27" i="2"/>
  <c r="EF27" i="2" s="1"/>
  <c r="DJ29" i="2"/>
  <c r="DM29" i="2" s="1"/>
  <c r="DK29" i="2"/>
  <c r="DN29" i="2" s="1"/>
  <c r="DH30" i="2"/>
  <c r="EH28" i="2"/>
  <c r="EK28" i="2" s="1"/>
  <c r="EG28" i="2"/>
  <c r="EJ28" i="2" s="1"/>
  <c r="EE29" i="2"/>
  <c r="DL28" i="2"/>
  <c r="DI28" i="2" s="1"/>
  <c r="BH30" i="2"/>
  <c r="BI29" i="2"/>
  <c r="BI28" i="2" s="1"/>
  <c r="DH31" i="2" l="1"/>
  <c r="DK30" i="2"/>
  <c r="DN30" i="2" s="1"/>
  <c r="DJ30" i="2"/>
  <c r="DM30" i="2" s="1"/>
  <c r="EI28" i="2"/>
  <c r="EF28" i="2" s="1"/>
  <c r="EH29" i="2"/>
  <c r="EK29" i="2" s="1"/>
  <c r="EE30" i="2"/>
  <c r="EG29" i="2"/>
  <c r="EJ29" i="2" s="1"/>
  <c r="AS23" i="1"/>
  <c r="BH31" i="2"/>
  <c r="DL29" i="2"/>
  <c r="DI29" i="2" s="1"/>
  <c r="AF3" i="1"/>
  <c r="EB6" i="3"/>
  <c r="AR14" i="1"/>
  <c r="AT14" i="1" s="1"/>
  <c r="AQ18" i="1"/>
  <c r="AS18" i="1" s="1"/>
  <c r="AR6" i="1"/>
  <c r="AT6" i="1" s="1"/>
  <c r="AT23" i="1" s="1"/>
  <c r="AR11" i="1"/>
  <c r="AT11" i="1" s="1"/>
  <c r="Z3" i="1" s="1"/>
  <c r="Z4" i="1" s="1"/>
  <c r="AS25" i="1"/>
  <c r="AQ25" i="1" s="1"/>
  <c r="EC6" i="3"/>
  <c r="AR10" i="1"/>
  <c r="AT10" i="1" s="1"/>
  <c r="AR13" i="1"/>
  <c r="AT13" i="1" s="1"/>
  <c r="AT25" i="1" l="1"/>
  <c r="AR25" i="1" s="1"/>
  <c r="AR23" i="1"/>
  <c r="EI29" i="2"/>
  <c r="EF29" i="2" s="1"/>
  <c r="DL30" i="2"/>
  <c r="DI30" i="2" s="1"/>
  <c r="BH32" i="2"/>
  <c r="BI31" i="2"/>
  <c r="BI30" i="2" s="1"/>
  <c r="AQ23" i="1"/>
  <c r="EG30" i="2"/>
  <c r="EJ30" i="2" s="1"/>
  <c r="EH30" i="2"/>
  <c r="EK30" i="2" s="1"/>
  <c r="EE31" i="2"/>
  <c r="Z11" i="1"/>
  <c r="AA11" i="1" s="1"/>
  <c r="Z7" i="1"/>
  <c r="Z13" i="1"/>
  <c r="AA13" i="1" s="1"/>
  <c r="Z12" i="1"/>
  <c r="AA12" i="1" s="1"/>
  <c r="Z10" i="1"/>
  <c r="AA10" i="1" s="1"/>
  <c r="Z9" i="1"/>
  <c r="AA9" i="1" s="1"/>
  <c r="Z8" i="1"/>
  <c r="AA8" i="1" s="1"/>
  <c r="DJ31" i="2"/>
  <c r="DM31" i="2" s="1"/>
  <c r="DK31" i="2"/>
  <c r="DN31" i="2" s="1"/>
  <c r="DH32" i="2"/>
  <c r="DK32" i="2" l="1"/>
  <c r="DN32" i="2" s="1"/>
  <c r="DH33" i="2"/>
  <c r="DJ32" i="2"/>
  <c r="DM32" i="2" s="1"/>
  <c r="EI30" i="2"/>
  <c r="EF30" i="2" s="1"/>
  <c r="BH33" i="2"/>
  <c r="Z15" i="1"/>
  <c r="P12" i="1"/>
  <c r="P8" i="1" s="1"/>
  <c r="AA7" i="1"/>
  <c r="DL31" i="2"/>
  <c r="DI31" i="2" s="1"/>
  <c r="EE32" i="2"/>
  <c r="EH31" i="2"/>
  <c r="EK31" i="2" s="1"/>
  <c r="EG31" i="2"/>
  <c r="EJ31" i="2" s="1"/>
  <c r="BH34" i="2" l="1"/>
  <c r="BI33" i="2"/>
  <c r="BI32" i="2" s="1"/>
  <c r="DH34" i="2"/>
  <c r="DK33" i="2"/>
  <c r="DN33" i="2" s="1"/>
  <c r="DJ33" i="2"/>
  <c r="DM33" i="2" s="1"/>
  <c r="DL33" i="2"/>
  <c r="EI31" i="2"/>
  <c r="EF31" i="2" s="1"/>
  <c r="P19" i="1"/>
  <c r="AA15" i="1"/>
  <c r="DL32" i="2"/>
  <c r="DI32" i="2" s="1"/>
  <c r="EE33" i="2"/>
  <c r="EG32" i="2"/>
  <c r="EJ32" i="2" s="1"/>
  <c r="EH32" i="2"/>
  <c r="EK32" i="2" s="1"/>
  <c r="EG33" i="2" l="1"/>
  <c r="EJ33" i="2" s="1"/>
  <c r="EH33" i="2"/>
  <c r="EK33" i="2" s="1"/>
  <c r="EE34" i="2"/>
  <c r="EI32" i="2"/>
  <c r="EF32" i="2" s="1"/>
  <c r="DH35" i="2"/>
  <c r="DJ34" i="2"/>
  <c r="DM34" i="2" s="1"/>
  <c r="DK34" i="2"/>
  <c r="DN34" i="2" s="1"/>
  <c r="DI33" i="2"/>
  <c r="BH35" i="2"/>
  <c r="BH36" i="2" l="1"/>
  <c r="BI35" i="2"/>
  <c r="BI34" i="2" s="1"/>
  <c r="EH34" i="2"/>
  <c r="EK34" i="2" s="1"/>
  <c r="EG34" i="2"/>
  <c r="EJ34" i="2" s="1"/>
  <c r="EE35" i="2"/>
  <c r="DH36" i="2"/>
  <c r="DJ35" i="2"/>
  <c r="DM35" i="2" s="1"/>
  <c r="DK35" i="2"/>
  <c r="DN35" i="2" s="1"/>
  <c r="DL34" i="2"/>
  <c r="DI34" i="2" s="1"/>
  <c r="EI33" i="2"/>
  <c r="EF33" i="2" s="1"/>
  <c r="EI34" i="2" l="1"/>
  <c r="EF34" i="2" s="1"/>
  <c r="DH37" i="2"/>
  <c r="DJ36" i="2"/>
  <c r="DM36" i="2" s="1"/>
  <c r="DK36" i="2"/>
  <c r="DN36" i="2" s="1"/>
  <c r="DL35" i="2"/>
  <c r="DI35" i="2" s="1"/>
  <c r="EH35" i="2"/>
  <c r="EK35" i="2" s="1"/>
  <c r="EE36" i="2"/>
  <c r="EG35" i="2"/>
  <c r="EJ35" i="2" s="1"/>
  <c r="BH37" i="2"/>
  <c r="DH38" i="2" l="1"/>
  <c r="DJ37" i="2"/>
  <c r="DM37" i="2" s="1"/>
  <c r="DK37" i="2"/>
  <c r="DN37" i="2" s="1"/>
  <c r="EH36" i="2"/>
  <c r="EK36" i="2" s="1"/>
  <c r="EG36" i="2"/>
  <c r="EJ36" i="2" s="1"/>
  <c r="EE37" i="2"/>
  <c r="EI36" i="2"/>
  <c r="EF36" i="2" s="1"/>
  <c r="DL36" i="2"/>
  <c r="DI36" i="2" s="1"/>
  <c r="BH38" i="2"/>
  <c r="BI37" i="2"/>
  <c r="BI36" i="2" s="1"/>
  <c r="EI35" i="2"/>
  <c r="EF35" i="2" s="1"/>
  <c r="EH37" i="2" l="1"/>
  <c r="EK37" i="2" s="1"/>
  <c r="EE38" i="2"/>
  <c r="EG37" i="2"/>
  <c r="EJ37" i="2" s="1"/>
  <c r="EI37" i="2"/>
  <c r="EF37" i="2" s="1"/>
  <c r="DL37" i="2"/>
  <c r="DI37" i="2" s="1"/>
  <c r="BH39" i="2"/>
  <c r="DL38" i="2"/>
  <c r="DI38" i="2" s="1"/>
  <c r="DK38" i="2"/>
  <c r="DN38" i="2" s="1"/>
  <c r="DH39" i="2"/>
  <c r="DJ38" i="2"/>
  <c r="DM38" i="2" s="1"/>
  <c r="DH40" i="2" l="1"/>
  <c r="DJ39" i="2"/>
  <c r="DM39" i="2" s="1"/>
  <c r="DK39" i="2"/>
  <c r="DN39" i="2" s="1"/>
  <c r="BH40" i="2"/>
  <c r="BI39" i="2"/>
  <c r="BI38" i="2" s="1"/>
  <c r="EH38" i="2"/>
  <c r="EK38" i="2" s="1"/>
  <c r="EG38" i="2"/>
  <c r="EJ38" i="2" s="1"/>
  <c r="EE39" i="2"/>
  <c r="EI38" i="2" l="1"/>
  <c r="EF38" i="2" s="1"/>
  <c r="DL39" i="2"/>
  <c r="DI39" i="2" s="1"/>
  <c r="EH39" i="2"/>
  <c r="EK39" i="2" s="1"/>
  <c r="EE40" i="2"/>
  <c r="EG39" i="2"/>
  <c r="EJ39" i="2" s="1"/>
  <c r="BH41" i="2"/>
  <c r="DK40" i="2"/>
  <c r="DN40" i="2" s="1"/>
  <c r="DH41" i="2"/>
  <c r="DJ40" i="2"/>
  <c r="DM40" i="2" s="1"/>
  <c r="EI39" i="2" l="1"/>
  <c r="EF39" i="2" s="1"/>
  <c r="EH40" i="2"/>
  <c r="EK40" i="2" s="1"/>
  <c r="EE41" i="2"/>
  <c r="EG40" i="2"/>
  <c r="EJ40" i="2" s="1"/>
  <c r="DH42" i="2"/>
  <c r="DJ41" i="2"/>
  <c r="DM41" i="2" s="1"/>
  <c r="DL41" i="2"/>
  <c r="DI41" i="2" s="1"/>
  <c r="DK41" i="2"/>
  <c r="DN41" i="2" s="1"/>
  <c r="BH42" i="2"/>
  <c r="BI41" i="2"/>
  <c r="BI40" i="2" s="1"/>
  <c r="DL40" i="2"/>
  <c r="DI40" i="2" s="1"/>
  <c r="BH43" i="2" l="1"/>
  <c r="DK42" i="2"/>
  <c r="DN42" i="2" s="1"/>
  <c r="DH43" i="2"/>
  <c r="DJ42" i="2"/>
  <c r="DM42" i="2" s="1"/>
  <c r="EI40" i="2"/>
  <c r="EF40" i="2" s="1"/>
  <c r="EH41" i="2"/>
  <c r="EK41" i="2" s="1"/>
  <c r="EE42" i="2"/>
  <c r="EG41" i="2"/>
  <c r="EJ41" i="2" s="1"/>
  <c r="DL42" i="2" l="1"/>
  <c r="DI42" i="2" s="1"/>
  <c r="EI41" i="2"/>
  <c r="EF41" i="2" s="1"/>
  <c r="EH42" i="2"/>
  <c r="EK42" i="2" s="1"/>
  <c r="EE43" i="2"/>
  <c r="EG42" i="2"/>
  <c r="EJ42" i="2" s="1"/>
  <c r="DH44" i="2"/>
  <c r="DJ43" i="2"/>
  <c r="DM43" i="2" s="1"/>
  <c r="DK43" i="2"/>
  <c r="DN43" i="2" s="1"/>
  <c r="BH44" i="2"/>
  <c r="BI43" i="2"/>
  <c r="BI42" i="2" s="1"/>
  <c r="EI42" i="2" l="1"/>
  <c r="EF42" i="2" s="1"/>
  <c r="BH45" i="2"/>
  <c r="DK44" i="2"/>
  <c r="DN44" i="2" s="1"/>
  <c r="DH45" i="2"/>
  <c r="DJ44" i="2"/>
  <c r="DM44" i="2" s="1"/>
  <c r="DL43" i="2"/>
  <c r="DI43" i="2" s="1"/>
  <c r="EH43" i="2"/>
  <c r="EK43" i="2" s="1"/>
  <c r="EE44" i="2"/>
  <c r="EG43" i="2"/>
  <c r="EJ43" i="2" s="1"/>
  <c r="EI43" i="2" l="1"/>
  <c r="EF43" i="2" s="1"/>
  <c r="DL44" i="2"/>
  <c r="DI44" i="2" s="1"/>
  <c r="EH44" i="2"/>
  <c r="EK44" i="2" s="1"/>
  <c r="EE45" i="2"/>
  <c r="EG44" i="2"/>
  <c r="EJ44" i="2" s="1"/>
  <c r="DH46" i="2"/>
  <c r="DJ45" i="2"/>
  <c r="DM45" i="2" s="1"/>
  <c r="DK45" i="2"/>
  <c r="DN45" i="2" s="1"/>
  <c r="BH46" i="2"/>
  <c r="BI45" i="2"/>
  <c r="BI44" i="2" s="1"/>
  <c r="BH47" i="2" l="1"/>
  <c r="DK46" i="2"/>
  <c r="DN46" i="2" s="1"/>
  <c r="DH47" i="2"/>
  <c r="DJ46" i="2"/>
  <c r="DM46" i="2" s="1"/>
  <c r="EI44" i="2"/>
  <c r="EF44" i="2" s="1"/>
  <c r="DL45" i="2"/>
  <c r="DI45" i="2" s="1"/>
  <c r="EH45" i="2"/>
  <c r="EK45" i="2" s="1"/>
  <c r="EE46" i="2"/>
  <c r="EG45" i="2"/>
  <c r="EJ45" i="2" s="1"/>
  <c r="EI45" i="2" l="1"/>
  <c r="EF45" i="2" s="1"/>
  <c r="DL46" i="2"/>
  <c r="DI46" i="2" s="1"/>
  <c r="EH46" i="2"/>
  <c r="EK46" i="2" s="1"/>
  <c r="EG46" i="2"/>
  <c r="EJ46" i="2" s="1"/>
  <c r="EE47" i="2"/>
  <c r="DH48" i="2"/>
  <c r="DJ47" i="2"/>
  <c r="DM47" i="2" s="1"/>
  <c r="DL47" i="2"/>
  <c r="DI47" i="2" s="1"/>
  <c r="DK47" i="2"/>
  <c r="DN47" i="2" s="1"/>
  <c r="BH48" i="2"/>
  <c r="BI47" i="2"/>
  <c r="BI46" i="2" s="1"/>
  <c r="EI46" i="2" l="1"/>
  <c r="EF46" i="2" s="1"/>
  <c r="BH49" i="2"/>
  <c r="DL48" i="2"/>
  <c r="DI48" i="2" s="1"/>
  <c r="DK48" i="2"/>
  <c r="DN48" i="2" s="1"/>
  <c r="DJ48" i="2"/>
  <c r="DM48" i="2" s="1"/>
  <c r="DH49" i="2"/>
  <c r="EH47" i="2"/>
  <c r="EK47" i="2" s="1"/>
  <c r="EE48" i="2"/>
  <c r="EG47" i="2"/>
  <c r="EJ47" i="2" s="1"/>
  <c r="EI47" i="2" l="1"/>
  <c r="EF47" i="2" s="1"/>
  <c r="DH50" i="2"/>
  <c r="DK49" i="2"/>
  <c r="DN49" i="2" s="1"/>
  <c r="DL49" i="2"/>
  <c r="DI49" i="2" s="1"/>
  <c r="DJ49" i="2"/>
  <c r="DM49" i="2" s="1"/>
  <c r="BI49" i="2"/>
  <c r="BI48" i="2" s="1"/>
  <c r="BH50" i="2"/>
  <c r="EE49" i="2"/>
  <c r="EH48" i="2"/>
  <c r="EK48" i="2" s="1"/>
  <c r="EG48" i="2"/>
  <c r="EJ48" i="2" s="1"/>
  <c r="BH51" i="2" l="1"/>
  <c r="EE50" i="2"/>
  <c r="EI49" i="2"/>
  <c r="EF49" i="2" s="1"/>
  <c r="EG49" i="2"/>
  <c r="EJ49" i="2" s="1"/>
  <c r="EH49" i="2"/>
  <c r="EK49" i="2" s="1"/>
  <c r="DH51" i="2"/>
  <c r="DL50" i="2"/>
  <c r="DI50" i="2" s="1"/>
  <c r="DK50" i="2"/>
  <c r="DN50" i="2" s="1"/>
  <c r="DJ50" i="2"/>
  <c r="DM50" i="2" s="1"/>
  <c r="EI48" i="2"/>
  <c r="EF48" i="2" s="1"/>
  <c r="DH52" i="2" l="1"/>
  <c r="DK51" i="2"/>
  <c r="DN51" i="2" s="1"/>
  <c r="DJ51" i="2"/>
  <c r="DM51" i="2" s="1"/>
  <c r="EE51" i="2"/>
  <c r="EH50" i="2"/>
  <c r="EK50" i="2" s="1"/>
  <c r="EG50" i="2"/>
  <c r="EJ50" i="2" s="1"/>
  <c r="BI51" i="2"/>
  <c r="BI50" i="2" s="1"/>
  <c r="BH52" i="2"/>
  <c r="BH53" i="2" l="1"/>
  <c r="EI50" i="2"/>
  <c r="EF50" i="2" s="1"/>
  <c r="DL51" i="2"/>
  <c r="DI51" i="2" s="1"/>
  <c r="EE52" i="2"/>
  <c r="EH51" i="2"/>
  <c r="EK51" i="2" s="1"/>
  <c r="EG51" i="2"/>
  <c r="EJ51" i="2" s="1"/>
  <c r="DH53" i="2"/>
  <c r="DK52" i="2"/>
  <c r="DN52" i="2" s="1"/>
  <c r="DJ52" i="2"/>
  <c r="DM52" i="2" s="1"/>
  <c r="BI53" i="2" l="1"/>
  <c r="BI52" i="2" s="1"/>
  <c r="BH54" i="2"/>
  <c r="DL52" i="2"/>
  <c r="DI52" i="2" s="1"/>
  <c r="EI51" i="2"/>
  <c r="EF51" i="2" s="1"/>
  <c r="DH54" i="2"/>
  <c r="DK53" i="2"/>
  <c r="DN53" i="2" s="1"/>
  <c r="DJ53" i="2"/>
  <c r="DM53" i="2" s="1"/>
  <c r="EE53" i="2"/>
  <c r="EH52" i="2"/>
  <c r="EK52" i="2" s="1"/>
  <c r="EG52" i="2"/>
  <c r="EJ52" i="2" s="1"/>
  <c r="EI52" i="2" l="1"/>
  <c r="EF52" i="2" s="1"/>
  <c r="DL53" i="2"/>
  <c r="DI53" i="2" s="1"/>
  <c r="BH55" i="2"/>
  <c r="EE54" i="2"/>
  <c r="EH53" i="2"/>
  <c r="EK53" i="2" s="1"/>
  <c r="EG53" i="2"/>
  <c r="EJ53" i="2" s="1"/>
  <c r="DH55" i="2"/>
  <c r="DK54" i="2"/>
  <c r="DN54" i="2" s="1"/>
  <c r="DJ54" i="2"/>
  <c r="DM54" i="2" s="1"/>
  <c r="DL54" i="2" l="1"/>
  <c r="DI54" i="2" s="1"/>
  <c r="EI53" i="2"/>
  <c r="EF53" i="2" s="1"/>
  <c r="BI55" i="2"/>
  <c r="BI54" i="2" s="1"/>
  <c r="BH56" i="2"/>
  <c r="DH56" i="2"/>
  <c r="DK55" i="2"/>
  <c r="DN55" i="2" s="1"/>
  <c r="DJ55" i="2"/>
  <c r="DM55" i="2" s="1"/>
  <c r="EE55" i="2"/>
  <c r="EH54" i="2"/>
  <c r="EK54" i="2" s="1"/>
  <c r="EG54" i="2"/>
  <c r="EJ54" i="2" s="1"/>
  <c r="BH57" i="2" l="1"/>
  <c r="EI54" i="2"/>
  <c r="EF54" i="2" s="1"/>
  <c r="DL55" i="2"/>
  <c r="DI55" i="2" s="1"/>
  <c r="EE56" i="2"/>
  <c r="EH55" i="2"/>
  <c r="EK55" i="2" s="1"/>
  <c r="EG55" i="2"/>
  <c r="EJ55" i="2" s="1"/>
  <c r="DH57" i="2"/>
  <c r="DK56" i="2"/>
  <c r="DN56" i="2" s="1"/>
  <c r="DJ56" i="2"/>
  <c r="DM56" i="2" s="1"/>
  <c r="DL56" i="2" l="1"/>
  <c r="DI56" i="2" s="1"/>
  <c r="EI55" i="2"/>
  <c r="EF55" i="2" s="1"/>
  <c r="BI57" i="2"/>
  <c r="BI56" i="2" s="1"/>
  <c r="BH58" i="2"/>
  <c r="DH58" i="2"/>
  <c r="DK57" i="2"/>
  <c r="DN57" i="2" s="1"/>
  <c r="DJ57" i="2"/>
  <c r="DM57" i="2" s="1"/>
  <c r="EE57" i="2"/>
  <c r="EH56" i="2"/>
  <c r="EK56" i="2" s="1"/>
  <c r="EG56" i="2"/>
  <c r="EJ56" i="2" s="1"/>
  <c r="BH59" i="2" l="1"/>
  <c r="EI56" i="2"/>
  <c r="EF56" i="2" s="1"/>
  <c r="DL57" i="2"/>
  <c r="DI57" i="2" s="1"/>
  <c r="EE58" i="2"/>
  <c r="EH57" i="2"/>
  <c r="EK57" i="2" s="1"/>
  <c r="EG57" i="2"/>
  <c r="EJ57" i="2" s="1"/>
  <c r="DH59" i="2"/>
  <c r="DK58" i="2"/>
  <c r="DN58" i="2" s="1"/>
  <c r="DJ58" i="2"/>
  <c r="DM58" i="2" s="1"/>
  <c r="DL58" i="2" l="1"/>
  <c r="DI58" i="2" s="1"/>
  <c r="EI57" i="2"/>
  <c r="EF57" i="2" s="1"/>
  <c r="BI59" i="2"/>
  <c r="BI58" i="2" s="1"/>
  <c r="BH60" i="2"/>
  <c r="DH60" i="2"/>
  <c r="DK59" i="2"/>
  <c r="DN59" i="2" s="1"/>
  <c r="DJ59" i="2"/>
  <c r="DM59" i="2" s="1"/>
  <c r="EE59" i="2"/>
  <c r="EH58" i="2"/>
  <c r="EK58" i="2" s="1"/>
  <c r="EG58" i="2"/>
  <c r="EJ58" i="2" s="1"/>
  <c r="BH61" i="2" l="1"/>
  <c r="EI58" i="2"/>
  <c r="EF58" i="2" s="1"/>
  <c r="DL59" i="2"/>
  <c r="DI59" i="2" s="1"/>
  <c r="EE60" i="2"/>
  <c r="EH59" i="2"/>
  <c r="EK59" i="2" s="1"/>
  <c r="EG59" i="2"/>
  <c r="EJ59" i="2" s="1"/>
  <c r="DH61" i="2"/>
  <c r="DK60" i="2"/>
  <c r="DN60" i="2" s="1"/>
  <c r="DJ60" i="2"/>
  <c r="DM60" i="2" s="1"/>
  <c r="DL60" i="2" l="1"/>
  <c r="DI60" i="2" s="1"/>
  <c r="EI59" i="2"/>
  <c r="EF59" i="2" s="1"/>
  <c r="BI61" i="2"/>
  <c r="BI60" i="2" s="1"/>
  <c r="BH62" i="2"/>
  <c r="DH62" i="2"/>
  <c r="DK61" i="2"/>
  <c r="DN61" i="2" s="1"/>
  <c r="DJ61" i="2"/>
  <c r="DM61" i="2" s="1"/>
  <c r="EE61" i="2"/>
  <c r="EH60" i="2"/>
  <c r="EK60" i="2" s="1"/>
  <c r="EG60" i="2"/>
  <c r="EJ60" i="2" s="1"/>
  <c r="BH63" i="2" l="1"/>
  <c r="EI60" i="2"/>
  <c r="EF60" i="2" s="1"/>
  <c r="DL61" i="2"/>
  <c r="DI61" i="2" s="1"/>
  <c r="EE62" i="2"/>
  <c r="EH61" i="2"/>
  <c r="EK61" i="2" s="1"/>
  <c r="EG61" i="2"/>
  <c r="EJ61" i="2" s="1"/>
  <c r="DH63" i="2"/>
  <c r="DK62" i="2"/>
  <c r="DN62" i="2" s="1"/>
  <c r="DJ62" i="2"/>
  <c r="DM62" i="2" s="1"/>
  <c r="EI61" i="2" l="1"/>
  <c r="EF61" i="2" s="1"/>
  <c r="DL62" i="2"/>
  <c r="DI62" i="2" s="1"/>
  <c r="BI63" i="2"/>
  <c r="BI62" i="2" s="1"/>
  <c r="BH64" i="2"/>
  <c r="DH64" i="2"/>
  <c r="DK63" i="2"/>
  <c r="DN63" i="2" s="1"/>
  <c r="DJ63" i="2"/>
  <c r="DM63" i="2" s="1"/>
  <c r="EE63" i="2"/>
  <c r="EH62" i="2"/>
  <c r="EK62" i="2" s="1"/>
  <c r="EG62" i="2"/>
  <c r="EJ62" i="2" s="1"/>
  <c r="BH65" i="2" l="1"/>
  <c r="EI62" i="2"/>
  <c r="EF62" i="2" s="1"/>
  <c r="DL63" i="2"/>
  <c r="DI63" i="2" s="1"/>
  <c r="EE64" i="2"/>
  <c r="EH63" i="2"/>
  <c r="EK63" i="2" s="1"/>
  <c r="EG63" i="2"/>
  <c r="EJ63" i="2" s="1"/>
  <c r="DH65" i="2"/>
  <c r="DK64" i="2"/>
  <c r="DN64" i="2" s="1"/>
  <c r="DJ64" i="2"/>
  <c r="DM64" i="2" s="1"/>
  <c r="AQ7" i="1"/>
  <c r="AS7" i="1" s="1"/>
  <c r="DL64" i="2" l="1"/>
  <c r="DI64" i="2" s="1"/>
  <c r="AR8" i="1" s="1"/>
  <c r="AT8" i="1" s="1"/>
  <c r="EI63" i="2"/>
  <c r="EF63" i="2" s="1"/>
  <c r="BI65" i="2"/>
  <c r="BI64" i="2" s="1"/>
  <c r="BH66" i="2"/>
  <c r="AS24" i="1"/>
  <c r="DH66" i="2"/>
  <c r="DK65" i="2"/>
  <c r="DN65" i="2" s="1"/>
  <c r="DJ65" i="2"/>
  <c r="DM65" i="2" s="1"/>
  <c r="EE65" i="2"/>
  <c r="EH64" i="2"/>
  <c r="EK64" i="2" s="1"/>
  <c r="EG64" i="2"/>
  <c r="EJ64" i="2" s="1"/>
  <c r="AP15" i="2"/>
  <c r="AR15" i="1"/>
  <c r="AT15" i="1" s="1"/>
  <c r="AT27" i="1" s="1"/>
  <c r="AR27" i="1" s="1"/>
  <c r="AQ15" i="1"/>
  <c r="AS15" i="1" s="1"/>
  <c r="AS27" i="1" s="1"/>
  <c r="AQ27" i="1" s="1"/>
  <c r="AQ15" i="2"/>
  <c r="EI64" i="2" l="1"/>
  <c r="EF64" i="2" s="1"/>
  <c r="DL65" i="2"/>
  <c r="DI65" i="2" s="1"/>
  <c r="BH67" i="2"/>
  <c r="EE66" i="2"/>
  <c r="EH65" i="2"/>
  <c r="EK65" i="2" s="1"/>
  <c r="EG65" i="2"/>
  <c r="EJ65" i="2" s="1"/>
  <c r="DH67" i="2"/>
  <c r="DK66" i="2"/>
  <c r="DN66" i="2" s="1"/>
  <c r="DJ66" i="2"/>
  <c r="DM66" i="2" s="1"/>
  <c r="AS19" i="1"/>
  <c r="AQ24" i="1"/>
  <c r="AS28" i="1"/>
  <c r="AQ28" i="1" s="1"/>
  <c r="AT24" i="1"/>
  <c r="AT19" i="1"/>
  <c r="AR24" i="1" l="1"/>
  <c r="AT28" i="1"/>
  <c r="AR28" i="1" s="1"/>
  <c r="BI67" i="2"/>
  <c r="BI66" i="2" s="1"/>
  <c r="BH68" i="2"/>
  <c r="EI65" i="2"/>
  <c r="EF65" i="2" s="1"/>
  <c r="DL66" i="2"/>
  <c r="DI66" i="2" s="1"/>
  <c r="R21" i="1"/>
  <c r="AR19" i="1"/>
  <c r="P21" i="1"/>
  <c r="P15" i="1" s="1"/>
  <c r="AQ19" i="1"/>
  <c r="DH68" i="2"/>
  <c r="DL67" i="2"/>
  <c r="DI67" i="2" s="1"/>
  <c r="DK67" i="2"/>
  <c r="DN67" i="2" s="1"/>
  <c r="DJ67" i="2"/>
  <c r="DM67" i="2" s="1"/>
  <c r="EE67" i="2"/>
  <c r="EI66" i="2"/>
  <c r="EF66" i="2" s="1"/>
  <c r="EH66" i="2"/>
  <c r="EK66" i="2" s="1"/>
  <c r="EG66" i="2"/>
  <c r="EJ66" i="2" s="1"/>
  <c r="EE68" i="2" l="1"/>
  <c r="EH67" i="2"/>
  <c r="EK67" i="2" s="1"/>
  <c r="EG67" i="2"/>
  <c r="EJ67" i="2" s="1"/>
  <c r="BH69" i="2"/>
  <c r="DH69" i="2"/>
  <c r="DL68" i="2"/>
  <c r="DI68" i="2" s="1"/>
  <c r="DK68" i="2"/>
  <c r="DN68" i="2" s="1"/>
  <c r="DJ68" i="2"/>
  <c r="DM68" i="2" s="1"/>
  <c r="P24" i="1"/>
  <c r="P4" i="1"/>
  <c r="DH70" i="2" l="1"/>
  <c r="DK69" i="2"/>
  <c r="DN69" i="2" s="1"/>
  <c r="DJ69" i="2"/>
  <c r="DM69" i="2" s="1"/>
  <c r="BI69" i="2"/>
  <c r="BI68" i="2" s="1"/>
  <c r="BH70" i="2"/>
  <c r="EI67" i="2"/>
  <c r="EF67" i="2" s="1"/>
  <c r="P31" i="1"/>
  <c r="P34" i="1"/>
  <c r="P32" i="1"/>
  <c r="P30" i="1"/>
  <c r="P28" i="1"/>
  <c r="P35" i="1"/>
  <c r="P33" i="1"/>
  <c r="P29" i="1"/>
  <c r="P27" i="1"/>
  <c r="P26" i="1"/>
  <c r="P25" i="1"/>
  <c r="EE69" i="2"/>
  <c r="EH68" i="2"/>
  <c r="EK68" i="2" s="1"/>
  <c r="EG68" i="2"/>
  <c r="EJ68" i="2" s="1"/>
  <c r="EI68" i="2" l="1"/>
  <c r="EF68" i="2" s="1"/>
  <c r="EE70" i="2"/>
  <c r="EH69" i="2"/>
  <c r="EK69" i="2" s="1"/>
  <c r="EG69" i="2"/>
  <c r="EJ69" i="2" s="1"/>
  <c r="BH71" i="2"/>
  <c r="DL69" i="2"/>
  <c r="DI69" i="2" s="1"/>
  <c r="DH71" i="2"/>
  <c r="DK70" i="2"/>
  <c r="DN70" i="2" s="1"/>
  <c r="DJ70" i="2"/>
  <c r="DM70" i="2" s="1"/>
  <c r="EE71" i="2" l="1"/>
  <c r="EH70" i="2"/>
  <c r="EK70" i="2" s="1"/>
  <c r="EG70" i="2"/>
  <c r="EJ70" i="2" s="1"/>
  <c r="DL70" i="2"/>
  <c r="DI70" i="2" s="1"/>
  <c r="DH72" i="2"/>
  <c r="DK71" i="2"/>
  <c r="DN71" i="2" s="1"/>
  <c r="DJ71" i="2"/>
  <c r="DM71" i="2" s="1"/>
  <c r="BI71" i="2"/>
  <c r="BI70" i="2" s="1"/>
  <c r="BH72" i="2"/>
  <c r="EI69" i="2"/>
  <c r="EF69" i="2" s="1"/>
  <c r="BH73" i="2" l="1"/>
  <c r="DL71" i="2"/>
  <c r="DI71" i="2" s="1"/>
  <c r="DH73" i="2"/>
  <c r="DK72" i="2"/>
  <c r="DN72" i="2" s="1"/>
  <c r="DJ72" i="2"/>
  <c r="DM72" i="2" s="1"/>
  <c r="EI70" i="2"/>
  <c r="EF70" i="2" s="1"/>
  <c r="EE72" i="2"/>
  <c r="EH71" i="2"/>
  <c r="EK71" i="2" s="1"/>
  <c r="EG71" i="2"/>
  <c r="EJ71" i="2" s="1"/>
  <c r="DH74" i="2" l="1"/>
  <c r="DK73" i="2"/>
  <c r="DN73" i="2" s="1"/>
  <c r="DJ73" i="2"/>
  <c r="DM73" i="2" s="1"/>
  <c r="BI73" i="2"/>
  <c r="BI72" i="2" s="1"/>
  <c r="BH74" i="2"/>
  <c r="EI71" i="2"/>
  <c r="EF71" i="2" s="1"/>
  <c r="EF72" i="2" s="1"/>
  <c r="EF73" i="2" s="1"/>
  <c r="EF74" i="2" s="1"/>
  <c r="EF75" i="2" s="1"/>
  <c r="EF76" i="2" s="1"/>
  <c r="EE73" i="2"/>
  <c r="EH72" i="2"/>
  <c r="EK72" i="2" s="1"/>
  <c r="EG72" i="2"/>
  <c r="EJ72" i="2" s="1"/>
  <c r="DL72" i="2"/>
  <c r="DI72" i="2" s="1"/>
  <c r="EE74" i="2" l="1"/>
  <c r="EH73" i="2"/>
  <c r="EK73" i="2" s="1"/>
  <c r="EG73" i="2"/>
  <c r="EJ73" i="2" s="1"/>
  <c r="BH75" i="2"/>
  <c r="DL73" i="2"/>
  <c r="DI73" i="2" s="1"/>
  <c r="EI72" i="2"/>
  <c r="DH75" i="2"/>
  <c r="DK74" i="2"/>
  <c r="DN74" i="2" s="1"/>
  <c r="DJ74" i="2"/>
  <c r="DM74" i="2" s="1"/>
  <c r="DL74" i="2" l="1"/>
  <c r="DI74" i="2" s="1"/>
  <c r="BI75" i="2"/>
  <c r="BI74" i="2" s="1"/>
  <c r="BH76" i="2"/>
  <c r="EI73" i="2"/>
  <c r="DH76" i="2"/>
  <c r="DK75" i="2"/>
  <c r="DN75" i="2" s="1"/>
  <c r="DJ75" i="2"/>
  <c r="DM75" i="2" s="1"/>
  <c r="EE75" i="2"/>
  <c r="EH74" i="2"/>
  <c r="EK74" i="2" s="1"/>
  <c r="EG74" i="2"/>
  <c r="EJ74" i="2" s="1"/>
  <c r="BH77" i="2" l="1"/>
  <c r="EI74" i="2"/>
  <c r="DL75" i="2"/>
  <c r="DI75" i="2" s="1"/>
  <c r="EE76" i="2"/>
  <c r="EH75" i="2"/>
  <c r="EK75" i="2" s="1"/>
  <c r="EG75" i="2"/>
  <c r="EJ75" i="2" s="1"/>
  <c r="DH77" i="2"/>
  <c r="DK76" i="2"/>
  <c r="DN76" i="2" s="1"/>
  <c r="DJ76" i="2"/>
  <c r="DM76" i="2" s="1"/>
  <c r="EI75" i="2" l="1"/>
  <c r="BH78" i="2"/>
  <c r="BI77" i="2"/>
  <c r="BI76" i="2" s="1"/>
  <c r="DL76" i="2"/>
  <c r="DI76" i="2" s="1"/>
  <c r="DK77" i="2"/>
  <c r="DN77" i="2" s="1"/>
  <c r="DJ77" i="2"/>
  <c r="DM77" i="2" s="1"/>
  <c r="DH78" i="2"/>
  <c r="EH76" i="2"/>
  <c r="EK76" i="2" s="1"/>
  <c r="EG76" i="2"/>
  <c r="EJ76" i="2" s="1"/>
  <c r="BH79" i="2" l="1"/>
  <c r="BI79" i="2" s="1"/>
  <c r="AF4" i="1" s="1"/>
  <c r="DK78" i="2"/>
  <c r="DN78" i="2" s="1"/>
  <c r="DJ78" i="2"/>
  <c r="DM78" i="2" s="1"/>
  <c r="DL78" i="2"/>
  <c r="DI78" i="2" s="1"/>
  <c r="DH79" i="2"/>
  <c r="EI76" i="2"/>
  <c r="DL77" i="2"/>
  <c r="DI77" i="2" s="1"/>
  <c r="DJ79" i="2" l="1"/>
  <c r="DM79" i="2" s="1"/>
  <c r="DL79" i="2"/>
  <c r="DI79" i="2" s="1"/>
  <c r="DK79" i="2"/>
  <c r="DN79" i="2" s="1"/>
  <c r="DH80" i="2"/>
  <c r="BI78" i="2"/>
  <c r="AF13" i="1"/>
  <c r="AG13" i="1" s="1"/>
  <c r="AF7" i="1"/>
  <c r="AF10" i="1"/>
  <c r="AG10" i="1" s="1"/>
  <c r="AF9" i="1"/>
  <c r="AG9" i="1" s="1"/>
  <c r="AF8" i="1"/>
  <c r="AG8" i="1" s="1"/>
  <c r="AF11" i="1"/>
  <c r="AG11" i="1" s="1"/>
  <c r="AF12" i="1"/>
  <c r="AG12" i="1" s="1"/>
  <c r="DH81" i="2" l="1"/>
  <c r="DK80" i="2"/>
  <c r="DN80" i="2" s="1"/>
  <c r="DJ80" i="2"/>
  <c r="DM80" i="2" s="1"/>
  <c r="DL80" i="2"/>
  <c r="AG7" i="1"/>
  <c r="AF15" i="1"/>
  <c r="R12" i="1"/>
  <c r="R8" i="1" s="1"/>
  <c r="DI80" i="2" l="1"/>
  <c r="R19" i="1"/>
  <c r="R15" i="1" s="1"/>
  <c r="AG15" i="1"/>
  <c r="DH82" i="2"/>
  <c r="DK81" i="2"/>
  <c r="DN81" i="2" s="1"/>
  <c r="DJ81" i="2"/>
  <c r="DM81" i="2" s="1"/>
  <c r="DL81" i="2" l="1"/>
  <c r="DI81" i="2" s="1"/>
  <c r="R24" i="1"/>
  <c r="R4" i="1"/>
  <c r="DJ82" i="2"/>
  <c r="DM82" i="2" s="1"/>
  <c r="DK82" i="2"/>
  <c r="DN82" i="2" s="1"/>
  <c r="R31" i="1" l="1"/>
  <c r="T29" i="1" s="1"/>
  <c r="R34" i="1"/>
  <c r="T32" i="1" s="1"/>
  <c r="R32" i="1"/>
  <c r="T30" i="1" s="1"/>
  <c r="R30" i="1"/>
  <c r="T28" i="1" s="1"/>
  <c r="R28" i="1"/>
  <c r="T26" i="1" s="1"/>
  <c r="R35" i="1"/>
  <c r="T33" i="1" s="1"/>
  <c r="R33" i="1"/>
  <c r="T31" i="1" s="1"/>
  <c r="R29" i="1"/>
  <c r="T27" i="1" s="1"/>
  <c r="R27" i="1"/>
  <c r="T25" i="1" s="1"/>
  <c r="R26" i="1"/>
  <c r="T24" i="1" s="1"/>
  <c r="R25" i="1"/>
  <c r="DL82" i="2"/>
  <c r="T23" i="1" l="1"/>
  <c r="S32" i="1"/>
  <c r="U29" i="1" s="1"/>
  <c r="S34" i="1"/>
  <c r="U31" i="1" s="1"/>
  <c r="S28" i="1"/>
  <c r="U25" i="1" s="1"/>
  <c r="S27" i="1"/>
  <c r="S36" i="1"/>
  <c r="U33" i="1" s="1"/>
  <c r="S29" i="1"/>
  <c r="U26" i="1" s="1"/>
  <c r="S31" i="1"/>
  <c r="U28" i="1" s="1"/>
  <c r="S33" i="1"/>
  <c r="U30" i="1" s="1"/>
  <c r="S30" i="1"/>
  <c r="U27" i="1" s="1"/>
  <c r="S35" i="1"/>
  <c r="U32" i="1" s="1"/>
  <c r="S37" i="1" l="1"/>
  <c r="U24" i="1"/>
  <c r="T34" i="1"/>
  <c r="Q2" i="1" s="1"/>
  <c r="U23" i="1"/>
  <c r="U34" i="1" l="1"/>
  <c r="U35" i="1" s="1"/>
  <c r="P2" i="1"/>
  <c r="P5" i="1" s="1"/>
  <c r="S38" i="1" l="1"/>
  <c r="P3" i="1" s="1"/>
  <c r="R3" i="1" s="1"/>
  <c r="R2" i="1"/>
  <c r="R5" i="1" s="1"/>
</calcChain>
</file>

<file path=xl/sharedStrings.xml><?xml version="1.0" encoding="utf-8"?>
<sst xmlns="http://schemas.openxmlformats.org/spreadsheetml/2006/main" count="708" uniqueCount="367">
  <si>
    <t>Enter Ratings for both teams</t>
  </si>
  <si>
    <t>Enter info into all light yellow cells</t>
  </si>
  <si>
    <t>Win A</t>
  </si>
  <si>
    <t>Draw</t>
  </si>
  <si>
    <t>Win B</t>
  </si>
  <si>
    <t>Enter via match ratings (blue) or sector percentages (green)</t>
  </si>
  <si>
    <t>Grey cells are informational</t>
  </si>
  <si>
    <t>Normal Chances:</t>
  </si>
  <si>
    <t>Chance after Poss:</t>
  </si>
  <si>
    <t>% CA:</t>
  </si>
  <si>
    <t>Chance after Poss</t>
  </si>
  <si>
    <t>Rater will use the input selected below</t>
  </si>
  <si>
    <t>Enter specialties below ("Yes") or choose to skip this step ("No")</t>
  </si>
  <si>
    <t>Win Cup</t>
  </si>
  <si>
    <t>Chance after Press:</t>
  </si>
  <si>
    <t>Chance after PDIM:</t>
  </si>
  <si>
    <t>U CAs:</t>
  </si>
  <si>
    <t>Chance after PDIM</t>
  </si>
  <si>
    <t>PC factor</t>
  </si>
  <si>
    <t>Attacker</t>
  </si>
  <si>
    <t>Defender (100%)</t>
  </si>
  <si>
    <t>Defender (25%)</t>
  </si>
  <si>
    <t>Ratings input:</t>
  </si>
  <si>
    <t>Ratings</t>
  </si>
  <si>
    <t>Specialties input:</t>
  </si>
  <si>
    <t>Yes</t>
  </si>
  <si>
    <t>xG</t>
  </si>
  <si>
    <t>Press LS%:</t>
  </si>
  <si>
    <t>CAs:</t>
  </si>
  <si>
    <t>Triggers</t>
  </si>
  <si>
    <t>Event</t>
  </si>
  <si>
    <t>Freq</t>
  </si>
  <si>
    <t>Players A</t>
  </si>
  <si>
    <t>Players B</t>
  </si>
  <si>
    <t>% Event A</t>
  </si>
  <si>
    <t>Freq A</t>
  </si>
  <si>
    <t>Freq B</t>
  </si>
  <si>
    <t>Conv A</t>
  </si>
  <si>
    <t>Conv B</t>
  </si>
  <si>
    <t>xG A</t>
  </si>
  <si>
    <t>xG B</t>
  </si>
  <si>
    <t>Spec</t>
  </si>
  <si>
    <t>hlookup</t>
  </si>
  <si>
    <t>W Right, FW Right</t>
  </si>
  <si>
    <t>WB Left</t>
  </si>
  <si>
    <t>CD Left</t>
  </si>
  <si>
    <t>xP</t>
  </si>
  <si>
    <t>Type:</t>
  </si>
  <si>
    <t>Normal</t>
  </si>
  <si>
    <t>CA / PNF</t>
  </si>
  <si>
    <t>Offensive</t>
  </si>
  <si>
    <t>Q Rush</t>
  </si>
  <si>
    <t>Q</t>
  </si>
  <si>
    <t>W Left, FW Left</t>
  </si>
  <si>
    <t>WB Right</t>
  </si>
  <si>
    <t>CD Right</t>
  </si>
  <si>
    <t>Percent</t>
  </si>
  <si>
    <t>MF</t>
  </si>
  <si>
    <t>Left</t>
  </si>
  <si>
    <t>Center</t>
  </si>
  <si>
    <t>Right</t>
  </si>
  <si>
    <t>ISP Def</t>
  </si>
  <si>
    <t>ISP Att</t>
  </si>
  <si>
    <t>K Stars</t>
  </si>
  <si>
    <t>Tac Level</t>
  </si>
  <si>
    <t>Tactic</t>
  </si>
  <si>
    <t>Dist</t>
  </si>
  <si>
    <t>Sector</t>
  </si>
  <si>
    <t>%conv</t>
  </si>
  <si>
    <t>%dist</t>
  </si>
  <si>
    <t>chances</t>
  </si>
  <si>
    <t>goals</t>
  </si>
  <si>
    <t>Q Pass</t>
  </si>
  <si>
    <t>IM Right</t>
  </si>
  <si>
    <t>CD Middle, WB Left</t>
  </si>
  <si>
    <t>Team A:</t>
  </si>
  <si>
    <t>(no tactic)</t>
  </si>
  <si>
    <t>All but SP</t>
  </si>
  <si>
    <t>C-H A</t>
  </si>
  <si>
    <t>H</t>
  </si>
  <si>
    <t>IM Left</t>
  </si>
  <si>
    <t>CD Middle, WB Right</t>
  </si>
  <si>
    <t>Team B:</t>
  </si>
  <si>
    <t>Counter Attacks</t>
  </si>
  <si>
    <t>Chances</t>
  </si>
  <si>
    <t>C-H B</t>
  </si>
  <si>
    <t>FW Middle, IM Middle</t>
  </si>
  <si>
    <t>CD Middle</t>
  </si>
  <si>
    <t>CD Left, CD Right</t>
  </si>
  <si>
    <t>L/C/R</t>
  </si>
  <si>
    <t>W-H</t>
  </si>
  <si>
    <t>Team A</t>
  </si>
  <si>
    <t>Set Piece</t>
  </si>
  <si>
    <t>DFK</t>
  </si>
  <si>
    <t>Def + K</t>
  </si>
  <si>
    <t>ULP</t>
  </si>
  <si>
    <t>U</t>
  </si>
  <si>
    <t>FW</t>
  </si>
  <si>
    <t>Pnf</t>
  </si>
  <si>
    <t>LS</t>
  </si>
  <si>
    <t>PK</t>
  </si>
  <si>
    <t>All but K</t>
  </si>
  <si>
    <t>U special</t>
  </si>
  <si>
    <t>MID</t>
  </si>
  <si>
    <t>Z</t>
  </si>
  <si>
    <t>CA</t>
  </si>
  <si>
    <t>IFK</t>
  </si>
  <si>
    <t>U score</t>
  </si>
  <si>
    <t>DEF</t>
  </si>
  <si>
    <t>PNF</t>
  </si>
  <si>
    <t>Def / IM</t>
  </si>
  <si>
    <t>U mistake</t>
  </si>
  <si>
    <t>Att</t>
  </si>
  <si>
    <t>K</t>
  </si>
  <si>
    <t>SE</t>
  </si>
  <si>
    <t>WG / FW</t>
  </si>
  <si>
    <t>UOG</t>
  </si>
  <si>
    <t>Mid</t>
  </si>
  <si>
    <t>Goals</t>
  </si>
  <si>
    <t>Total</t>
  </si>
  <si>
    <t>Poss</t>
  </si>
  <si>
    <t>C-A</t>
  </si>
  <si>
    <t>O</t>
  </si>
  <si>
    <t>Def</t>
  </si>
  <si>
    <t>Team B</t>
  </si>
  <si>
    <t>Missed Normal:</t>
  </si>
  <si>
    <t>Wingers</t>
  </si>
  <si>
    <t>W-A</t>
  </si>
  <si>
    <t>PDIM:</t>
  </si>
  <si>
    <t>T</t>
  </si>
  <si>
    <t>Pdim</t>
  </si>
  <si>
    <t>PNF_CD Opp:</t>
  </si>
  <si>
    <t>All Others</t>
  </si>
  <si>
    <t>PNF event conv%:</t>
  </si>
  <si>
    <t>AIM% shift:</t>
  </si>
  <si>
    <t>AOW% shift:</t>
  </si>
  <si>
    <t>Definition</t>
  </si>
  <si>
    <t>PK/(PK+DFK):</t>
  </si>
  <si>
    <t>SE A</t>
  </si>
  <si>
    <t>SE B</t>
  </si>
  <si>
    <t>Conv% A</t>
  </si>
  <si>
    <t>Conv% B</t>
  </si>
  <si>
    <t>SE xG A</t>
  </si>
  <si>
    <t>SE xG B</t>
  </si>
  <si>
    <t>no player</t>
  </si>
  <si>
    <t>H+SP</t>
  </si>
  <si>
    <t>Head + Set Piece Taker</t>
  </si>
  <si>
    <t>Quick</t>
  </si>
  <si>
    <t>Powerful Normal Forward</t>
  </si>
  <si>
    <t>Hat Ratings</t>
  </si>
  <si>
    <t>Head</t>
  </si>
  <si>
    <t>Unpredictable</t>
  </si>
  <si>
    <t>PDIM</t>
  </si>
  <si>
    <t>Powerful Defensive Inner Midfield</t>
  </si>
  <si>
    <t>Unpred</t>
  </si>
  <si>
    <t>Tech</t>
  </si>
  <si>
    <t>Technical</t>
  </si>
  <si>
    <t>Other</t>
  </si>
  <si>
    <t>no specialty, or other (Support / Regainer)</t>
  </si>
  <si>
    <t>All</t>
  </si>
  <si>
    <t>Level A</t>
  </si>
  <si>
    <t>Level B</t>
  </si>
  <si>
    <t>Q stop adjustment factor; 0% means that all Q events get stopped</t>
  </si>
  <si>
    <t>Long Shots</t>
  </si>
  <si>
    <t>For a projection, CA rating should be reduced by -0.5 rating points</t>
  </si>
  <si>
    <t>Play Creatively</t>
  </si>
  <si>
    <t>for each opposing Q defenders that "cancels out" a Q attacker</t>
  </si>
  <si>
    <t>Pressing</t>
  </si>
  <si>
    <t>For an already played match, do not adjust (HT does this already).</t>
  </si>
  <si>
    <t>Attack on Wings</t>
  </si>
  <si>
    <t>League</t>
  </si>
  <si>
    <t>Attack in Middle</t>
  </si>
  <si>
    <t>Cup</t>
  </si>
  <si>
    <t>Updated Nov 2022</t>
  </si>
  <si>
    <t>match</t>
  </si>
  <si>
    <t>event</t>
  </si>
  <si>
    <t>goal</t>
  </si>
  <si>
    <t>Conv%</t>
  </si>
  <si>
    <t>assumes 3 missed chances per match</t>
  </si>
  <si>
    <t>actual freq per match</t>
  </si>
  <si>
    <t>TacticSkill</t>
  </si>
  <si>
    <t>E_CA</t>
  </si>
  <si>
    <t>Opp_E_NormalMissed</t>
  </si>
  <si>
    <t>% CA</t>
  </si>
  <si>
    <t>Selected</t>
  </si>
  <si>
    <t>CA lkup</t>
  </si>
  <si>
    <t>CA %conv</t>
  </si>
  <si>
    <t>CORNER HEAD</t>
  </si>
  <si>
    <t>2D</t>
  </si>
  <si>
    <t>se players</t>
  </si>
  <si>
    <t>factor</t>
  </si>
  <si>
    <t>C-H factor</t>
  </si>
  <si>
    <t>ISP Gap</t>
  </si>
  <si>
    <t>K Factor</t>
  </si>
  <si>
    <t>% pressed</t>
  </si>
  <si>
    <t>adj</t>
  </si>
  <si>
    <t>No</t>
  </si>
  <si>
    <t>3D</t>
  </si>
  <si>
    <t>long shots</t>
  </si>
  <si>
    <t>Conv non-LS</t>
  </si>
  <si>
    <t>CA count</t>
  </si>
  <si>
    <t>Press Tactic Skill</t>
  </si>
  <si>
    <t>Match</t>
  </si>
  <si>
    <t>Press%</t>
  </si>
  <si>
    <t>Freq LS Press</t>
  </si>
  <si>
    <t>Freq Long Shot</t>
  </si>
  <si>
    <t>Avg Points LS Team</t>
  </si>
  <si>
    <t>Avg LS Tactic Skill</t>
  </si>
  <si>
    <t>0_0</t>
  </si>
  <si>
    <t>Player A</t>
  </si>
  <si>
    <t>Player B</t>
  </si>
  <si>
    <t>4D</t>
  </si>
  <si>
    <t>LS N-T</t>
  </si>
  <si>
    <t>% LS</t>
  </si>
  <si>
    <t>% LS N-T</t>
  </si>
  <si>
    <t>select</t>
  </si>
  <si>
    <t>AIM Rating</t>
  </si>
  <si>
    <t>E_Att_Mid</t>
  </si>
  <si>
    <t>E_Att_Wing</t>
  </si>
  <si>
    <t>E_AIM_AOW</t>
  </si>
  <si>
    <t>% Mid</t>
  </si>
  <si>
    <t>% Convert</t>
  </si>
  <si>
    <t>AOW Rating</t>
  </si>
  <si>
    <t>% Wing</t>
  </si>
  <si>
    <t>Head gap</t>
  </si>
  <si>
    <t>ISP gap</t>
  </si>
  <si>
    <t>ISP factor</t>
  </si>
  <si>
    <t>ISP Factor</t>
  </si>
  <si>
    <t>calc steps</t>
  </si>
  <si>
    <t>New</t>
  </si>
  <si>
    <t>0_1</t>
  </si>
  <si>
    <t>5D</t>
  </si>
  <si>
    <t>EventName</t>
  </si>
  <si>
    <t>E</t>
  </si>
  <si>
    <t>Normal (remove PK &amp; LS)</t>
  </si>
  <si>
    <t>%</t>
  </si>
  <si>
    <t>% no LS_NT</t>
  </si>
  <si>
    <t>&lt;17</t>
  </si>
  <si>
    <t>&lt;14</t>
  </si>
  <si>
    <t>&lt;-44</t>
  </si>
  <si>
    <t>&lt;6</t>
  </si>
  <si>
    <t>isp</t>
  </si>
  <si>
    <t>opp normal</t>
  </si>
  <si>
    <t>opp LS</t>
  </si>
  <si>
    <t>0_2</t>
  </si>
  <si>
    <t>ChanceDFK</t>
  </si>
  <si>
    <t>Att - Def</t>
  </si>
  <si>
    <t>% stopped</t>
  </si>
  <si>
    <t>Tactic Skill</t>
  </si>
  <si>
    <t>Matches</t>
  </si>
  <si>
    <t>Press Events</t>
  </si>
  <si>
    <t>Event Per Match</t>
  </si>
  <si>
    <t>0_3</t>
  </si>
  <si>
    <t>ChanceIFK</t>
  </si>
  <si>
    <t>PNFs</t>
  </si>
  <si>
    <t>CDs</t>
  </si>
  <si>
    <t>PNF_CD</t>
  </si>
  <si>
    <t>freq missed chance</t>
  </si>
  <si>
    <t>ChanceLeft</t>
  </si>
  <si>
    <t>ChanceLSNonTactic</t>
  </si>
  <si>
    <t>1_0</t>
  </si>
  <si>
    <t>Poss%</t>
  </si>
  <si>
    <t>SP</t>
  </si>
  <si>
    <t>conv</t>
  </si>
  <si>
    <t>opp_conv</t>
  </si>
  <si>
    <t>NEventChanceDFK</t>
  </si>
  <si>
    <t>Opp_NEventChanceDFK</t>
  </si>
  <si>
    <t>N1EventChanceDFK</t>
  </si>
  <si>
    <t>Opp_N1EventChanceDFK</t>
  </si>
  <si>
    <t>ChanceMid</t>
  </si>
  <si>
    <t>% match</t>
  </si>
  <si>
    <t>1_1</t>
  </si>
  <si>
    <t>0-4%</t>
  </si>
  <si>
    <t>ChanceRight</t>
  </si>
  <si>
    <t>Freq%</t>
  </si>
  <si>
    <t>11+</t>
  </si>
  <si>
    <t>1_2</t>
  </si>
  <si>
    <t>5-9%</t>
  </si>
  <si>
    <t>ChancePK</t>
  </si>
  <si>
    <t>1_3</t>
  </si>
  <si>
    <t>10-14%</t>
  </si>
  <si>
    <t>S Tactic Skill</t>
  </si>
  <si>
    <t>Avg Press Tactic Skill</t>
  </si>
  <si>
    <t>2_0</t>
  </si>
  <si>
    <t>15-19%</t>
  </si>
  <si>
    <t>Conv LS</t>
  </si>
  <si>
    <t>&lt;10</t>
  </si>
  <si>
    <t>2_1</t>
  </si>
  <si>
    <t>20-24%</t>
  </si>
  <si>
    <t>10-13</t>
  </si>
  <si>
    <t>2_2</t>
  </si>
  <si>
    <t>25-29%</t>
  </si>
  <si>
    <t>14-17</t>
  </si>
  <si>
    <t>2_3</t>
  </si>
  <si>
    <t>30-34%</t>
  </si>
  <si>
    <t>18-19</t>
  </si>
  <si>
    <t>3_0</t>
  </si>
  <si>
    <t>35-39%</t>
  </si>
  <si>
    <t>20-21</t>
  </si>
  <si>
    <t>3_1</t>
  </si>
  <si>
    <t>40-44%</t>
  </si>
  <si>
    <t>22+</t>
  </si>
  <si>
    <t>3_2</t>
  </si>
  <si>
    <t>45-49%</t>
  </si>
  <si>
    <t>30+</t>
  </si>
  <si>
    <t>3_3</t>
  </si>
  <si>
    <t>50-50%</t>
  </si>
  <si>
    <t>51-54%</t>
  </si>
  <si>
    <t>29+</t>
  </si>
  <si>
    <t>55-59%</t>
  </si>
  <si>
    <t>60-64%</t>
  </si>
  <si>
    <t>65-69%</t>
  </si>
  <si>
    <t>28+</t>
  </si>
  <si>
    <t>70-74%</t>
  </si>
  <si>
    <t>75-79%</t>
  </si>
  <si>
    <t>Row Labels</t>
  </si>
  <si>
    <t>80-84%</t>
  </si>
  <si>
    <t>85-89%</t>
  </si>
  <si>
    <t>90-94%</t>
  </si>
  <si>
    <t>95%+</t>
  </si>
  <si>
    <t>non LS</t>
  </si>
  <si>
    <t>&lt;=1</t>
  </si>
  <si>
    <t>12.5+</t>
  </si>
  <si>
    <t>wtd</t>
  </si>
  <si>
    <t>actual</t>
  </si>
  <si>
    <t>normal wtd ls dist</t>
  </si>
  <si>
    <t>ls conv</t>
  </si>
  <si>
    <t>CornerAnyone</t>
  </si>
  <si>
    <t>use isp</t>
  </si>
  <si>
    <t>CornerHead</t>
  </si>
  <si>
    <t>use head conversion rate</t>
  </si>
  <si>
    <t>LS wtd</t>
  </si>
  <si>
    <t>calc remaining gap</t>
  </si>
  <si>
    <t>ExperienceFwd</t>
  </si>
  <si>
    <t>InexpDef</t>
  </si>
  <si>
    <t>QuickPass</t>
  </si>
  <si>
    <t>QuickRush</t>
  </si>
  <si>
    <t>QuickStop</t>
  </si>
  <si>
    <t>TechHead</t>
  </si>
  <si>
    <t>TiredDef</t>
  </si>
  <si>
    <t>UnpredLongPass</t>
  </si>
  <si>
    <t>UnpredMistake</t>
  </si>
  <si>
    <t>UnpredOwnGoal</t>
  </si>
  <si>
    <t>UnpredScoreOwn</t>
  </si>
  <si>
    <t>UnpredSpecial</t>
  </si>
  <si>
    <t>WingAnyone</t>
  </si>
  <si>
    <t>WingHead</t>
  </si>
  <si>
    <t>other conv%</t>
  </si>
  <si>
    <t>all wing events LS</t>
  </si>
  <si>
    <t>total wing</t>
  </si>
  <si>
    <t>total wing conv%</t>
  </si>
  <si>
    <t>wing all</t>
  </si>
  <si>
    <t>head chance</t>
  </si>
  <si>
    <t>head conv%</t>
  </si>
  <si>
    <t>wing head</t>
  </si>
  <si>
    <t>head miss</t>
  </si>
  <si>
    <t>model wing conv%</t>
  </si>
  <si>
    <t>W-A chance</t>
  </si>
  <si>
    <t>w-a conv%</t>
  </si>
  <si>
    <t>wing anyone</t>
  </si>
  <si>
    <t>Conv% PK. ISP Att (rows) vs Opp ISP Def (columns)</t>
  </si>
  <si>
    <t>Conv% DFK</t>
  </si>
  <si>
    <t>PK% = PK/(DFK+PK) events. ISP Att (rows) vs Opp ISP Def (columns)</t>
  </si>
  <si>
    <t>Rating</t>
  </si>
  <si>
    <t>&lt;8</t>
  </si>
  <si>
    <t>Edited 7-18-2022 15:40 by nickarana</t>
  </si>
  <si>
    <t>Edited 7-18-2022 15:45 by nickarana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</si>
</sst>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%"/>
    <numFmt numFmtId="167" formatCode="#,##0.000"/>
    <numFmt numFmtId="168" formatCode="0.0000%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0"/>
      <color rgb="FF000000"/>
      <name val="Roboto"/>
    </font>
    <font>
      <sz val="10"/>
      <color rgb="FF000000"/>
      <name val="Roboto"/>
    </font>
    <font>
      <sz val="11"/>
      <color rgb="FFFF0000"/>
      <name val="Calibri"/>
    </font>
    <font>
      <b/>
      <sz val="7"/>
      <color rgb="FF000000"/>
      <name val="Roboto"/>
    </font>
    <font>
      <sz val="7"/>
      <color rgb="FF000000"/>
      <name val="Roboto"/>
    </font>
    <font>
      <b/>
      <sz val="11"/>
      <color rgb="FF000000"/>
      <name val="Calibri"/>
    </font>
    <font>
      <sz val="10"/>
      <color theme="1"/>
      <name val="Calibri"/>
    </font>
    <font>
      <b/>
      <sz val="11"/>
      <color rgb="FF000000"/>
      <name val="Roboto"/>
    </font>
    <font>
      <sz val="11"/>
      <color theme="1"/>
      <name val="Roboto"/>
    </font>
    <font>
      <i/>
      <sz val="10"/>
      <color rgb="FF707070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rgb="FF6DE7F7"/>
        <bgColor rgb="FF6DE7F7"/>
      </patternFill>
    </fill>
    <fill>
      <patternFill patternType="solid">
        <fgColor rgb="FFEDF1ED"/>
        <bgColor rgb="FFEDF1ED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rgb="FFD9E2F3"/>
        <bgColor rgb="FFD9E2F3"/>
      </patternFill>
    </fill>
    <fill>
      <patternFill patternType="solid">
        <fgColor rgb="FFA5A5A5"/>
        <bgColor rgb="FFA5A5A5"/>
      </patternFill>
    </fill>
    <fill>
      <patternFill patternType="solid">
        <fgColor rgb="FFA8D08D"/>
        <bgColor rgb="FFA8D08D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DCE0D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CE0DC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4" borderId="1" xfId="0" applyFont="1" applyFill="1" applyBorder="1"/>
    <xf numFmtId="4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/>
    <xf numFmtId="4" fontId="2" fillId="3" borderId="3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4" fontId="2" fillId="5" borderId="3" xfId="0" applyNumberFormat="1" applyFont="1" applyFill="1" applyBorder="1" applyAlignment="1">
      <alignment horizontal="center"/>
    </xf>
    <xf numFmtId="4" fontId="3" fillId="5" borderId="4" xfId="0" applyNumberFormat="1" applyFont="1" applyFill="1" applyBorder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right"/>
    </xf>
    <xf numFmtId="4" fontId="3" fillId="4" borderId="1" xfId="0" applyNumberFormat="1" applyFont="1" applyFill="1" applyBorder="1" applyAlignment="1">
      <alignment horizontal="center"/>
    </xf>
    <xf numFmtId="4" fontId="3" fillId="3" borderId="5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right"/>
    </xf>
    <xf numFmtId="4" fontId="3" fillId="3" borderId="1" xfId="0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4" fontId="3" fillId="5" borderId="5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/>
    </xf>
    <xf numFmtId="4" fontId="3" fillId="5" borderId="6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3" fillId="5" borderId="9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4" fontId="3" fillId="0" borderId="0" xfId="0" applyNumberFormat="1" applyFont="1"/>
    <xf numFmtId="0" fontId="5" fillId="6" borderId="10" xfId="0" applyFont="1" applyFill="1" applyBorder="1" applyAlignment="1">
      <alignment horizontal="left" vertical="top" wrapText="1"/>
    </xf>
    <xf numFmtId="0" fontId="3" fillId="0" borderId="11" xfId="0" applyFont="1" applyBorder="1"/>
    <xf numFmtId="0" fontId="3" fillId="2" borderId="11" xfId="0" applyFont="1" applyFill="1" applyBorder="1"/>
    <xf numFmtId="0" fontId="2" fillId="4" borderId="1" xfId="0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7" borderId="14" xfId="0" applyFont="1" applyFill="1" applyBorder="1" applyAlignment="1">
      <alignment horizontal="left" vertical="top" wrapText="1"/>
    </xf>
    <xf numFmtId="0" fontId="3" fillId="4" borderId="11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0" borderId="18" xfId="0" applyFont="1" applyBorder="1"/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3" fillId="4" borderId="1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0" xfId="0" applyFont="1" applyBorder="1"/>
    <xf numFmtId="0" fontId="3" fillId="0" borderId="21" xfId="0" applyFont="1" applyBorder="1"/>
    <xf numFmtId="3" fontId="3" fillId="3" borderId="7" xfId="0" applyNumberFormat="1" applyFont="1" applyFill="1" applyBorder="1" applyAlignment="1">
      <alignment horizontal="center"/>
    </xf>
    <xf numFmtId="3" fontId="3" fillId="5" borderId="9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23" xfId="0" applyFont="1" applyBorder="1"/>
    <xf numFmtId="9" fontId="3" fillId="8" borderId="1" xfId="0" applyNumberFormat="1" applyFont="1" applyFill="1" applyBorder="1" applyAlignment="1">
      <alignment horizontal="center"/>
    </xf>
    <xf numFmtId="9" fontId="3" fillId="8" borderId="24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center"/>
    </xf>
    <xf numFmtId="0" fontId="2" fillId="4" borderId="3" xfId="0" applyFont="1" applyFill="1" applyBorder="1"/>
    <xf numFmtId="4" fontId="2" fillId="5" borderId="4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9" fontId="3" fillId="3" borderId="5" xfId="0" applyNumberFormat="1" applyFont="1" applyFill="1" applyBorder="1" applyAlignment="1">
      <alignment horizontal="center"/>
    </xf>
    <xf numFmtId="9" fontId="3" fillId="5" borderId="5" xfId="0" applyNumberFormat="1" applyFont="1" applyFill="1" applyBorder="1" applyAlignment="1">
      <alignment horizontal="center"/>
    </xf>
    <xf numFmtId="0" fontId="3" fillId="0" borderId="26" xfId="0" applyFont="1" applyBorder="1"/>
    <xf numFmtId="9" fontId="3" fillId="4" borderId="27" xfId="0" applyNumberFormat="1" applyFont="1" applyFill="1" applyBorder="1" applyAlignment="1">
      <alignment horizontal="center"/>
    </xf>
    <xf numFmtId="9" fontId="3" fillId="8" borderId="27" xfId="0" applyNumberFormat="1" applyFont="1" applyFill="1" applyBorder="1" applyAlignment="1">
      <alignment horizontal="center"/>
    </xf>
    <xf numFmtId="9" fontId="3" fillId="8" borderId="28" xfId="0" applyNumberFormat="1" applyFont="1" applyFill="1" applyBorder="1" applyAlignment="1">
      <alignment horizontal="center"/>
    </xf>
    <xf numFmtId="4" fontId="3" fillId="2" borderId="27" xfId="0" applyNumberFormat="1" applyFont="1" applyFill="1" applyBorder="1" applyAlignment="1">
      <alignment horizontal="center"/>
    </xf>
    <xf numFmtId="165" fontId="3" fillId="2" borderId="27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/>
    </xf>
    <xf numFmtId="4" fontId="2" fillId="3" borderId="15" xfId="0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4" fontId="2" fillId="5" borderId="17" xfId="0" applyNumberFormat="1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3" fillId="0" borderId="22" xfId="0" applyFont="1" applyBorder="1" applyAlignment="1">
      <alignment horizontal="right"/>
    </xf>
    <xf numFmtId="0" fontId="2" fillId="0" borderId="20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9" fontId="3" fillId="4" borderId="24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/>
    </xf>
    <xf numFmtId="0" fontId="3" fillId="0" borderId="29" xfId="0" applyFont="1" applyBorder="1"/>
    <xf numFmtId="0" fontId="3" fillId="10" borderId="7" xfId="0" applyFont="1" applyFill="1" applyBorder="1" applyAlignment="1">
      <alignment horizontal="center"/>
    </xf>
    <xf numFmtId="0" fontId="3" fillId="10" borderId="31" xfId="0" applyFont="1" applyFill="1" applyBorder="1" applyAlignment="1">
      <alignment horizontal="center"/>
    </xf>
    <xf numFmtId="0" fontId="3" fillId="4" borderId="25" xfId="0" applyFont="1" applyFill="1" applyBorder="1"/>
    <xf numFmtId="0" fontId="3" fillId="9" borderId="1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2" xfId="0" applyFont="1" applyBorder="1"/>
    <xf numFmtId="0" fontId="3" fillId="10" borderId="33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4" fontId="3" fillId="4" borderId="25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5" borderId="1" xfId="0" applyFont="1" applyFill="1" applyBorder="1"/>
    <xf numFmtId="4" fontId="3" fillId="4" borderId="35" xfId="0" applyNumberFormat="1" applyFont="1" applyFill="1" applyBorder="1" applyAlignment="1">
      <alignment horizontal="center"/>
    </xf>
    <xf numFmtId="4" fontId="3" fillId="4" borderId="11" xfId="0" applyNumberFormat="1" applyFont="1" applyFill="1" applyBorder="1" applyAlignment="1">
      <alignment horizontal="center"/>
    </xf>
    <xf numFmtId="9" fontId="3" fillId="3" borderId="15" xfId="0" applyNumberFormat="1" applyFont="1" applyFill="1" applyBorder="1" applyAlignment="1">
      <alignment horizontal="center"/>
    </xf>
    <xf numFmtId="9" fontId="3" fillId="3" borderId="16" xfId="0" applyNumberFormat="1" applyFont="1" applyFill="1" applyBorder="1" applyAlignment="1">
      <alignment horizontal="center"/>
    </xf>
    <xf numFmtId="4" fontId="3" fillId="3" borderId="16" xfId="0" applyNumberFormat="1" applyFont="1" applyFill="1" applyBorder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9" fontId="3" fillId="5" borderId="15" xfId="0" applyNumberFormat="1" applyFont="1" applyFill="1" applyBorder="1" applyAlignment="1">
      <alignment horizontal="center"/>
    </xf>
    <xf numFmtId="9" fontId="3" fillId="5" borderId="16" xfId="0" applyNumberFormat="1" applyFont="1" applyFill="1" applyBorder="1" applyAlignment="1">
      <alignment horizontal="center"/>
    </xf>
    <xf numFmtId="4" fontId="3" fillId="5" borderId="16" xfId="0" applyNumberFormat="1" applyFont="1" applyFill="1" applyBorder="1" applyAlignment="1">
      <alignment horizontal="center"/>
    </xf>
    <xf numFmtId="4" fontId="3" fillId="5" borderId="17" xfId="0" applyNumberFormat="1" applyFont="1" applyFill="1" applyBorder="1" applyAlignment="1">
      <alignment horizontal="center"/>
    </xf>
    <xf numFmtId="0" fontId="3" fillId="3" borderId="5" xfId="0" applyFont="1" applyFill="1" applyBorder="1"/>
    <xf numFmtId="0" fontId="3" fillId="3" borderId="1" xfId="0" applyFont="1" applyFill="1" applyBorder="1" applyAlignment="1">
      <alignment horizontal="right"/>
    </xf>
    <xf numFmtId="0" fontId="3" fillId="5" borderId="6" xfId="0" applyFont="1" applyFill="1" applyBorder="1"/>
    <xf numFmtId="3" fontId="3" fillId="3" borderId="6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9" fontId="3" fillId="3" borderId="6" xfId="0" applyNumberFormat="1" applyFont="1" applyFill="1" applyBorder="1" applyAlignment="1">
      <alignment horizontal="center"/>
    </xf>
    <xf numFmtId="0" fontId="3" fillId="4" borderId="16" xfId="0" applyFont="1" applyFill="1" applyBorder="1"/>
    <xf numFmtId="0" fontId="3" fillId="3" borderId="16" xfId="0" applyFont="1" applyFill="1" applyBorder="1"/>
    <xf numFmtId="0" fontId="3" fillId="5" borderId="16" xfId="0" applyFont="1" applyFill="1" applyBorder="1"/>
    <xf numFmtId="0" fontId="3" fillId="9" borderId="27" xfId="0" applyFont="1" applyFill="1" applyBorder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5" borderId="5" xfId="0" applyFont="1" applyFill="1" applyBorder="1"/>
    <xf numFmtId="0" fontId="3" fillId="5" borderId="6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" fontId="7" fillId="11" borderId="11" xfId="0" applyNumberFormat="1" applyFont="1" applyFill="1" applyBorder="1" applyAlignment="1">
      <alignment horizontal="center"/>
    </xf>
    <xf numFmtId="4" fontId="3" fillId="11" borderId="11" xfId="0" applyNumberFormat="1" applyFont="1" applyFill="1" applyBorder="1" applyAlignment="1">
      <alignment horizontal="center"/>
    </xf>
    <xf numFmtId="9" fontId="2" fillId="11" borderId="14" xfId="0" applyNumberFormat="1" applyFont="1" applyFill="1" applyBorder="1" applyAlignment="1">
      <alignment horizontal="center"/>
    </xf>
    <xf numFmtId="0" fontId="3" fillId="3" borderId="7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right"/>
    </xf>
    <xf numFmtId="3" fontId="3" fillId="3" borderId="9" xfId="0" applyNumberFormat="1" applyFont="1" applyFill="1" applyBorder="1" applyAlignment="1">
      <alignment horizontal="center"/>
    </xf>
    <xf numFmtId="3" fontId="3" fillId="5" borderId="7" xfId="0" applyNumberFormat="1" applyFont="1" applyFill="1" applyBorder="1" applyAlignment="1">
      <alignment horizontal="center"/>
    </xf>
    <xf numFmtId="0" fontId="3" fillId="5" borderId="8" xfId="0" applyFont="1" applyFill="1" applyBorder="1"/>
    <xf numFmtId="164" fontId="3" fillId="5" borderId="8" xfId="0" applyNumberFormat="1" applyFont="1" applyFill="1" applyBorder="1" applyAlignment="1">
      <alignment horizontal="center"/>
    </xf>
    <xf numFmtId="9" fontId="3" fillId="0" borderId="0" xfId="0" applyNumberFormat="1" applyFont="1"/>
    <xf numFmtId="0" fontId="3" fillId="12" borderId="2" xfId="0" applyFont="1" applyFill="1" applyBorder="1"/>
    <xf numFmtId="0" fontId="3" fillId="12" borderId="3" xfId="0" applyFont="1" applyFill="1" applyBorder="1"/>
    <xf numFmtId="0" fontId="3" fillId="12" borderId="4" xfId="0" applyFont="1" applyFill="1" applyBorder="1"/>
    <xf numFmtId="0" fontId="3" fillId="5" borderId="4" xfId="0" applyFont="1" applyFill="1" applyBorder="1"/>
    <xf numFmtId="0" fontId="3" fillId="0" borderId="0" xfId="0" applyFont="1" applyAlignment="1">
      <alignment wrapText="1"/>
    </xf>
    <xf numFmtId="0" fontId="5" fillId="6" borderId="24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3" fillId="12" borderId="5" xfId="0" applyFont="1" applyFill="1" applyBorder="1"/>
    <xf numFmtId="0" fontId="3" fillId="12" borderId="1" xfId="0" applyFont="1" applyFill="1" applyBorder="1"/>
    <xf numFmtId="0" fontId="3" fillId="12" borderId="6" xfId="0" applyFont="1" applyFill="1" applyBorder="1"/>
    <xf numFmtId="0" fontId="3" fillId="5" borderId="1" xfId="0" applyFont="1" applyFill="1" applyBorder="1" applyAlignment="1">
      <alignment horizontal="right"/>
    </xf>
    <xf numFmtId="0" fontId="8" fillId="6" borderId="36" xfId="0" applyFont="1" applyFill="1" applyBorder="1" applyAlignment="1">
      <alignment horizontal="left" vertical="top" wrapText="1"/>
    </xf>
    <xf numFmtId="164" fontId="3" fillId="4" borderId="1" xfId="0" applyNumberFormat="1" applyFont="1" applyFill="1" applyBorder="1"/>
    <xf numFmtId="0" fontId="9" fillId="7" borderId="14" xfId="0" applyFont="1" applyFill="1" applyBorder="1" applyAlignment="1">
      <alignment horizontal="left" vertical="top" wrapText="1"/>
    </xf>
    <xf numFmtId="9" fontId="9" fillId="7" borderId="14" xfId="0" applyNumberFormat="1" applyFont="1" applyFill="1" applyBorder="1" applyAlignment="1">
      <alignment horizontal="left" vertical="top" wrapText="1"/>
    </xf>
    <xf numFmtId="0" fontId="10" fillId="6" borderId="36" xfId="0" applyFont="1" applyFill="1" applyBorder="1" applyAlignment="1">
      <alignment horizontal="left" vertical="top" wrapText="1"/>
    </xf>
    <xf numFmtId="0" fontId="3" fillId="7" borderId="19" xfId="0" applyFont="1" applyFill="1" applyBorder="1"/>
    <xf numFmtId="0" fontId="3" fillId="7" borderId="37" xfId="0" applyFont="1" applyFill="1" applyBorder="1"/>
    <xf numFmtId="0" fontId="3" fillId="7" borderId="38" xfId="0" applyFont="1" applyFill="1" applyBorder="1"/>
    <xf numFmtId="0" fontId="5" fillId="6" borderId="39" xfId="0" applyFont="1" applyFill="1" applyBorder="1" applyAlignment="1">
      <alignment horizontal="left" vertical="top" wrapText="1"/>
    </xf>
    <xf numFmtId="0" fontId="5" fillId="6" borderId="36" xfId="0" applyFont="1" applyFill="1" applyBorder="1" applyAlignment="1">
      <alignment horizontal="left" vertical="top" wrapText="1"/>
    </xf>
    <xf numFmtId="0" fontId="11" fillId="0" borderId="0" xfId="0" applyFont="1"/>
    <xf numFmtId="0" fontId="3" fillId="0" borderId="14" xfId="0" applyFont="1" applyBorder="1" applyAlignment="1">
      <alignment horizontal="left" vertical="top" wrapText="1"/>
    </xf>
    <xf numFmtId="9" fontId="3" fillId="0" borderId="14" xfId="0" applyNumberFormat="1" applyFont="1" applyBorder="1" applyAlignment="1">
      <alignment horizontal="left" vertical="top" wrapText="1"/>
    </xf>
    <xf numFmtId="9" fontId="6" fillId="7" borderId="14" xfId="0" applyNumberFormat="1" applyFont="1" applyFill="1" applyBorder="1" applyAlignment="1">
      <alignment horizontal="left" vertical="top" wrapText="1"/>
    </xf>
    <xf numFmtId="10" fontId="6" fillId="7" borderId="14" xfId="0" applyNumberFormat="1" applyFont="1" applyFill="1" applyBorder="1" applyAlignment="1">
      <alignment horizontal="left" vertical="top" wrapText="1"/>
    </xf>
    <xf numFmtId="166" fontId="3" fillId="0" borderId="0" xfId="0" applyNumberFormat="1" applyFont="1"/>
    <xf numFmtId="164" fontId="6" fillId="7" borderId="14" xfId="0" applyNumberFormat="1" applyFont="1" applyFill="1" applyBorder="1" applyAlignment="1">
      <alignment horizontal="left" vertical="top" wrapText="1"/>
    </xf>
    <xf numFmtId="164" fontId="6" fillId="7" borderId="1" xfId="0" applyNumberFormat="1" applyFont="1" applyFill="1" applyBorder="1" applyAlignment="1">
      <alignment horizontal="left" vertical="top" wrapText="1"/>
    </xf>
    <xf numFmtId="9" fontId="6" fillId="7" borderId="1" xfId="0" applyNumberFormat="1" applyFont="1" applyFill="1" applyBorder="1" applyAlignment="1">
      <alignment horizontal="left" vertical="top" wrapText="1"/>
    </xf>
    <xf numFmtId="9" fontId="6" fillId="7" borderId="39" xfId="0" applyNumberFormat="1" applyFont="1" applyFill="1" applyBorder="1" applyAlignment="1">
      <alignment horizontal="left" vertical="top" wrapText="1"/>
    </xf>
    <xf numFmtId="167" fontId="3" fillId="0" borderId="11" xfId="0" applyNumberFormat="1" applyFont="1" applyBorder="1"/>
    <xf numFmtId="9" fontId="4" fillId="0" borderId="0" xfId="0" applyNumberFormat="1" applyFont="1"/>
    <xf numFmtId="10" fontId="9" fillId="7" borderId="14" xfId="0" applyNumberFormat="1" applyFont="1" applyFill="1" applyBorder="1" applyAlignment="1">
      <alignment horizontal="left" vertical="top" wrapText="1"/>
    </xf>
    <xf numFmtId="0" fontId="2" fillId="13" borderId="40" xfId="0" applyFont="1" applyFill="1" applyBorder="1"/>
    <xf numFmtId="0" fontId="2" fillId="13" borderId="1" xfId="0" applyFont="1" applyFill="1" applyBorder="1"/>
    <xf numFmtId="9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left"/>
    </xf>
    <xf numFmtId="0" fontId="3" fillId="0" borderId="34" xfId="0" applyFont="1" applyBorder="1"/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9" fontId="3" fillId="12" borderId="1" xfId="0" applyNumberFormat="1" applyFont="1" applyFill="1" applyBorder="1"/>
    <xf numFmtId="164" fontId="9" fillId="7" borderId="14" xfId="0" applyNumberFormat="1" applyFont="1" applyFill="1" applyBorder="1" applyAlignment="1">
      <alignment horizontal="left" vertical="top" wrapText="1"/>
    </xf>
    <xf numFmtId="0" fontId="3" fillId="7" borderId="28" xfId="0" applyFont="1" applyFill="1" applyBorder="1"/>
    <xf numFmtId="0" fontId="9" fillId="7" borderId="14" xfId="0" quotePrefix="1" applyFont="1" applyFill="1" applyBorder="1" applyAlignment="1">
      <alignment horizontal="left" vertical="top" wrapText="1"/>
    </xf>
    <xf numFmtId="16" fontId="9" fillId="7" borderId="14" xfId="0" quotePrefix="1" applyNumberFormat="1" applyFont="1" applyFill="1" applyBorder="1" applyAlignment="1">
      <alignment horizontal="left" vertical="top" wrapText="1"/>
    </xf>
    <xf numFmtId="168" fontId="3" fillId="0" borderId="0" xfId="0" applyNumberFormat="1" applyFont="1"/>
    <xf numFmtId="0" fontId="2" fillId="13" borderId="41" xfId="0" applyFont="1" applyFill="1" applyBorder="1" applyAlignment="1">
      <alignment horizontal="left"/>
    </xf>
    <xf numFmtId="0" fontId="2" fillId="13" borderId="41" xfId="0" applyFont="1" applyFill="1" applyBorder="1"/>
    <xf numFmtId="0" fontId="2" fillId="0" borderId="42" xfId="0" applyFont="1" applyBorder="1" applyAlignment="1">
      <alignment horizontal="left"/>
    </xf>
    <xf numFmtId="0" fontId="3" fillId="12" borderId="1" xfId="0" applyFont="1" applyFill="1" applyBorder="1" applyAlignment="1">
      <alignment horizontal="right"/>
    </xf>
    <xf numFmtId="0" fontId="3" fillId="12" borderId="8" xfId="0" applyFont="1" applyFill="1" applyBorder="1"/>
    <xf numFmtId="0" fontId="3" fillId="12" borderId="8" xfId="0" applyFont="1" applyFill="1" applyBorder="1" applyAlignment="1">
      <alignment horizontal="right"/>
    </xf>
    <xf numFmtId="0" fontId="3" fillId="12" borderId="9" xfId="0" applyFont="1" applyFill="1" applyBorder="1"/>
    <xf numFmtId="0" fontId="3" fillId="5" borderId="7" xfId="0" applyFont="1" applyFill="1" applyBorder="1"/>
    <xf numFmtId="0" fontId="3" fillId="5" borderId="9" xfId="0" applyFont="1" applyFill="1" applyBorder="1"/>
    <xf numFmtId="9" fontId="3" fillId="14" borderId="1" xfId="0" applyNumberFormat="1" applyFont="1" applyFill="1" applyBorder="1"/>
    <xf numFmtId="9" fontId="3" fillId="15" borderId="1" xfId="0" applyNumberFormat="1" applyFont="1" applyFill="1" applyBorder="1"/>
    <xf numFmtId="9" fontId="2" fillId="13" borderId="41" xfId="0" applyNumberFormat="1" applyFont="1" applyFill="1" applyBorder="1"/>
    <xf numFmtId="3" fontId="3" fillId="0" borderId="0" xfId="0" applyNumberFormat="1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2" fillId="6" borderId="10" xfId="0" applyFont="1" applyFill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9" fontId="13" fillId="0" borderId="14" xfId="0" applyNumberFormat="1" applyFont="1" applyBorder="1" applyAlignment="1">
      <alignment horizontal="left" vertical="top" wrapText="1"/>
    </xf>
    <xf numFmtId="0" fontId="14" fillId="0" borderId="0" xfId="0" applyFont="1" applyAlignment="1">
      <alignment vertical="center" wrapText="1"/>
    </xf>
    <xf numFmtId="0" fontId="3" fillId="10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4">
    <dxf>
      <fill>
        <patternFill patternType="solid">
          <fgColor rgb="FFB4C6E7"/>
          <bgColor rgb="FFB4C6E7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H1000"/>
  <sheetViews>
    <sheetView tabSelected="1" topLeftCell="C1" workbookViewId="0">
      <selection activeCell="J4" sqref="J4"/>
    </sheetView>
  </sheetViews>
  <sheetFormatPr defaultColWidth="14.453125" defaultRowHeight="15" customHeight="1" x14ac:dyDescent="0.35"/>
  <cols>
    <col min="1" max="1" width="14.453125" customWidth="1"/>
    <col min="2" max="16" width="8.7265625" customWidth="1"/>
    <col min="17" max="17" width="12" customWidth="1"/>
    <col min="18" max="33" width="10.26953125" customWidth="1"/>
    <col min="34" max="49" width="8.7265625" customWidth="1"/>
    <col min="50" max="50" width="12" customWidth="1"/>
    <col min="51" max="57" width="8.7265625" customWidth="1"/>
    <col min="58" max="58" width="22.08984375" customWidth="1"/>
    <col min="59" max="59" width="15.453125" customWidth="1"/>
    <col min="60" max="60" width="25.08984375" customWidth="1"/>
  </cols>
  <sheetData>
    <row r="1" spans="2:60" ht="14.5" x14ac:dyDescent="0.35">
      <c r="B1" s="1" t="s">
        <v>0</v>
      </c>
      <c r="H1" s="2" t="s">
        <v>1</v>
      </c>
      <c r="I1" s="2"/>
      <c r="J1" s="2"/>
      <c r="K1" s="2"/>
      <c r="P1" s="3" t="s">
        <v>2</v>
      </c>
      <c r="Q1" s="4" t="s">
        <v>3</v>
      </c>
      <c r="R1" s="5" t="s">
        <v>4</v>
      </c>
      <c r="S1" s="6"/>
      <c r="T1" s="6"/>
      <c r="U1" s="6"/>
      <c r="V1" s="7"/>
      <c r="W1" s="8"/>
      <c r="X1" s="9" t="str">
        <f>B15</f>
        <v>Team A</v>
      </c>
      <c r="Y1" s="8"/>
      <c r="Z1" s="8"/>
      <c r="AA1" s="10"/>
      <c r="AB1" s="11"/>
      <c r="AC1" s="12"/>
      <c r="AD1" s="13" t="str">
        <f>B19</f>
        <v>Team B</v>
      </c>
      <c r="AE1" s="12"/>
      <c r="AF1" s="12"/>
      <c r="AG1" s="14"/>
    </row>
    <row r="2" spans="2:60" ht="14.5" x14ac:dyDescent="0.35">
      <c r="B2" s="15" t="s">
        <v>5</v>
      </c>
      <c r="H2" s="16" t="s">
        <v>6</v>
      </c>
      <c r="I2" s="6"/>
      <c r="J2" s="6"/>
      <c r="O2" s="17"/>
      <c r="P2" s="18">
        <f t="shared" ref="P2:P3" si="0">+S37</f>
        <v>0.52698293820367492</v>
      </c>
      <c r="Q2" s="19">
        <f t="shared" ref="Q2:R2" si="1">+T34</f>
        <v>0.21825693597041249</v>
      </c>
      <c r="R2" s="20">
        <f t="shared" si="1"/>
        <v>0.25476012582591268</v>
      </c>
      <c r="S2" s="6"/>
      <c r="T2" s="21" t="s">
        <v>7</v>
      </c>
      <c r="U2" s="22">
        <v>10</v>
      </c>
      <c r="V2" s="23"/>
      <c r="W2" s="24" t="s">
        <v>8</v>
      </c>
      <c r="X2" s="25">
        <f>U3*IF($D$4="Percent",C7,C11)</f>
        <v>9.5237434046098297</v>
      </c>
      <c r="Y2" s="25" t="s">
        <v>9</v>
      </c>
      <c r="Z2" s="26">
        <f>VLOOKUP(IF(OR(C11&gt;=0.5,AA31=0),N13&amp;"D",AA31),lkup_simul!$BH:$BI,2,FALSE)</f>
        <v>1.4E-2</v>
      </c>
      <c r="AA2" s="27"/>
      <c r="AB2" s="28"/>
      <c r="AC2" s="29" t="s">
        <v>10</v>
      </c>
      <c r="AD2" s="30">
        <f>U3*IF($D$4="Percent",C8,C12)</f>
        <v>0.47625659539016985</v>
      </c>
      <c r="AE2" s="30" t="s">
        <v>9</v>
      </c>
      <c r="AF2" s="31">
        <f>VLOOKUP(IF(OR(C12&gt;=0.5,AB31=0),N19&amp;"D",AB31),lkup_simul!$BH:$BI,2,FALSE)</f>
        <v>0.43099999999999999</v>
      </c>
      <c r="AG2" s="32"/>
      <c r="AL2" s="33"/>
      <c r="AM2" s="33"/>
      <c r="AN2" s="15">
        <v>3.5</v>
      </c>
    </row>
    <row r="3" spans="2:60" ht="14.5" x14ac:dyDescent="0.35">
      <c r="B3" s="15" t="s">
        <v>11</v>
      </c>
      <c r="H3" s="34" t="s">
        <v>12</v>
      </c>
      <c r="O3" s="35"/>
      <c r="P3" s="36">
        <f t="shared" si="0"/>
        <v>0.67411271356509228</v>
      </c>
      <c r="Q3" s="37" t="s">
        <v>13</v>
      </c>
      <c r="R3" s="38">
        <f>1-P3</f>
        <v>0.32588728643490772</v>
      </c>
      <c r="S3" s="39"/>
      <c r="T3" s="40" t="s">
        <v>14</v>
      </c>
      <c r="U3" s="22">
        <f>U2-VLOOKUP(AA34,lkup_simul!$G:$H,2,FALSE)-VLOOKUP(AB34,lkup_simul!$G:$H,2,FALSE)</f>
        <v>10</v>
      </c>
      <c r="V3" s="23"/>
      <c r="W3" s="24" t="s">
        <v>15</v>
      </c>
      <c r="X3" s="25">
        <f>X2*(1-VLOOKUP(AB17,lkup_simul!$D$8:$E$11,2,FALSE))</f>
        <v>8.9285094418217152</v>
      </c>
      <c r="Y3" s="25" t="s">
        <v>16</v>
      </c>
      <c r="Z3" s="41">
        <f>0.05*(SUM(AP11:AP12)-SUM(AT11:AT12))</f>
        <v>0</v>
      </c>
      <c r="AA3" s="27"/>
      <c r="AB3" s="28"/>
      <c r="AC3" s="29" t="s">
        <v>17</v>
      </c>
      <c r="AD3" s="30">
        <f>AD2*(1-VLOOKUP(AA17,lkup_simul!$D$8:$E$11,2,FALSE))</f>
        <v>0.47625659539016985</v>
      </c>
      <c r="AE3" s="30" t="s">
        <v>16</v>
      </c>
      <c r="AF3" s="42">
        <f>0.05*(SUM(AO11:AO12)-SUM(AS11:AS12))</f>
        <v>2.5405000000000002E-3</v>
      </c>
      <c r="AG3" s="32"/>
      <c r="AN3" s="15" t="s">
        <v>18</v>
      </c>
      <c r="AO3" s="43">
        <f>+VLOOKUP(AA33,lkup_simul!$AA:$AI,8,TRUE)*VLOOKUP(AB33,lkup_simul!$AA:$AI,9,TRUE)</f>
        <v>1</v>
      </c>
      <c r="AP3" s="43">
        <f>+VLOOKUP(AA33,lkup_simul!$AA:$AI,9,TRUE)*VLOOKUP(AB33,lkup_simul!$AA:$AI,8,TRUE)</f>
        <v>1</v>
      </c>
      <c r="BF3" s="44" t="s">
        <v>19</v>
      </c>
      <c r="BG3" s="44" t="s">
        <v>20</v>
      </c>
      <c r="BH3" s="44" t="s">
        <v>21</v>
      </c>
    </row>
    <row r="4" spans="2:60" ht="14.5" x14ac:dyDescent="0.35">
      <c r="B4" s="34" t="s">
        <v>22</v>
      </c>
      <c r="D4" s="45" t="s">
        <v>23</v>
      </c>
      <c r="H4" s="34" t="s">
        <v>24</v>
      </c>
      <c r="J4" s="46" t="s">
        <v>25</v>
      </c>
      <c r="O4" s="35"/>
      <c r="P4" s="23">
        <f>P15</f>
        <v>1.9746939666173859</v>
      </c>
      <c r="Q4" s="47" t="s">
        <v>26</v>
      </c>
      <c r="R4" s="32">
        <f>R15</f>
        <v>1.3189378355143462</v>
      </c>
      <c r="S4" s="19"/>
      <c r="T4" s="6"/>
      <c r="U4" s="6"/>
      <c r="V4" s="48"/>
      <c r="W4" s="49" t="s">
        <v>27</v>
      </c>
      <c r="X4" s="26">
        <f>VLOOKUP(AA32,lkup_simul!$FP:$FQ,2,TRUE)*VLOOKUP(AB34,lkup_simul!$FS:$FT,2,TRUE)</f>
        <v>0</v>
      </c>
      <c r="Y4" s="49" t="s">
        <v>28</v>
      </c>
      <c r="Z4" s="25">
        <f>AB16*Z2+Z3</f>
        <v>4.4392956699611458E-3</v>
      </c>
      <c r="AA4" s="50"/>
      <c r="AB4" s="51"/>
      <c r="AC4" s="52" t="s">
        <v>27</v>
      </c>
      <c r="AD4" s="31">
        <f>VLOOKUP(AB32,lkup_simul!$FP:$FQ,2,TRUE)*VLOOKUP(AA34,lkup_simul!$FS:$FT,2,TRUE)</f>
        <v>0</v>
      </c>
      <c r="AE4" s="52" t="s">
        <v>28</v>
      </c>
      <c r="AF4" s="30">
        <f>AA16*AF2</f>
        <v>3.1004930009846916</v>
      </c>
      <c r="AG4" s="53"/>
      <c r="AI4" s="45" t="s">
        <v>29</v>
      </c>
      <c r="AJ4" s="45" t="s">
        <v>30</v>
      </c>
      <c r="AK4" s="54" t="s">
        <v>31</v>
      </c>
      <c r="AL4" s="54" t="s">
        <v>32</v>
      </c>
      <c r="AM4" s="54" t="s">
        <v>33</v>
      </c>
      <c r="AN4" s="54" t="s">
        <v>34</v>
      </c>
      <c r="AO4" s="54" t="s">
        <v>35</v>
      </c>
      <c r="AP4" s="54" t="s">
        <v>36</v>
      </c>
      <c r="AQ4" s="54" t="s">
        <v>37</v>
      </c>
      <c r="AR4" s="54" t="s">
        <v>38</v>
      </c>
      <c r="AS4" s="54" t="s">
        <v>39</v>
      </c>
      <c r="AT4" s="55" t="s">
        <v>40</v>
      </c>
      <c r="AU4" s="17"/>
      <c r="AV4" s="17" t="s">
        <v>41</v>
      </c>
      <c r="AW4" s="17" t="s">
        <v>42</v>
      </c>
      <c r="BF4" s="56" t="s">
        <v>43</v>
      </c>
      <c r="BG4" s="56" t="s">
        <v>44</v>
      </c>
      <c r="BH4" s="56" t="s">
        <v>45</v>
      </c>
    </row>
    <row r="5" spans="2:60" ht="14.5" x14ac:dyDescent="0.35">
      <c r="C5" s="34"/>
      <c r="D5" s="34"/>
      <c r="E5" s="34"/>
      <c r="H5" s="34"/>
      <c r="O5" s="35"/>
      <c r="P5" s="23">
        <f>+P2*3+Q2*1</f>
        <v>1.7992057505814372</v>
      </c>
      <c r="Q5" s="47" t="s">
        <v>46</v>
      </c>
      <c r="R5" s="32">
        <f>+R2*3+Q2</f>
        <v>0.98253731344815054</v>
      </c>
      <c r="S5" s="19"/>
      <c r="T5" s="57"/>
      <c r="U5" s="57"/>
      <c r="V5" s="58" t="s">
        <v>47</v>
      </c>
      <c r="W5" s="59" t="s">
        <v>48</v>
      </c>
      <c r="X5" s="59" t="s">
        <v>48</v>
      </c>
      <c r="Y5" s="59" t="s">
        <v>48</v>
      </c>
      <c r="Z5" s="59" t="s">
        <v>49</v>
      </c>
      <c r="AA5" s="60" t="s">
        <v>49</v>
      </c>
      <c r="AB5" s="61"/>
      <c r="AC5" s="62" t="s">
        <v>48</v>
      </c>
      <c r="AD5" s="62" t="s">
        <v>48</v>
      </c>
      <c r="AE5" s="62" t="s">
        <v>48</v>
      </c>
      <c r="AF5" s="62" t="s">
        <v>49</v>
      </c>
      <c r="AG5" s="63" t="s">
        <v>49</v>
      </c>
      <c r="AI5" s="64" t="s">
        <v>50</v>
      </c>
      <c r="AJ5" s="64" t="s">
        <v>51</v>
      </c>
      <c r="AK5" s="19">
        <v>9.9000000000000005E-2</v>
      </c>
      <c r="AL5" s="65">
        <f t="shared" ref="AL5:AL6" si="2">COUNTIF($I$11:$M$12,"Q")</f>
        <v>2</v>
      </c>
      <c r="AM5" s="66">
        <f t="shared" ref="AM5:AM6" si="3">COUNTIF($I$17:$M$18,"Q")</f>
        <v>2</v>
      </c>
      <c r="AN5" s="67">
        <f t="shared" ref="AN5:AN6" si="4">+IFERROR((AL5^$AN$2)/(AL5^$AN$2+AM5^$AN$2),0)</f>
        <v>0.5</v>
      </c>
      <c r="AO5" s="25">
        <f>+AK5*VLOOKUP(MAX(AL5,AM5),lkup_simul!$DP:$DT,4,FALSE)*AN5*AO$3</f>
        <v>9.4049999999999995E-2</v>
      </c>
      <c r="AP5" s="30">
        <f>+AK5*VLOOKUP(MAX(AL5,AM5),lkup_simul!$DP:$DT,4,FALSE)*(1-AN5)*AP$3</f>
        <v>9.4049999999999995E-2</v>
      </c>
      <c r="AQ5" s="26">
        <f>HLOOKUP($K$8,conv_Kstars!$CB$6:$CY$27,$AW5,FALSE)*AO33</f>
        <v>0.20125000000000001</v>
      </c>
      <c r="AR5" s="31">
        <f>HLOOKUP($K$7,conv_Kstars!$CB$6:$CY$27,$AW5,FALSE)*AO36</f>
        <v>0.23</v>
      </c>
      <c r="AS5" s="25">
        <f t="shared" ref="AS5:AT5" si="5">+IFERROR(AO5*AQ5,0)</f>
        <v>1.8927562500000002E-2</v>
      </c>
      <c r="AT5" s="32">
        <f t="shared" si="5"/>
        <v>2.1631500000000001E-2</v>
      </c>
      <c r="AU5" s="35"/>
      <c r="AV5" s="15" t="s">
        <v>52</v>
      </c>
      <c r="AW5" s="15">
        <v>7</v>
      </c>
      <c r="BD5" s="68"/>
      <c r="BF5" s="56" t="s">
        <v>53</v>
      </c>
      <c r="BG5" s="56" t="s">
        <v>54</v>
      </c>
      <c r="BH5" s="56" t="s">
        <v>55</v>
      </c>
    </row>
    <row r="6" spans="2:60" ht="14.5" x14ac:dyDescent="0.35">
      <c r="B6" s="69" t="s">
        <v>56</v>
      </c>
      <c r="C6" s="70" t="s">
        <v>57</v>
      </c>
      <c r="D6" s="70" t="s">
        <v>58</v>
      </c>
      <c r="E6" s="70" t="s">
        <v>59</v>
      </c>
      <c r="F6" s="71" t="s">
        <v>60</v>
      </c>
      <c r="H6" s="72"/>
      <c r="I6" s="73" t="s">
        <v>61</v>
      </c>
      <c r="J6" s="73" t="s">
        <v>62</v>
      </c>
      <c r="K6" s="73" t="s">
        <v>63</v>
      </c>
      <c r="L6" s="73" t="s">
        <v>64</v>
      </c>
      <c r="M6" s="74" t="s">
        <v>65</v>
      </c>
      <c r="O6" s="35"/>
      <c r="P6" s="75">
        <f>IF(D4="Ratings",SUM(W25:Y25,W27:Y27,X26*3),"")</f>
        <v>481</v>
      </c>
      <c r="Q6" s="37" t="str">
        <f>IF(D4="Ratings","Hat","")</f>
        <v>Hat</v>
      </c>
      <c r="R6" s="76">
        <f>IF(D4="Ratings",SUM(AC25:AE25,AC27:AE27,AD26*3),"")</f>
        <v>403</v>
      </c>
      <c r="S6" s="22"/>
      <c r="T6" s="77" t="s">
        <v>66</v>
      </c>
      <c r="U6" s="77" t="s">
        <v>67</v>
      </c>
      <c r="V6" s="58" t="s">
        <v>68</v>
      </c>
      <c r="W6" s="59" t="s">
        <v>69</v>
      </c>
      <c r="X6" s="59" t="s">
        <v>70</v>
      </c>
      <c r="Y6" s="59" t="s">
        <v>71</v>
      </c>
      <c r="Z6" s="59" t="s">
        <v>70</v>
      </c>
      <c r="AA6" s="60" t="s">
        <v>71</v>
      </c>
      <c r="AB6" s="61" t="s">
        <v>68</v>
      </c>
      <c r="AC6" s="62" t="s">
        <v>69</v>
      </c>
      <c r="AD6" s="62" t="s">
        <v>70</v>
      </c>
      <c r="AE6" s="62" t="s">
        <v>71</v>
      </c>
      <c r="AF6" s="62" t="s">
        <v>70</v>
      </c>
      <c r="AG6" s="63" t="s">
        <v>71</v>
      </c>
      <c r="AI6" s="64" t="s">
        <v>50</v>
      </c>
      <c r="AJ6" s="64" t="s">
        <v>72</v>
      </c>
      <c r="AK6" s="19">
        <v>7.9000000000000001E-2</v>
      </c>
      <c r="AL6" s="65">
        <f t="shared" si="2"/>
        <v>2</v>
      </c>
      <c r="AM6" s="66">
        <f t="shared" si="3"/>
        <v>2</v>
      </c>
      <c r="AN6" s="67">
        <f t="shared" si="4"/>
        <v>0.5</v>
      </c>
      <c r="AO6" s="25">
        <f>+AK6*VLOOKUP(MAX(AL6,AM6),lkup_simul!$DP:$DT,4,FALSE)*AN6*AO$3</f>
        <v>7.5049999999999992E-2</v>
      </c>
      <c r="AP6" s="30">
        <f>+AK6*VLOOKUP(MAX(AL6,AM6),lkup_simul!$DP:$DT,4,FALSE)*(1-AN6)*AP$3</f>
        <v>7.5049999999999992E-2</v>
      </c>
      <c r="AQ6" s="26">
        <f>HLOOKUP($K$8,conv_Kstars!$CB$6:$CY$27,$AW6,FALSE)*AO33</f>
        <v>0.29268540669856458</v>
      </c>
      <c r="AR6" s="31">
        <f>HLOOKUP($K$7,conv_Kstars!$CB$6:$CY$27,$AW6,FALSE)*AO36</f>
        <v>0.33449760765550235</v>
      </c>
      <c r="AS6" s="25">
        <f t="shared" ref="AS6:AT6" si="6">+IFERROR(AO6*AQ6,0)</f>
        <v>2.1966039772727271E-2</v>
      </c>
      <c r="AT6" s="32">
        <f t="shared" si="6"/>
        <v>2.5104045454545448E-2</v>
      </c>
      <c r="AU6" s="35"/>
      <c r="AV6" s="15" t="s">
        <v>52</v>
      </c>
      <c r="AW6" s="15">
        <v>6</v>
      </c>
      <c r="BF6" s="56" t="s">
        <v>73</v>
      </c>
      <c r="BG6" s="56" t="s">
        <v>45</v>
      </c>
      <c r="BH6" s="56" t="s">
        <v>74</v>
      </c>
    </row>
    <row r="7" spans="2:60" ht="14.5" x14ac:dyDescent="0.35">
      <c r="B7" s="78" t="s">
        <v>75</v>
      </c>
      <c r="C7" s="79">
        <v>0.66</v>
      </c>
      <c r="D7" s="79">
        <v>0.1</v>
      </c>
      <c r="E7" s="79">
        <v>0.06</v>
      </c>
      <c r="F7" s="80">
        <v>0.11</v>
      </c>
      <c r="H7" s="78" t="s">
        <v>75</v>
      </c>
      <c r="I7" s="81">
        <v>13</v>
      </c>
      <c r="J7" s="81">
        <v>11</v>
      </c>
      <c r="K7" s="82">
        <v>12.5</v>
      </c>
      <c r="L7" s="83">
        <v>8</v>
      </c>
      <c r="M7" s="84" t="s">
        <v>76</v>
      </c>
      <c r="O7" s="68"/>
      <c r="P7" s="85" t="str">
        <f>B15</f>
        <v>Team A</v>
      </c>
      <c r="Q7" s="86"/>
      <c r="R7" s="87" t="str">
        <f>B19</f>
        <v>Team B</v>
      </c>
      <c r="S7" s="22"/>
      <c r="T7" s="88">
        <v>0.25900000000000001</v>
      </c>
      <c r="U7" s="89" t="s">
        <v>58</v>
      </c>
      <c r="V7" s="90">
        <f>IF($D$4="Percent",D7,D11)</f>
        <v>0.1821953009457605</v>
      </c>
      <c r="W7" s="41">
        <f>(1-W13)*(T7*(1-AA20)+AA21/2*T8)</f>
        <v>0.25744600000000001</v>
      </c>
      <c r="X7" s="25">
        <f t="shared" ref="X7:X12" si="7">X$3*W7</f>
        <v>2.2986090417592333</v>
      </c>
      <c r="Y7" s="25">
        <f t="shared" ref="Y7:Y13" si="8">X7*V7</f>
        <v>0.41879576611996966</v>
      </c>
      <c r="Z7" s="25">
        <f t="shared" ref="Z7:Z13" si="9">Z$4*T7</f>
        <v>1.1497775785199369E-3</v>
      </c>
      <c r="AA7" s="27">
        <f t="shared" ref="AA7:AA14" si="10">Z7*V7</f>
        <v>2.0948407193912768E-4</v>
      </c>
      <c r="AB7" s="91">
        <f>IF($D$4="Percent",D8,D12)</f>
        <v>0.24080330038528924</v>
      </c>
      <c r="AC7" s="42">
        <f>(1-AC13)*(T7*(1-AB20)+AB21/2*T8)</f>
        <v>0.25744600000000001</v>
      </c>
      <c r="AD7" s="30">
        <f t="shared" ref="AD7:AD12" si="11">AD$3*AC7</f>
        <v>0.12261035545681767</v>
      </c>
      <c r="AE7" s="30">
        <f t="shared" ref="AE7:AE13" si="12">AD7*AB7</f>
        <v>2.9524978255415155E-2</v>
      </c>
      <c r="AF7" s="30">
        <f t="shared" ref="AF7:AF13" si="13">$AF$4*T7</f>
        <v>0.80302768725503515</v>
      </c>
      <c r="AG7" s="32">
        <f t="shared" ref="AG7:AG14" si="14">AF7*AB7</f>
        <v>0.19337171739177833</v>
      </c>
      <c r="AI7" s="64" t="s">
        <v>77</v>
      </c>
      <c r="AJ7" s="64" t="s">
        <v>78</v>
      </c>
      <c r="AK7" s="19">
        <v>2.8500000000000001E-2</v>
      </c>
      <c r="AL7" s="65">
        <f>COUNTIF($I$11:$M$13,"H")</f>
        <v>2</v>
      </c>
      <c r="AM7" s="66">
        <f>COUNTIF($I$17:$M$20,"H")+COUNTIF($I$17:$M$20,"H+SP")</f>
        <v>4</v>
      </c>
      <c r="AN7" s="67">
        <f>AN15</f>
        <v>0.73076923076923073</v>
      </c>
      <c r="AO7" s="25">
        <f>+AK7*VLOOKUP(AL7,lkup_simul!$DP:$DT,5,FALSE)*AN7/0.5*AO$3</f>
        <v>7.497692307692308E-2</v>
      </c>
      <c r="AP7" s="30"/>
      <c r="AQ7" s="26">
        <f>VLOOKUP((J7-I8)*4,lkup_simul!$DH:$DI,2,TRUE)*VLOOKUP(AL7-AM7,lkup_simul!$DA:$DB,2,TRUE)</f>
        <v>0.10769587500000001</v>
      </c>
      <c r="AR7" s="31"/>
      <c r="AS7" s="25">
        <f>+IFERROR(AO7*AQ7,0)</f>
        <v>8.0747053355769236E-3</v>
      </c>
      <c r="AT7" s="32"/>
      <c r="AU7" s="35"/>
      <c r="AV7" s="15" t="s">
        <v>79</v>
      </c>
      <c r="BF7" s="56" t="s">
        <v>80</v>
      </c>
      <c r="BG7" s="56" t="s">
        <v>55</v>
      </c>
      <c r="BH7" s="56" t="s">
        <v>81</v>
      </c>
    </row>
    <row r="8" spans="2:60" ht="14.5" x14ac:dyDescent="0.35">
      <c r="B8" s="92" t="s">
        <v>82</v>
      </c>
      <c r="C8" s="93">
        <f>1-C7</f>
        <v>0.33999999999999997</v>
      </c>
      <c r="D8" s="94">
        <v>0.01</v>
      </c>
      <c r="E8" s="94">
        <v>7.0000000000000007E-2</v>
      </c>
      <c r="F8" s="95">
        <v>0.04</v>
      </c>
      <c r="H8" s="92" t="s">
        <v>82</v>
      </c>
      <c r="I8" s="96">
        <v>17.75</v>
      </c>
      <c r="J8" s="96">
        <v>16</v>
      </c>
      <c r="K8" s="97">
        <v>12.5</v>
      </c>
      <c r="L8" s="98">
        <v>25</v>
      </c>
      <c r="M8" s="99" t="s">
        <v>83</v>
      </c>
      <c r="O8" s="68"/>
      <c r="P8" s="100">
        <f>SUM(P9:P14)</f>
        <v>9.6238123304724432</v>
      </c>
      <c r="Q8" s="101" t="s">
        <v>84</v>
      </c>
      <c r="R8" s="102">
        <f>SUM(R9:R14)</f>
        <v>4.0605039683085833</v>
      </c>
      <c r="T8" s="88">
        <v>0.35699999999999998</v>
      </c>
      <c r="U8" s="89" t="s">
        <v>59</v>
      </c>
      <c r="V8" s="90">
        <f>IF($D$4="Percent",E7,E11)</f>
        <v>0.23802107435920447</v>
      </c>
      <c r="W8" s="41">
        <f>(1-W13)*(T8*(1-AA21)+AA20*T7*2)</f>
        <v>0.35485800000000001</v>
      </c>
      <c r="X8" s="25">
        <f t="shared" si="7"/>
        <v>3.1683530035059704</v>
      </c>
      <c r="Y8" s="25">
        <f t="shared" si="8"/>
        <v>0.75413478584370341</v>
      </c>
      <c r="Z8" s="25">
        <f t="shared" si="9"/>
        <v>1.584828554176129E-3</v>
      </c>
      <c r="AA8" s="27">
        <f t="shared" si="10"/>
        <v>3.7722259514014688E-4</v>
      </c>
      <c r="AB8" s="91">
        <f>IF($D$4="Percent",E8,E12)</f>
        <v>0.60964557881958825</v>
      </c>
      <c r="AC8" s="42">
        <f>(1-AC13)*(T8*(1-AB21)+AB20*T7*2)</f>
        <v>0.35485800000000001</v>
      </c>
      <c r="AD8" s="30">
        <f t="shared" si="11"/>
        <v>0.16900346292696489</v>
      </c>
      <c r="AE8" s="30">
        <f t="shared" si="12"/>
        <v>0.10303221397862433</v>
      </c>
      <c r="AF8" s="30">
        <f t="shared" si="13"/>
        <v>1.1068760013515349</v>
      </c>
      <c r="AG8" s="32">
        <f t="shared" si="14"/>
        <v>0.67480206052546776</v>
      </c>
      <c r="AI8" s="64" t="s">
        <v>77</v>
      </c>
      <c r="AJ8" s="64" t="s">
        <v>85</v>
      </c>
      <c r="AK8" s="19">
        <f>AK7</f>
        <v>2.8500000000000001E-2</v>
      </c>
      <c r="AL8" s="65">
        <f>COUNTIF($I$11:$M$14,"H")+COUNTIF($I$11:$M$14,"H+SP")</f>
        <v>2</v>
      </c>
      <c r="AM8" s="66">
        <f>COUNTIF($I$17:$M$19,"H")</f>
        <v>4</v>
      </c>
      <c r="AN8" s="67"/>
      <c r="AO8" s="25"/>
      <c r="AP8" s="30">
        <f>+AK8*VLOOKUP(AM8,lkup_simul!$DP:$DT,5,FALSE)*(1-AN7)/0.5*AP$3</f>
        <v>5.2790769230769238E-2</v>
      </c>
      <c r="AQ8" s="26"/>
      <c r="AR8" s="31">
        <f>VLOOKUP((J8-I7)*4,lkup_simul!$DH:$DI,2,TRUE)*VLOOKUP(AM8-AL8,lkup_simul!$DA:$DB,2,TRUE)</f>
        <v>0.76407312500000002</v>
      </c>
      <c r="AS8" s="25"/>
      <c r="AT8" s="32">
        <f>+IFERROR(AP8*AR8,0)</f>
        <v>4.0336008017307697E-2</v>
      </c>
      <c r="AU8" s="35"/>
      <c r="AV8" s="15" t="s">
        <v>79</v>
      </c>
      <c r="BF8" s="56" t="s">
        <v>86</v>
      </c>
      <c r="BG8" s="56" t="s">
        <v>87</v>
      </c>
      <c r="BH8" s="56" t="s">
        <v>88</v>
      </c>
    </row>
    <row r="9" spans="2:60" ht="14.5" x14ac:dyDescent="0.35">
      <c r="O9" s="35"/>
      <c r="P9" s="23">
        <f>SUM(X7:X9)</f>
        <v>7.765571087024437</v>
      </c>
      <c r="Q9" s="47" t="s">
        <v>89</v>
      </c>
      <c r="R9" s="32">
        <f>SUM(AD7:AD9)</f>
        <v>0.41422417384060017</v>
      </c>
      <c r="T9" s="88">
        <v>0.25900000000000001</v>
      </c>
      <c r="U9" s="89" t="s">
        <v>60</v>
      </c>
      <c r="V9" s="90">
        <f>IF($D$4="Percent",F7,F11)</f>
        <v>0.1821953009457605</v>
      </c>
      <c r="W9" s="41">
        <f>W7</f>
        <v>0.25744600000000001</v>
      </c>
      <c r="X9" s="25">
        <f t="shared" si="7"/>
        <v>2.2986090417592333</v>
      </c>
      <c r="Y9" s="25">
        <f t="shared" si="8"/>
        <v>0.41879576611996966</v>
      </c>
      <c r="Z9" s="25">
        <f t="shared" si="9"/>
        <v>1.1497775785199369E-3</v>
      </c>
      <c r="AA9" s="27">
        <f t="shared" si="10"/>
        <v>2.0948407193912768E-4</v>
      </c>
      <c r="AB9" s="91">
        <f>IF($D$4="Percent",F8,F12)</f>
        <v>7.6966536567878857E-4</v>
      </c>
      <c r="AC9" s="42">
        <f>AC7</f>
        <v>0.25744600000000001</v>
      </c>
      <c r="AD9" s="30">
        <f t="shared" si="11"/>
        <v>0.12261035545681767</v>
      </c>
      <c r="AE9" s="30">
        <f t="shared" si="12"/>
        <v>9.4368944068677822E-5</v>
      </c>
      <c r="AF9" s="30">
        <f t="shared" si="13"/>
        <v>0.80302768725503515</v>
      </c>
      <c r="AG9" s="32">
        <f t="shared" si="14"/>
        <v>6.1806259856133847E-4</v>
      </c>
      <c r="AI9" s="64" t="s">
        <v>50</v>
      </c>
      <c r="AJ9" s="64" t="s">
        <v>90</v>
      </c>
      <c r="AK9" s="19">
        <f>0.019/0.6</f>
        <v>3.1666666666666669E-2</v>
      </c>
      <c r="AL9" s="65">
        <f>COUNTIF($I$11:$M$12,"H")+COUNTIF($I$11:$M$12,"H+SP")</f>
        <v>2</v>
      </c>
      <c r="AM9" s="66">
        <f>COUNTIF($I$17:$M$18,"H")+COUNTIF($I$17:$M$18,"H+SP")</f>
        <v>2</v>
      </c>
      <c r="AN9" s="67">
        <f t="shared" ref="AN9:AN12" si="15">+IFERROR((AL9^$AN$2)/(AL9^$AN$2+AM9^$AN$2),0)</f>
        <v>0.5</v>
      </c>
      <c r="AO9" s="25">
        <f>+AK9*VLOOKUP(MAX(AL9,AM9),lkup_simul!$DP:$DT,4,FALSE)*AN9*AO$3</f>
        <v>3.0083333333333333E-2</v>
      </c>
      <c r="AP9" s="30">
        <f>+AK9*VLOOKUP(MAX(AL9,AM9),lkup_simul!$DP:$DT,4,FALSE)*(1-AN9)*AP$3</f>
        <v>3.0083333333333333E-2</v>
      </c>
      <c r="AQ9" s="26">
        <f>HLOOKUP($K$8,conv_Kstars!$CB$6:$CY$27,$AW9,FALSE)</f>
        <v>0.37835051546391751</v>
      </c>
      <c r="AR9" s="31">
        <f>HLOOKUP($K$7,conv_Kstars!$CB$6:$CY$27,$AW9,FALSE)</f>
        <v>0.37835051546391751</v>
      </c>
      <c r="AS9" s="25">
        <f t="shared" ref="AS9:AT9" si="16">+IFERROR(AO9*AQ9,0)</f>
        <v>1.1382044673539518E-2</v>
      </c>
      <c r="AT9" s="32">
        <f t="shared" si="16"/>
        <v>1.1382044673539518E-2</v>
      </c>
      <c r="AU9" s="35"/>
      <c r="AV9" s="15" t="s">
        <v>79</v>
      </c>
      <c r="AW9" s="15">
        <v>17</v>
      </c>
    </row>
    <row r="10" spans="2:60" ht="14.5" x14ac:dyDescent="0.35">
      <c r="B10" s="103" t="s">
        <v>23</v>
      </c>
      <c r="C10" s="70" t="s">
        <v>57</v>
      </c>
      <c r="D10" s="70" t="s">
        <v>58</v>
      </c>
      <c r="E10" s="70" t="s">
        <v>59</v>
      </c>
      <c r="F10" s="71" t="s">
        <v>60</v>
      </c>
      <c r="H10" s="104"/>
      <c r="I10" s="73"/>
      <c r="J10" s="73"/>
      <c r="K10" s="105" t="s">
        <v>91</v>
      </c>
      <c r="L10" s="73"/>
      <c r="M10" s="74"/>
      <c r="O10" s="106"/>
      <c r="P10" s="23">
        <f>SUM(X10:X12)</f>
        <v>1.109367298146348</v>
      </c>
      <c r="Q10" s="107" t="s">
        <v>92</v>
      </c>
      <c r="R10" s="32">
        <f>SUM(AD10:AD12)</f>
        <v>5.9532074423771231E-2</v>
      </c>
      <c r="T10" s="88">
        <v>8.4000000000000005E-2</v>
      </c>
      <c r="U10" s="89" t="s">
        <v>93</v>
      </c>
      <c r="V10" s="90">
        <f>VLOOKUP(J$7,dfk_pk!$A$8:$AS$19,HLOOKUP(I$8,dfk_pk!$D$4:$O$5,2,TRUE)+15,TRUE)</f>
        <v>0.1</v>
      </c>
      <c r="W10" s="41">
        <f>(1-W13)*T10*(1-AA22)</f>
        <v>6.0117119999999996E-2</v>
      </c>
      <c r="X10" s="25">
        <f t="shared" si="7"/>
        <v>0.536756273535129</v>
      </c>
      <c r="Y10" s="25">
        <f t="shared" si="8"/>
        <v>5.3675627353512903E-2</v>
      </c>
      <c r="Z10" s="25">
        <f t="shared" si="9"/>
        <v>3.7290083627673629E-4</v>
      </c>
      <c r="AA10" s="27">
        <f t="shared" si="10"/>
        <v>3.7290083627673631E-5</v>
      </c>
      <c r="AB10" s="91">
        <f>VLOOKUP(J$8,dfk_pk!$A$8:$AS$19,HLOOKUP(I$7,dfk_pk!$D$4:$O$5,2,TRUE)+15,TRUE)</f>
        <v>0.15</v>
      </c>
      <c r="AC10" s="42">
        <f>T10*(1-AB22)</f>
        <v>5.7959999999999998E-2</v>
      </c>
      <c r="AD10" s="30">
        <f t="shared" si="11"/>
        <v>2.7603832268814243E-2</v>
      </c>
      <c r="AE10" s="30">
        <f t="shared" si="12"/>
        <v>4.1405748403221367E-3</v>
      </c>
      <c r="AF10" s="30">
        <f t="shared" si="13"/>
        <v>0.2604414120827141</v>
      </c>
      <c r="AG10" s="32">
        <f t="shared" si="14"/>
        <v>3.906621181240711E-2</v>
      </c>
      <c r="AI10" s="64" t="s">
        <v>94</v>
      </c>
      <c r="AJ10" s="64" t="s">
        <v>95</v>
      </c>
      <c r="AK10" s="19">
        <v>7.3999999999999996E-2</v>
      </c>
      <c r="AL10" s="65">
        <f>COUNTIF($I$13:$M$14,"U")</f>
        <v>0</v>
      </c>
      <c r="AM10" s="66">
        <f>COUNTIF($I$19:$M$20,"U")</f>
        <v>0</v>
      </c>
      <c r="AN10" s="67">
        <f t="shared" si="15"/>
        <v>0</v>
      </c>
      <c r="AO10" s="25">
        <f>+AK10*VLOOKUP(MAX(AL10,AM10),lkup_simul!$DP:$DT,4,FALSE)*AN10*AO$3</f>
        <v>0</v>
      </c>
      <c r="AP10" s="30">
        <f>+AK10*VLOOKUP(MAX(AL10,AM10),lkup_simul!$DP:$DT,4,FALSE)*(1-AN10)*AP$3</f>
        <v>0</v>
      </c>
      <c r="AQ10" s="26">
        <f>HLOOKUP($K$8,conv_Kstars!$CB$6:$CY$27,$AW10,FALSE)</f>
        <v>0.26</v>
      </c>
      <c r="AR10" s="31">
        <f>HLOOKUP($K$7,conv_Kstars!$CB$6:$CY$27,$AW10,FALSE)</f>
        <v>0.26</v>
      </c>
      <c r="AS10" s="25">
        <f t="shared" ref="AS10:AT10" si="17">+IFERROR(AO10*AQ10,0)</f>
        <v>0</v>
      </c>
      <c r="AT10" s="32">
        <f t="shared" si="17"/>
        <v>0</v>
      </c>
      <c r="AU10" s="35"/>
      <c r="AV10" s="15" t="s">
        <v>96</v>
      </c>
      <c r="AW10" s="15">
        <v>11</v>
      </c>
    </row>
    <row r="11" spans="2:60" ht="14.5" x14ac:dyDescent="0.35">
      <c r="B11" s="78" t="s">
        <v>75</v>
      </c>
      <c r="C11" s="67">
        <f>+X26^3/(X26^3+AD26^3)</f>
        <v>0.95237434046098302</v>
      </c>
      <c r="D11" s="67">
        <f>+W25^3.5/(W25^3.5+AE27^3.5)*0.92</f>
        <v>0.1821953009457605</v>
      </c>
      <c r="E11" s="67">
        <f>+X25^3.5/(X25^3.5+AD27^3.5)*0.92</f>
        <v>0.23802107435920447</v>
      </c>
      <c r="F11" s="108">
        <f>+Y25^3.5/(Y25^3.5+AC27^3.5)*0.92</f>
        <v>0.1821953009457605</v>
      </c>
      <c r="H11" s="109" t="s">
        <v>97</v>
      </c>
      <c r="I11" s="110"/>
      <c r="J11" s="111" t="s">
        <v>52</v>
      </c>
      <c r="K11" s="111" t="s">
        <v>98</v>
      </c>
      <c r="L11" s="111" t="s">
        <v>96</v>
      </c>
      <c r="M11" s="112"/>
      <c r="N11">
        <f>COUNTIF(J11:L11,"&lt;&gt;E")</f>
        <v>3</v>
      </c>
      <c r="O11" s="106"/>
      <c r="P11" s="23">
        <f>X13</f>
        <v>5.3571056650930295E-2</v>
      </c>
      <c r="Q11" s="107" t="s">
        <v>99</v>
      </c>
      <c r="R11" s="32">
        <f>AD13</f>
        <v>2.8575395723410193E-3</v>
      </c>
      <c r="T11" s="88"/>
      <c r="U11" s="89" t="s">
        <v>100</v>
      </c>
      <c r="V11" s="90">
        <f>VLOOKUP(J$7,dfk_pk!$A$8:$AS$19,HLOOKUP(I$8,dfk_pk!$D$4:$O$5,2,TRUE)+0,TRUE)</f>
        <v>0.4</v>
      </c>
      <c r="W11" s="41">
        <f>(1-W13)*T10*AA22</f>
        <v>2.3378880000000001E-2</v>
      </c>
      <c r="X11" s="25">
        <f t="shared" si="7"/>
        <v>0.20873855081921688</v>
      </c>
      <c r="Y11" s="25">
        <f t="shared" si="8"/>
        <v>8.3495420327686753E-2</v>
      </c>
      <c r="Z11" s="25">
        <f t="shared" si="9"/>
        <v>0</v>
      </c>
      <c r="AA11" s="27">
        <f t="shared" si="10"/>
        <v>0</v>
      </c>
      <c r="AB11" s="91">
        <f>VLOOKUP(J$8,dfk_pk!$A$8:$AS$19,HLOOKUP(I$7,dfk_pk!$D$4:$O$5,2,TRUE)+0,TRUE)</f>
        <v>0.53</v>
      </c>
      <c r="AC11" s="42">
        <f>T10*AB22</f>
        <v>2.6040000000000001E-2</v>
      </c>
      <c r="AD11" s="30">
        <f t="shared" si="11"/>
        <v>1.2401721743960023E-2</v>
      </c>
      <c r="AE11" s="30">
        <f t="shared" si="12"/>
        <v>6.5729125242988129E-3</v>
      </c>
      <c r="AF11" s="30">
        <f t="shared" si="13"/>
        <v>0</v>
      </c>
      <c r="AG11" s="32">
        <f t="shared" si="14"/>
        <v>0</v>
      </c>
      <c r="AI11" s="64" t="s">
        <v>101</v>
      </c>
      <c r="AJ11" s="64" t="s">
        <v>102</v>
      </c>
      <c r="AK11" s="19">
        <v>3.5000000000000003E-2</v>
      </c>
      <c r="AL11" s="65">
        <f>COUNTIF($I$11:$M$13,"U")</f>
        <v>1</v>
      </c>
      <c r="AM11" s="66">
        <f>COUNTIF($I$17:$M$19,"U")</f>
        <v>0</v>
      </c>
      <c r="AN11" s="67">
        <f t="shared" si="15"/>
        <v>1</v>
      </c>
      <c r="AO11" s="25">
        <f>+AK11*VLOOKUP(MAX(AL11,AM11),lkup_simul!$DP:$DT,4,FALSE)*AN11*AO$3</f>
        <v>3.5000000000000003E-2</v>
      </c>
      <c r="AP11" s="30">
        <f>+AK11*VLOOKUP(MAX(AL11,AM11),lkup_simul!$DP:$DT,4,FALSE)*(1-AN11)*AP$3</f>
        <v>0</v>
      </c>
      <c r="AQ11" s="26">
        <f>HLOOKUP($K$8,conv_Kstars!$CB$6:$CY$27,$AW11,FALSE)</f>
        <v>0.31</v>
      </c>
      <c r="AR11" s="31">
        <f>HLOOKUP($K$7,conv_Kstars!$CB$6:$CY$27,$AW11,FALSE)</f>
        <v>0.31</v>
      </c>
      <c r="AS11" s="25">
        <f t="shared" ref="AS11:AT11" si="18">+IFERROR(AO11*AQ11,0)</f>
        <v>1.085E-2</v>
      </c>
      <c r="AT11" s="32">
        <f t="shared" si="18"/>
        <v>0</v>
      </c>
      <c r="AU11" s="35"/>
      <c r="AV11" s="15" t="s">
        <v>96</v>
      </c>
      <c r="AW11" s="15">
        <v>15</v>
      </c>
    </row>
    <row r="12" spans="2:60" ht="14.5" x14ac:dyDescent="0.35">
      <c r="B12" s="78" t="s">
        <v>82</v>
      </c>
      <c r="C12" s="67">
        <f>1-C11</f>
        <v>4.7625659539016985E-2</v>
      </c>
      <c r="D12" s="67">
        <f>+AC25^3.5/(AC25^3.5+Y27^3.5)*0.92</f>
        <v>0.24080330038528924</v>
      </c>
      <c r="E12" s="67">
        <f>+AD25^3.5/(AD25^3.5+X27^3.5)*0.92</f>
        <v>0.60964557881958825</v>
      </c>
      <c r="F12" s="108">
        <f>+AE25^3.5/(AE25^3.5+W27^3.5)*0.92</f>
        <v>7.6966536567878857E-4</v>
      </c>
      <c r="H12" s="109" t="s">
        <v>103</v>
      </c>
      <c r="I12" s="111" t="s">
        <v>79</v>
      </c>
      <c r="J12" s="113" t="s">
        <v>104</v>
      </c>
      <c r="K12" s="111" t="s">
        <v>104</v>
      </c>
      <c r="L12" s="111" t="s">
        <v>79</v>
      </c>
      <c r="M12" s="114" t="s">
        <v>52</v>
      </c>
      <c r="N12">
        <f>COUNTIF(I12:M12,"&lt;&gt;E")</f>
        <v>5</v>
      </c>
      <c r="O12" s="106">
        <f>COUNTIF(J12:L12,"&lt;&gt;E")</f>
        <v>3</v>
      </c>
      <c r="P12" s="23">
        <f>SUM(Z7:Z13)</f>
        <v>4.4392956699611458E-3</v>
      </c>
      <c r="Q12" s="47" t="s">
        <v>105</v>
      </c>
      <c r="R12" s="32">
        <f>SUM(AF7:AF13)</f>
        <v>3.1004930009846916</v>
      </c>
      <c r="T12" s="88">
        <v>4.1000000000000002E-2</v>
      </c>
      <c r="U12" s="89" t="s">
        <v>106</v>
      </c>
      <c r="V12" s="90">
        <f>+VLOOKUP(J7*4-I8*4,lkup_simul!$A:$B,2,TRUE)</f>
        <v>0</v>
      </c>
      <c r="W12" s="41">
        <f>(1-W13)*T12</f>
        <v>4.0753999999999999E-2</v>
      </c>
      <c r="X12" s="25">
        <f t="shared" si="7"/>
        <v>0.36387247379200216</v>
      </c>
      <c r="Y12" s="25">
        <f t="shared" si="8"/>
        <v>0</v>
      </c>
      <c r="Z12" s="25">
        <f t="shared" si="9"/>
        <v>1.8201112246840699E-4</v>
      </c>
      <c r="AA12" s="27">
        <f t="shared" si="10"/>
        <v>0</v>
      </c>
      <c r="AB12" s="91">
        <f>+VLOOKUP(J8*4-I7*4,lkup_simul!$A:$B,2,TRUE)</f>
        <v>0.81129979910483352</v>
      </c>
      <c r="AC12" s="42">
        <f>T12</f>
        <v>4.1000000000000002E-2</v>
      </c>
      <c r="AD12" s="30">
        <f t="shared" si="11"/>
        <v>1.9526520410996964E-2</v>
      </c>
      <c r="AE12" s="30">
        <f t="shared" si="12"/>
        <v>1.5841862086658269E-2</v>
      </c>
      <c r="AF12" s="30">
        <f t="shared" si="13"/>
        <v>0.12712021304037235</v>
      </c>
      <c r="AG12" s="32">
        <f t="shared" si="14"/>
        <v>0.10313260330181773</v>
      </c>
      <c r="AI12" s="64" t="s">
        <v>50</v>
      </c>
      <c r="AJ12" s="64" t="s">
        <v>107</v>
      </c>
      <c r="AK12" s="19">
        <v>4.2999999999999997E-2</v>
      </c>
      <c r="AL12" s="65">
        <f>COUNTIF($I$11:$M$12,"U")</f>
        <v>1</v>
      </c>
      <c r="AM12" s="66">
        <f>COUNTIF($I$17:$M$18,"U")</f>
        <v>0</v>
      </c>
      <c r="AN12" s="67">
        <f t="shared" si="15"/>
        <v>1</v>
      </c>
      <c r="AO12" s="25">
        <f>+AK12*VLOOKUP(MAX(AL12,AM12),lkup_simul!$DP:$DT,4,FALSE)*AN12*AO$3</f>
        <v>4.2999999999999997E-2</v>
      </c>
      <c r="AP12" s="30">
        <f>+AK12*VLOOKUP(MAX(AL12,AM12),lkup_simul!$DP:$DT,4,FALSE)*(1-AN12)*AP$3</f>
        <v>0</v>
      </c>
      <c r="AQ12" s="26">
        <f>HLOOKUP($K$8,conv_Kstars!$CB$6:$CY$27,$AW12,FALSE)</f>
        <v>0.38</v>
      </c>
      <c r="AR12" s="31">
        <f>HLOOKUP($K$7,conv_Kstars!$CB$6:$CY$27,$AW12,FALSE)</f>
        <v>0.38</v>
      </c>
      <c r="AS12" s="25">
        <f t="shared" ref="AS12:AT12" si="19">+IFERROR(AO12*AQ12,0)</f>
        <v>1.634E-2</v>
      </c>
      <c r="AT12" s="32">
        <f t="shared" si="19"/>
        <v>0</v>
      </c>
      <c r="AU12" s="35"/>
      <c r="AV12" s="15" t="s">
        <v>96</v>
      </c>
      <c r="AW12" s="15">
        <v>14</v>
      </c>
    </row>
    <row r="13" spans="2:60" ht="14.5" x14ac:dyDescent="0.35">
      <c r="B13" s="78"/>
      <c r="F13" s="115"/>
      <c r="H13" s="109" t="s">
        <v>108</v>
      </c>
      <c r="I13" s="116" t="s">
        <v>233</v>
      </c>
      <c r="J13" s="111" t="s">
        <v>104</v>
      </c>
      <c r="K13" s="111" t="s">
        <v>233</v>
      </c>
      <c r="L13" s="111" t="s">
        <v>233</v>
      </c>
      <c r="M13" s="117" t="s">
        <v>104</v>
      </c>
      <c r="N13">
        <f>COUNTIF(I13:M13,"&lt;&gt;E")</f>
        <v>2</v>
      </c>
      <c r="O13" s="106">
        <f>COUNTIF(J13:L13,"&lt;&gt;E")</f>
        <v>1</v>
      </c>
      <c r="P13" s="23">
        <f>Z14</f>
        <v>0.13512641349358723</v>
      </c>
      <c r="Q13" s="47" t="s">
        <v>109</v>
      </c>
      <c r="R13" s="32">
        <f>AF14</f>
        <v>0</v>
      </c>
      <c r="T13" s="118"/>
      <c r="U13" s="89" t="s">
        <v>99</v>
      </c>
      <c r="V13" s="90">
        <f>VLOOKUP(VALUE(AA32),lkup_simul!$N:$S,5,TRUE)</f>
        <v>0.11</v>
      </c>
      <c r="W13" s="41">
        <f>IF(M7&lt;&gt;"Long Shots",0.6%,VLOOKUP(L7,lkup_simul!$BY:$CF,7,FALSE)+VLOOKUP(L7,lkup_simul!$BY:$CF,8,FALSE))</f>
        <v>6.0000000000000001E-3</v>
      </c>
      <c r="X13" s="25">
        <f>X$3*W13*(1-X4)</f>
        <v>5.3571056650930295E-2</v>
      </c>
      <c r="Y13" s="25">
        <f t="shared" si="8"/>
        <v>5.8928162316023323E-3</v>
      </c>
      <c r="Z13" s="25">
        <f t="shared" si="9"/>
        <v>0</v>
      </c>
      <c r="AA13" s="27">
        <f t="shared" si="10"/>
        <v>0</v>
      </c>
      <c r="AB13" s="91">
        <f>VLOOKUP(VALUE(AB32),lkup_simul!$N:$S,5,TRUE)</f>
        <v>0.11</v>
      </c>
      <c r="AC13" s="42">
        <f>IF(VALUE(AB32)=0,0.6%,VLOOKUP(AB32,lkup_simul!$BY:$CF,7,FALSE)+VLOOKUP(AB32,lkup_simul!$BY:$CF,8,FALSE))</f>
        <v>6.0000000000000001E-3</v>
      </c>
      <c r="AD13" s="30">
        <f>AD$3*AC13*(1-AD4)</f>
        <v>2.8575395723410193E-3</v>
      </c>
      <c r="AE13" s="30">
        <f t="shared" si="12"/>
        <v>3.1432935295751214E-4</v>
      </c>
      <c r="AF13" s="30">
        <f t="shared" si="13"/>
        <v>0</v>
      </c>
      <c r="AG13" s="32">
        <f t="shared" si="14"/>
        <v>0</v>
      </c>
      <c r="AI13" s="64" t="s">
        <v>110</v>
      </c>
      <c r="AJ13" s="64" t="s">
        <v>111</v>
      </c>
      <c r="AK13" s="19">
        <v>3.5999999999999997E-2</v>
      </c>
      <c r="AL13" s="65">
        <f>COUNTIF($I$13:$M$13,"U")+COUNTIF($J$12:$L$12,"U")</f>
        <v>0</v>
      </c>
      <c r="AM13" s="66">
        <f>COUNTIF($I$19:$M$19,"U")+COUNTIF($J$18:$L$18,"U")</f>
        <v>0</v>
      </c>
      <c r="AN13" s="67">
        <f t="shared" ref="AN13:AN14" si="20">IFERROR(1-(AL13^$AN$2)/(AL13^$AN$2+AM13^$AN$2),0)</f>
        <v>0</v>
      </c>
      <c r="AO13" s="25">
        <f>+AK13*VLOOKUP(MAX(AL13,AM13),lkup_simul!$DP:$DT,4,FALSE)*AN13*AO$3</f>
        <v>0</v>
      </c>
      <c r="AP13" s="30">
        <f>+AK13*VLOOKUP(MAX(AL13,AM13),lkup_simul!$DP:$DT,4,FALSE)*(1-AN13)*AP$3</f>
        <v>0</v>
      </c>
      <c r="AQ13" s="26">
        <f>HLOOKUP($K$8,conv_Kstars!$CB$6:$CY$27,$AW13,FALSE)</f>
        <v>0.13985587140634406</v>
      </c>
      <c r="AR13" s="31">
        <f>HLOOKUP($K$7,conv_Kstars!$CB$6:$CY$27,$AW13,FALSE)</f>
        <v>0.13985587140634406</v>
      </c>
      <c r="AS13" s="25">
        <f t="shared" ref="AS13:AT13" si="21">+IFERROR(AO13*AQ13,0)</f>
        <v>0</v>
      </c>
      <c r="AT13" s="32">
        <f t="shared" si="21"/>
        <v>0</v>
      </c>
      <c r="AU13" s="35"/>
      <c r="AV13" s="15" t="s">
        <v>96</v>
      </c>
      <c r="AW13" s="15">
        <v>12</v>
      </c>
    </row>
    <row r="14" spans="2:60" ht="14.5" x14ac:dyDescent="0.35">
      <c r="B14" s="109"/>
      <c r="C14" s="17" t="s">
        <v>112</v>
      </c>
      <c r="D14" s="119">
        <v>15</v>
      </c>
      <c r="E14" s="119">
        <v>15</v>
      </c>
      <c r="F14" s="120">
        <v>15</v>
      </c>
      <c r="H14" s="121" t="s">
        <v>113</v>
      </c>
      <c r="I14" s="122"/>
      <c r="J14" s="122"/>
      <c r="K14" s="123" t="s">
        <v>104</v>
      </c>
      <c r="L14" s="124"/>
      <c r="M14" s="125"/>
      <c r="O14" s="17"/>
      <c r="P14" s="126">
        <f>IF(J4="Yes",AO19,0.5*AO3)</f>
        <v>0.55573717948717949</v>
      </c>
      <c r="Q14" s="37" t="s">
        <v>114</v>
      </c>
      <c r="R14" s="127">
        <f>IF(J4="Yes",AP19,0.5*AP3)</f>
        <v>0.48339717948717953</v>
      </c>
      <c r="T14" s="128"/>
      <c r="U14" s="89" t="s">
        <v>109</v>
      </c>
      <c r="V14" s="90">
        <v>0.8</v>
      </c>
      <c r="W14" s="129"/>
      <c r="X14" s="129"/>
      <c r="Y14" s="129"/>
      <c r="Z14" s="25">
        <f>AA16*AA19</f>
        <v>0.13512641349358723</v>
      </c>
      <c r="AA14" s="27">
        <f t="shared" si="10"/>
        <v>0.10810113079486978</v>
      </c>
      <c r="AB14" s="91">
        <v>0.8</v>
      </c>
      <c r="AC14" s="130"/>
      <c r="AD14" s="130"/>
      <c r="AE14" s="130"/>
      <c r="AF14" s="30">
        <f>AB19*AB16</f>
        <v>0</v>
      </c>
      <c r="AG14" s="32">
        <f t="shared" si="14"/>
        <v>0</v>
      </c>
      <c r="AI14" s="64" t="s">
        <v>115</v>
      </c>
      <c r="AJ14" s="64" t="s">
        <v>116</v>
      </c>
      <c r="AK14" s="19">
        <v>7.3999999999999996E-2</v>
      </c>
      <c r="AL14" s="65">
        <f>COUNTIF($I$12,"U")+COUNTIF($M$12,"U")+COUNTIF($I$11:$M$11,"U")</f>
        <v>1</v>
      </c>
      <c r="AM14" s="66">
        <f>COUNTIF($I$18,"U")+COUNTIF($M$18,"U")+COUNTIF($I$17:$M$17,"U")</f>
        <v>0</v>
      </c>
      <c r="AN14" s="67">
        <f t="shared" si="20"/>
        <v>0</v>
      </c>
      <c r="AO14" s="25">
        <f>+AK14*VLOOKUP(MAX(AL14,AM14),lkup_simul!$DP:$DT,4,FALSE)*AN14*AO$3</f>
        <v>0</v>
      </c>
      <c r="AP14" s="30">
        <f>+AK14*VLOOKUP(MAX(AL14,AM14),lkup_simul!$DP:$DT,4,FALSE)*(1-AN14)*AP$3</f>
        <v>7.3999999999999996E-2</v>
      </c>
      <c r="AQ14" s="26">
        <f>HLOOKUP($K$8,conv_Kstars!$CB$6:$CY$27,$AW14,FALSE)</f>
        <v>0.15607473851864104</v>
      </c>
      <c r="AR14" s="31">
        <f>HLOOKUP($K$7,conv_Kstars!$CB$6:$CY$27,$AW14,FALSE)</f>
        <v>0.15607473851864104</v>
      </c>
      <c r="AS14" s="25">
        <f t="shared" ref="AS14:AT14" si="22">+IFERROR(AO14*AQ14,0)</f>
        <v>0</v>
      </c>
      <c r="AT14" s="32">
        <f t="shared" si="22"/>
        <v>1.1549530650379437E-2</v>
      </c>
      <c r="AU14" s="35"/>
      <c r="AV14" s="15" t="s">
        <v>96</v>
      </c>
      <c r="AW14" s="15">
        <v>13</v>
      </c>
    </row>
    <row r="15" spans="2:60" ht="14.5" x14ac:dyDescent="0.35">
      <c r="B15" s="109" t="s">
        <v>91</v>
      </c>
      <c r="C15" s="17" t="s">
        <v>117</v>
      </c>
      <c r="E15" s="119">
        <v>15</v>
      </c>
      <c r="F15" s="115"/>
      <c r="K15" s="239"/>
      <c r="O15" s="17"/>
      <c r="P15" s="100">
        <f>SUM(P16:P21)</f>
        <v>1.9746939666173859</v>
      </c>
      <c r="Q15" s="101" t="s">
        <v>118</v>
      </c>
      <c r="R15" s="102">
        <f>SUM(R16:R21)</f>
        <v>1.3189378355143462</v>
      </c>
      <c r="T15" s="131"/>
      <c r="U15" s="132" t="s">
        <v>119</v>
      </c>
      <c r="V15" s="133">
        <f>Y15/X15</f>
        <v>0.1942978492995231</v>
      </c>
      <c r="W15" s="134">
        <f t="shared" ref="W15:Y15" si="23">SUM(W7:W13)</f>
        <v>1</v>
      </c>
      <c r="X15" s="135">
        <f t="shared" si="23"/>
        <v>8.9285094418217152</v>
      </c>
      <c r="Y15" s="135">
        <f t="shared" si="23"/>
        <v>1.7347901819964446</v>
      </c>
      <c r="Z15" s="135">
        <f t="shared" ref="Z15:AA15" si="24">SUM(Z7:Z14)</f>
        <v>0.13956570916354838</v>
      </c>
      <c r="AA15" s="136">
        <f t="shared" si="24"/>
        <v>0.10893461161751586</v>
      </c>
      <c r="AB15" s="137">
        <f>AE15/AD15</f>
        <v>0.3346970735076526</v>
      </c>
      <c r="AC15" s="138">
        <f t="shared" ref="AC15:AE15" si="25">SUM(AC7:AC13)</f>
        <v>1.00075</v>
      </c>
      <c r="AD15" s="139">
        <f t="shared" si="25"/>
        <v>0.47661378783671243</v>
      </c>
      <c r="AE15" s="139">
        <f t="shared" si="25"/>
        <v>0.15952123998234488</v>
      </c>
      <c r="AF15" s="139">
        <f>SUM(AF7:AF14)</f>
        <v>3.1004930009846916</v>
      </c>
      <c r="AG15" s="140">
        <f>SUM(AG7:AG13)</f>
        <v>1.0109906556300321</v>
      </c>
      <c r="AI15" s="64" t="s">
        <v>120</v>
      </c>
      <c r="AJ15" s="64" t="s">
        <v>121</v>
      </c>
      <c r="AK15" s="19">
        <v>0.1</v>
      </c>
      <c r="AL15" s="65"/>
      <c r="AM15" s="66"/>
      <c r="AN15" s="67">
        <f>X26/(X26+AD26)</f>
        <v>0.73076923076923073</v>
      </c>
      <c r="AO15" s="25">
        <f>+AK15*AN15*AO$3</f>
        <v>7.3076923076923081E-2</v>
      </c>
      <c r="AP15" s="30">
        <f>+AK15*(1-AN15)*AP$3</f>
        <v>2.6923076923076928E-2</v>
      </c>
      <c r="AQ15" s="26">
        <f>VLOOKUP((J7-I8)*4,lkup_simul!$EE:$EF,2,TRUE)*VLOOKUP(K8-AA32/4,lkup_simul!$EB:$EC,2,TRUE)</f>
        <v>0.2603125</v>
      </c>
      <c r="AR15" s="31">
        <f>VLOOKUP((J8-I7)*4,lkup_simul!$EE:$EF,2,TRUE)*VLOOKUP(K7-AB32/4,lkup_simul!$EB:$EC,2,TRUE)</f>
        <v>0.520625</v>
      </c>
      <c r="AS15" s="25">
        <f t="shared" ref="AS15:AT15" si="26">+IFERROR(AO15*AQ15,0)</f>
        <v>1.9022836538461541E-2</v>
      </c>
      <c r="AT15" s="32">
        <f t="shared" si="26"/>
        <v>1.4016826923076925E-2</v>
      </c>
      <c r="AU15" s="35"/>
      <c r="AV15" s="15" t="s">
        <v>122</v>
      </c>
    </row>
    <row r="16" spans="2:60" ht="14.5" x14ac:dyDescent="0.35">
      <c r="B16" s="78"/>
      <c r="C16" s="17" t="s">
        <v>123</v>
      </c>
      <c r="D16" s="119">
        <v>14</v>
      </c>
      <c r="E16" s="119">
        <v>12.5</v>
      </c>
      <c r="F16" s="120">
        <v>10.5</v>
      </c>
      <c r="H16" s="72"/>
      <c r="I16" s="73"/>
      <c r="J16" s="73"/>
      <c r="K16" s="105" t="s">
        <v>124</v>
      </c>
      <c r="L16" s="73"/>
      <c r="M16" s="74"/>
      <c r="O16" s="106"/>
      <c r="P16" s="23">
        <f>SUM(Y7:Y9)</f>
        <v>1.5917263180836427</v>
      </c>
      <c r="Q16" s="47" t="s">
        <v>89</v>
      </c>
      <c r="R16" s="32">
        <f>SUM(AE7:AE9)</f>
        <v>0.13265156117810817</v>
      </c>
      <c r="T16" s="6"/>
      <c r="U16" s="6"/>
      <c r="V16" s="141"/>
      <c r="W16" s="129"/>
      <c r="X16" s="129"/>
      <c r="Y16" s="129"/>
      <c r="Z16" s="142" t="s">
        <v>125</v>
      </c>
      <c r="AA16" s="27">
        <f>X15-Y15</f>
        <v>7.1937192598252704</v>
      </c>
      <c r="AB16" s="28">
        <f>AD15-AE15</f>
        <v>0.31709254785436758</v>
      </c>
      <c r="AC16" s="130"/>
      <c r="AD16" s="130"/>
      <c r="AE16" s="130"/>
      <c r="AF16" s="130"/>
      <c r="AG16" s="143"/>
      <c r="AI16" s="64" t="s">
        <v>126</v>
      </c>
      <c r="AJ16" s="64" t="s">
        <v>127</v>
      </c>
      <c r="AK16" s="19">
        <v>8.4500000000000006E-2</v>
      </c>
      <c r="AL16" s="65">
        <f>COUNTA($I12,$M12)</f>
        <v>2</v>
      </c>
      <c r="AM16" s="66">
        <f>COUNTA($I18,$M18)</f>
        <v>2</v>
      </c>
      <c r="AN16" s="67">
        <f t="shared" ref="AN16:AN17" si="27">+IFERROR((AL16^$AN$2)/(AL16^$AN$2+AM16^$AN$2),0)</f>
        <v>0.5</v>
      </c>
      <c r="AO16" s="25">
        <f>+AK16*MAX(AL16,AM16)*AN16*AO$3</f>
        <v>8.4500000000000006E-2</v>
      </c>
      <c r="AP16" s="30">
        <f>+AK16*MAX(AL16,AM16)*(1-AN16)*AP$3</f>
        <v>8.4500000000000006E-2</v>
      </c>
      <c r="AQ16" s="26">
        <f>HLOOKUP($K$8,conv_Kstars!$CB$6:$CY$27,$AW16,FALSE)</f>
        <v>0.21667650665334484</v>
      </c>
      <c r="AR16" s="31">
        <f>HLOOKUP($K$7,conv_Kstars!$CB$6:$CY$27,$AW16,FALSE)</f>
        <v>0.21667650665334484</v>
      </c>
      <c r="AS16" s="25">
        <f t="shared" ref="AS16:AT16" si="28">+IFERROR(AO16*AQ16,0)</f>
        <v>1.8309164812207641E-2</v>
      </c>
      <c r="AT16" s="32">
        <f t="shared" si="28"/>
        <v>1.8309164812207641E-2</v>
      </c>
      <c r="AU16" s="35"/>
      <c r="AV16" s="15" t="s">
        <v>122</v>
      </c>
      <c r="AW16" s="15">
        <v>16</v>
      </c>
    </row>
    <row r="17" spans="2:49" ht="14.5" x14ac:dyDescent="0.35">
      <c r="B17" s="78"/>
      <c r="F17" s="115"/>
      <c r="H17" s="109" t="s">
        <v>97</v>
      </c>
      <c r="I17" s="110"/>
      <c r="J17" s="111" t="s">
        <v>233</v>
      </c>
      <c r="K17" s="111" t="s">
        <v>233</v>
      </c>
      <c r="L17" s="111" t="s">
        <v>233</v>
      </c>
      <c r="M17" s="112"/>
      <c r="N17">
        <f>COUNTIF(I17:M17,"&lt;&gt;E")</f>
        <v>2</v>
      </c>
      <c r="O17" s="35"/>
      <c r="P17" s="23">
        <f>SUM(Y10:Y12)</f>
        <v>0.13717104768119964</v>
      </c>
      <c r="Q17" s="107" t="s">
        <v>92</v>
      </c>
      <c r="R17" s="32">
        <f>SUM(AE10:AE12)</f>
        <v>2.6555349451279218E-2</v>
      </c>
      <c r="T17" s="6"/>
      <c r="U17" s="6"/>
      <c r="V17" s="141"/>
      <c r="W17" s="129"/>
      <c r="X17" s="129"/>
      <c r="Y17" s="129"/>
      <c r="Z17" s="142" t="s">
        <v>128</v>
      </c>
      <c r="AA17" s="144">
        <f>COUNTIF(J12:L12,"PDIM")</f>
        <v>0</v>
      </c>
      <c r="AB17" s="145">
        <f>COUNTIF(J18:L18,"PDIM")</f>
        <v>1</v>
      </c>
      <c r="AC17" s="130"/>
      <c r="AD17" s="130"/>
      <c r="AE17" s="130"/>
      <c r="AF17" s="130"/>
      <c r="AG17" s="143"/>
      <c r="AI17" s="64" t="s">
        <v>50</v>
      </c>
      <c r="AJ17" s="64" t="s">
        <v>129</v>
      </c>
      <c r="AK17" s="19">
        <v>0.13200000000000001</v>
      </c>
      <c r="AL17" s="65">
        <f>COUNTIF($I$11:$M$12,"T")</f>
        <v>0</v>
      </c>
      <c r="AM17" s="66">
        <f>COUNTIF($I$17:$M$18,"T")</f>
        <v>0</v>
      </c>
      <c r="AN17" s="67">
        <f t="shared" si="27"/>
        <v>0</v>
      </c>
      <c r="AO17" s="25">
        <f>+AK17*VLOOKUP(MAX(AL17,AM17),lkup_simul!$DP:$DT,4,FALSE)*AN17*AO$3</f>
        <v>0</v>
      </c>
      <c r="AP17" s="30">
        <f>+AK17*VLOOKUP(MAX(AL17,AM17),lkup_simul!$DP:$DT,4,FALSE)*(1-AN17)*AP$3</f>
        <v>0</v>
      </c>
      <c r="AQ17" s="26">
        <f>HLOOKUP($K$8,conv_Kstars!$CB$6:$CY$27,$AW17,FALSE)</f>
        <v>0.21986982734995886</v>
      </c>
      <c r="AR17" s="31">
        <f>HLOOKUP($K$7,conv_Kstars!$CB$6:$CY$27,$AW17,FALSE)</f>
        <v>0.21986982734995886</v>
      </c>
      <c r="AS17" s="25">
        <f t="shared" ref="AS17:AT17" si="29">+IFERROR(AO17*AQ17,0)</f>
        <v>0</v>
      </c>
      <c r="AT17" s="32">
        <f t="shared" si="29"/>
        <v>0</v>
      </c>
      <c r="AU17" s="35"/>
      <c r="AV17" s="15" t="s">
        <v>129</v>
      </c>
      <c r="AW17" s="15">
        <v>9</v>
      </c>
    </row>
    <row r="18" spans="2:49" ht="14.5" x14ac:dyDescent="0.35">
      <c r="B18" s="109"/>
      <c r="C18" s="17" t="s">
        <v>112</v>
      </c>
      <c r="D18" s="119">
        <v>8</v>
      </c>
      <c r="E18" s="119">
        <v>15</v>
      </c>
      <c r="F18" s="120">
        <v>2.5</v>
      </c>
      <c r="H18" s="109" t="s">
        <v>103</v>
      </c>
      <c r="I18" s="111" t="s">
        <v>79</v>
      </c>
      <c r="J18" s="111" t="s">
        <v>52</v>
      </c>
      <c r="K18" s="111" t="s">
        <v>130</v>
      </c>
      <c r="L18" s="111" t="s">
        <v>52</v>
      </c>
      <c r="M18" s="114" t="s">
        <v>79</v>
      </c>
      <c r="N18">
        <f>COUNTIF(I18:M18,"&lt;&gt;E")</f>
        <v>5</v>
      </c>
      <c r="O18" s="35">
        <f>COUNTIF(J18:L18,"&lt;&gt;E")</f>
        <v>3</v>
      </c>
      <c r="P18" s="23">
        <f>Y13</f>
        <v>5.8928162316023323E-3</v>
      </c>
      <c r="Q18" s="107" t="s">
        <v>99</v>
      </c>
      <c r="R18" s="32">
        <f>AE13</f>
        <v>3.1432935295751214E-4</v>
      </c>
      <c r="T18" s="6"/>
      <c r="U18" s="6"/>
      <c r="V18" s="141"/>
      <c r="W18" s="129"/>
      <c r="X18" s="129"/>
      <c r="Y18" s="129"/>
      <c r="Z18" s="142" t="s">
        <v>131</v>
      </c>
      <c r="AA18" s="144" t="str">
        <f>COUNTIF(J11:L11,"PNF")&amp;"_"&amp;O19</f>
        <v>1_3</v>
      </c>
      <c r="AB18" s="145" t="str">
        <f>COUNTIF(J17:L17,"PNF")&amp;"_"&amp;O13</f>
        <v>0_1</v>
      </c>
      <c r="AC18" s="130"/>
      <c r="AD18" s="130"/>
      <c r="AE18" s="130"/>
      <c r="AF18" s="130"/>
      <c r="AG18" s="143"/>
      <c r="AI18" s="64"/>
      <c r="AJ18" s="64" t="s">
        <v>132</v>
      </c>
      <c r="AK18" s="19">
        <v>9.1999999999999998E-2</v>
      </c>
      <c r="AL18" s="65"/>
      <c r="AM18" s="66"/>
      <c r="AN18" s="67">
        <v>0.5</v>
      </c>
      <c r="AO18" s="25">
        <f>+AK18*AN18*AO$3</f>
        <v>4.5999999999999999E-2</v>
      </c>
      <c r="AP18" s="30">
        <f>+AK18*(1-AN18)*AP$3</f>
        <v>4.5999999999999999E-2</v>
      </c>
      <c r="AQ18" s="26">
        <f>HLOOKUP($K$8,conv_Kstars!$CB$6:$CY$27,$AW18,FALSE)</f>
        <v>0.13253955154157582</v>
      </c>
      <c r="AR18" s="31">
        <f>HLOOKUP($K$7,conv_Kstars!$CB$6:$CY$27,$AW18,FALSE)</f>
        <v>0.13253955154157582</v>
      </c>
      <c r="AS18" s="25">
        <f t="shared" ref="AS18:AT18" si="30">+IFERROR(AO18*AQ18,0)</f>
        <v>6.0968193709124872E-3</v>
      </c>
      <c r="AT18" s="32">
        <f t="shared" si="30"/>
        <v>6.0968193709124872E-3</v>
      </c>
      <c r="AU18" s="35"/>
      <c r="AV18" s="15" t="s">
        <v>122</v>
      </c>
      <c r="AW18" s="15">
        <v>18</v>
      </c>
    </row>
    <row r="19" spans="2:49" ht="14.5" x14ac:dyDescent="0.35">
      <c r="B19" s="109" t="s">
        <v>124</v>
      </c>
      <c r="C19" s="17" t="s">
        <v>117</v>
      </c>
      <c r="E19" s="119">
        <v>6</v>
      </c>
      <c r="F19" s="115"/>
      <c r="H19" s="109" t="s">
        <v>108</v>
      </c>
      <c r="I19" s="111" t="s">
        <v>104</v>
      </c>
      <c r="J19" s="111" t="s">
        <v>79</v>
      </c>
      <c r="K19" s="111" t="s">
        <v>104</v>
      </c>
      <c r="L19" s="111" t="s">
        <v>52</v>
      </c>
      <c r="M19" s="114" t="s">
        <v>79</v>
      </c>
      <c r="N19">
        <f>COUNTIF(I19:M19,"&lt;&gt;E")</f>
        <v>5</v>
      </c>
      <c r="O19" s="35">
        <f>COUNTIF(J19:L19,"&lt;&gt;E")</f>
        <v>3</v>
      </c>
      <c r="P19" s="23">
        <f>SUM(AA7:AA13)</f>
        <v>8.3348082264607588E-4</v>
      </c>
      <c r="Q19" s="47" t="s">
        <v>105</v>
      </c>
      <c r="R19" s="32">
        <f>SUM(AG7:AG13)</f>
        <v>1.0109906556300321</v>
      </c>
      <c r="T19" s="6"/>
      <c r="U19" s="6"/>
      <c r="V19" s="141"/>
      <c r="W19" s="129"/>
      <c r="X19" s="129"/>
      <c r="Y19" s="129"/>
      <c r="Z19" s="24" t="s">
        <v>133</v>
      </c>
      <c r="AA19" s="146">
        <f>+VLOOKUP(AA18,lkup_simul!$W:$X,2,FALSE)</f>
        <v>1.878394313331451E-2</v>
      </c>
      <c r="AB19" s="91">
        <f>+VLOOKUP(AB18,lkup_simul!$W:$X,2,FALSE)</f>
        <v>0</v>
      </c>
      <c r="AC19" s="130">
        <f>COUNTA($I$19:$M$19)</f>
        <v>5</v>
      </c>
      <c r="AD19" s="130"/>
      <c r="AE19" s="130"/>
      <c r="AF19" s="130"/>
      <c r="AG19" s="143"/>
      <c r="AI19" s="45" t="s">
        <v>119</v>
      </c>
      <c r="AJ19" s="45" t="s">
        <v>119</v>
      </c>
      <c r="AK19" s="147"/>
      <c r="AL19" s="148"/>
      <c r="AM19" s="149"/>
      <c r="AN19" s="147"/>
      <c r="AO19" s="135">
        <f t="shared" ref="AO19:AP19" si="31">SUM(AO5:AO18)</f>
        <v>0.55573717948717949</v>
      </c>
      <c r="AP19" s="139">
        <f t="shared" si="31"/>
        <v>0.48339717948717953</v>
      </c>
      <c r="AQ19" s="134">
        <f t="shared" ref="AQ19:AR19" si="32">AS19/AO19</f>
        <v>0.23566746627296103</v>
      </c>
      <c r="AR19" s="138">
        <f t="shared" si="32"/>
        <v>0.30704759191898773</v>
      </c>
      <c r="AS19" s="135">
        <f t="shared" ref="AS19:AT19" si="33">SUM(AS5:AS18)</f>
        <v>0.13096917300342537</v>
      </c>
      <c r="AT19" s="140">
        <f t="shared" si="33"/>
        <v>0.14842593990196917</v>
      </c>
    </row>
    <row r="20" spans="2:49" ht="14.5" x14ac:dyDescent="0.35">
      <c r="B20" s="92"/>
      <c r="C20" s="124" t="s">
        <v>123</v>
      </c>
      <c r="D20" s="150">
        <v>22</v>
      </c>
      <c r="E20" s="150">
        <v>20</v>
      </c>
      <c r="F20" s="151">
        <v>22</v>
      </c>
      <c r="H20" s="121" t="s">
        <v>113</v>
      </c>
      <c r="I20" s="122"/>
      <c r="J20" s="122"/>
      <c r="K20" s="123" t="s">
        <v>104</v>
      </c>
      <c r="L20" s="124"/>
      <c r="M20" s="125"/>
      <c r="N20" s="15"/>
      <c r="O20" s="35"/>
      <c r="P20" s="23">
        <f>AA14</f>
        <v>0.10810113079486978</v>
      </c>
      <c r="Q20" s="47" t="s">
        <v>109</v>
      </c>
      <c r="R20" s="32">
        <f>AG14</f>
        <v>0</v>
      </c>
      <c r="T20" s="6"/>
      <c r="U20" s="6"/>
      <c r="V20" s="141"/>
      <c r="W20" s="129"/>
      <c r="X20" s="129"/>
      <c r="Y20" s="129"/>
      <c r="Z20" s="142" t="s">
        <v>134</v>
      </c>
      <c r="AA20" s="146">
        <f>IF(VALUE(AA36)=0,0,VLOOKUP(AA36,lkup_simul!$CH:$CO,8,TRUE))</f>
        <v>0</v>
      </c>
      <c r="AB20" s="91">
        <f>IF(VALUE(AB36)=0,0,VLOOKUP(AB36,lkup_simul!$CH:$CO,8,TRUE))</f>
        <v>0</v>
      </c>
      <c r="AC20" s="130">
        <f>COUNTA($I$13:$M$13)</f>
        <v>5</v>
      </c>
      <c r="AD20" s="130"/>
      <c r="AE20" s="130"/>
      <c r="AF20" s="130"/>
      <c r="AG20" s="143"/>
    </row>
    <row r="21" spans="2:49" ht="15.75" customHeight="1" x14ac:dyDescent="0.35">
      <c r="O21" s="68"/>
      <c r="P21" s="126">
        <f>IF(J4="Yes",AS19,0.24*AO3)</f>
        <v>0.13096917300342537</v>
      </c>
      <c r="Q21" s="37" t="s">
        <v>114</v>
      </c>
      <c r="R21" s="127">
        <f>IF(J4="Yes",AT19,0.24*AP3)</f>
        <v>0.14842593990196917</v>
      </c>
      <c r="T21" s="6"/>
      <c r="U21" s="6"/>
      <c r="V21" s="141"/>
      <c r="W21" s="129"/>
      <c r="X21" s="129"/>
      <c r="Y21" s="129"/>
      <c r="Z21" s="142" t="s">
        <v>135</v>
      </c>
      <c r="AA21" s="146">
        <f>IF(VALUE(AA35)=0,0,VLOOKUP(AA35,lkup_simul!$CQ:$CX,8,TRUE))</f>
        <v>0</v>
      </c>
      <c r="AB21" s="91">
        <f>IF(VALUE(AB35)=0,0,VLOOKUP(AB35,lkup_simul!$CQ:$CX,8,TRUE))</f>
        <v>0</v>
      </c>
      <c r="AC21" s="130" t="str">
        <f>IF(OR(C11&gt;=0.5,AA31=0),COUNTA($I$19:$M$19)&amp;"D",AA31)</f>
        <v>5D</v>
      </c>
      <c r="AD21" s="130"/>
      <c r="AE21" s="130"/>
      <c r="AF21" s="130"/>
      <c r="AG21" s="143"/>
    </row>
    <row r="22" spans="2:49" ht="15.75" customHeight="1" x14ac:dyDescent="0.35">
      <c r="H22" s="17" t="s">
        <v>41</v>
      </c>
      <c r="I22" s="15" t="s">
        <v>136</v>
      </c>
      <c r="K22" s="17" t="s">
        <v>41</v>
      </c>
      <c r="L22" s="15" t="s">
        <v>136</v>
      </c>
      <c r="O22" s="68"/>
      <c r="T22" s="39" t="s">
        <v>3</v>
      </c>
      <c r="U22" s="39" t="s">
        <v>4</v>
      </c>
      <c r="V22" s="141"/>
      <c r="W22" s="129"/>
      <c r="X22" s="129"/>
      <c r="Y22" s="129"/>
      <c r="Z22" s="142" t="s">
        <v>137</v>
      </c>
      <c r="AA22" s="146">
        <f>VLOOKUP(J$7,dfk_pk!$A$8:$AS$19,HLOOKUP(I$8,dfk_pk!$D$4:$O$5,2,TRUE)+30,TRUE)</f>
        <v>0.28000000000000003</v>
      </c>
      <c r="AB22" s="91">
        <f>VLOOKUP(J$8,dfk_pk!$A$8:$AS$19,HLOOKUP(I$7,dfk_pk!$D$4:$O$5,2,TRUE)+30,TRUE)</f>
        <v>0.31</v>
      </c>
      <c r="AC22" s="130" t="b">
        <f>OR(C11&gt;=0.5,AA31=0)</f>
        <v>1</v>
      </c>
      <c r="AD22" s="130"/>
      <c r="AE22" s="130"/>
      <c r="AF22" s="130"/>
      <c r="AG22" s="143"/>
      <c r="AM22" s="152" t="s">
        <v>41</v>
      </c>
      <c r="AN22" s="152" t="s">
        <v>41</v>
      </c>
      <c r="AO22" s="59" t="s">
        <v>138</v>
      </c>
      <c r="AP22" s="62" t="s">
        <v>139</v>
      </c>
      <c r="AQ22" s="59" t="s">
        <v>140</v>
      </c>
      <c r="AR22" s="62" t="s">
        <v>141</v>
      </c>
      <c r="AS22" s="59" t="s">
        <v>142</v>
      </c>
      <c r="AT22" s="63" t="s">
        <v>143</v>
      </c>
    </row>
    <row r="23" spans="2:49" ht="15.75" customHeight="1" x14ac:dyDescent="0.35">
      <c r="F23" s="34"/>
      <c r="H23" s="17"/>
      <c r="I23" s="15" t="s">
        <v>144</v>
      </c>
      <c r="K23" s="17" t="s">
        <v>145</v>
      </c>
      <c r="L23" s="15" t="s">
        <v>146</v>
      </c>
      <c r="O23" s="35"/>
      <c r="T23" s="19">
        <f t="shared" ref="T23:T33" si="34">+R25*P25</f>
        <v>3.7118796178291599E-2</v>
      </c>
      <c r="U23" s="19">
        <f t="shared" ref="U23:U33" si="35">+P25-S26-T23</f>
        <v>0.1016849881570329</v>
      </c>
      <c r="V23" s="153"/>
      <c r="W23" s="65"/>
      <c r="X23" s="65"/>
      <c r="Y23" s="65"/>
      <c r="Z23" s="129"/>
      <c r="AA23" s="154"/>
      <c r="AB23" s="155"/>
      <c r="AC23" s="130"/>
      <c r="AD23" s="130"/>
      <c r="AE23" s="130"/>
      <c r="AF23" s="66"/>
      <c r="AG23" s="156"/>
      <c r="AM23" s="157" t="s">
        <v>147</v>
      </c>
      <c r="AN23" s="157" t="s">
        <v>52</v>
      </c>
      <c r="AO23" s="25">
        <f t="shared" ref="AO23:AP23" si="36">+SUMIFS(AO$5:AO$18,$AV$5:$AV$18,$AN23)</f>
        <v>0.16909999999999997</v>
      </c>
      <c r="AP23" s="30">
        <f t="shared" si="36"/>
        <v>0.16909999999999997</v>
      </c>
      <c r="AQ23" s="26">
        <f t="shared" ref="AQ23:AR23" si="37">+IFERROR(AS23/AO23,"")</f>
        <v>0.24183088274823938</v>
      </c>
      <c r="AR23" s="31">
        <f t="shared" si="37"/>
        <v>0.27637815171227353</v>
      </c>
      <c r="AS23" s="25">
        <f t="shared" ref="AS23:AT23" si="38">+SUMIFS(AS$5:AS$18,$AV$5:$AV$18,$AN23)</f>
        <v>4.0893602272727272E-2</v>
      </c>
      <c r="AT23" s="32">
        <f t="shared" si="38"/>
        <v>4.6735545454545446E-2</v>
      </c>
    </row>
    <row r="24" spans="2:49" ht="15.75" customHeight="1" x14ac:dyDescent="0.35">
      <c r="H24" s="17" t="s">
        <v>52</v>
      </c>
      <c r="I24" s="15" t="s">
        <v>147</v>
      </c>
      <c r="K24" s="17" t="s">
        <v>109</v>
      </c>
      <c r="L24" s="15" t="s">
        <v>148</v>
      </c>
      <c r="O24" s="158"/>
      <c r="P24" s="22">
        <f>P15</f>
        <v>1.9746939666173859</v>
      </c>
      <c r="Q24" s="39" t="s">
        <v>26</v>
      </c>
      <c r="R24" s="22">
        <f>R15</f>
        <v>1.3189378355143462</v>
      </c>
      <c r="S24" s="159"/>
      <c r="T24" s="19">
        <f t="shared" si="34"/>
        <v>9.667585216534072E-2</v>
      </c>
      <c r="U24" s="19">
        <f t="shared" si="35"/>
        <v>0.10412088044391246</v>
      </c>
      <c r="V24" s="141"/>
      <c r="W24" s="129"/>
      <c r="X24" s="129"/>
      <c r="Y24" s="129"/>
      <c r="Z24" s="129"/>
      <c r="AA24" s="154" t="s">
        <v>149</v>
      </c>
      <c r="AB24" s="155"/>
      <c r="AC24" s="130"/>
      <c r="AD24" s="130"/>
      <c r="AE24" s="130"/>
      <c r="AF24" s="130"/>
      <c r="AG24" s="143"/>
      <c r="AM24" s="157" t="s">
        <v>150</v>
      </c>
      <c r="AN24" s="157" t="s">
        <v>79</v>
      </c>
      <c r="AO24" s="25">
        <f t="shared" ref="AO24:AP24" si="39">+SUMIFS(AO$5:AO$18,$AV$5:$AV$18,$AN24)</f>
        <v>0.10506025641025642</v>
      </c>
      <c r="AP24" s="30">
        <f t="shared" si="39"/>
        <v>8.2874102564102575E-2</v>
      </c>
      <c r="AQ24" s="26">
        <f t="shared" ref="AQ24:AR24" si="40">+IFERROR(AS24/AO24,"")</f>
        <v>0.18519610244561513</v>
      </c>
      <c r="AR24" s="31">
        <f t="shared" si="40"/>
        <v>0.62405565901414906</v>
      </c>
      <c r="AS24" s="25">
        <f t="shared" ref="AS24:AT24" si="41">+SUMIFS(AS$5:AS$18,$AV$5:$AV$18,$AN24)</f>
        <v>1.9456750009116442E-2</v>
      </c>
      <c r="AT24" s="32">
        <f t="shared" si="41"/>
        <v>5.1718052690847213E-2</v>
      </c>
    </row>
    <row r="25" spans="2:49" ht="15.75" customHeight="1" x14ac:dyDescent="0.35">
      <c r="F25" s="34"/>
      <c r="H25" s="17" t="s">
        <v>96</v>
      </c>
      <c r="I25" s="15" t="s">
        <v>151</v>
      </c>
      <c r="K25" s="17" t="s">
        <v>152</v>
      </c>
      <c r="L25" s="15" t="s">
        <v>153</v>
      </c>
      <c r="N25" s="17"/>
      <c r="O25" s="68"/>
      <c r="P25" s="19">
        <f t="shared" ref="P25:P34" si="42">+POISSON(Q25,P$24,FALSE)</f>
        <v>0.1388037843353245</v>
      </c>
      <c r="Q25" s="39">
        <v>0</v>
      </c>
      <c r="R25" s="19">
        <f t="shared" ref="R25:R34" si="43">+POISSON(Q25,R$24,FALSE)</f>
        <v>0.26741919433997124</v>
      </c>
      <c r="S25" s="39" t="s">
        <v>2</v>
      </c>
      <c r="T25" s="19">
        <f t="shared" si="34"/>
        <v>6.2948030069472111E-2</v>
      </c>
      <c r="U25" s="19">
        <f t="shared" si="35"/>
        <v>3.9855407136269977E-2</v>
      </c>
      <c r="V25" s="141"/>
      <c r="W25" s="160">
        <f t="shared" ref="W25:Y25" si="44">+(D14*4-3)</f>
        <v>57</v>
      </c>
      <c r="X25" s="160">
        <f t="shared" si="44"/>
        <v>57</v>
      </c>
      <c r="Y25" s="160">
        <f t="shared" si="44"/>
        <v>57</v>
      </c>
      <c r="Z25" s="129"/>
      <c r="AA25" s="154" t="s">
        <v>112</v>
      </c>
      <c r="AB25" s="155"/>
      <c r="AC25" s="161">
        <f t="shared" ref="AC25:AE25" si="45">+(D18*4-3)</f>
        <v>29</v>
      </c>
      <c r="AD25" s="161">
        <f t="shared" si="45"/>
        <v>57</v>
      </c>
      <c r="AE25" s="161">
        <f t="shared" si="45"/>
        <v>7</v>
      </c>
      <c r="AF25" s="130"/>
      <c r="AG25" s="143"/>
      <c r="AM25" s="157" t="s">
        <v>154</v>
      </c>
      <c r="AN25" s="157" t="s">
        <v>96</v>
      </c>
      <c r="AO25" s="25">
        <f t="shared" ref="AO25:AP25" si="46">+SUMIFS(AO$5:AO$18,$AV$5:$AV$18,$AN25)</f>
        <v>7.8E-2</v>
      </c>
      <c r="AP25" s="30">
        <f t="shared" si="46"/>
        <v>7.3999999999999996E-2</v>
      </c>
      <c r="AQ25" s="26">
        <f t="shared" ref="AQ25:AR25" si="47">+IFERROR(AS25/AO25,"")</f>
        <v>0.34858974358974359</v>
      </c>
      <c r="AR25" s="31">
        <f t="shared" si="47"/>
        <v>0.15607473851864104</v>
      </c>
      <c r="AS25" s="25">
        <f t="shared" ref="AS25:AT25" si="48">+SUMIFS(AS$5:AS$18,$AV$5:$AV$18,$AN25)</f>
        <v>2.7189999999999999E-2</v>
      </c>
      <c r="AT25" s="32">
        <f t="shared" si="48"/>
        <v>1.1549530650379437E-2</v>
      </c>
    </row>
    <row r="26" spans="2:49" ht="15.75" customHeight="1" x14ac:dyDescent="0.35">
      <c r="H26" s="17" t="s">
        <v>79</v>
      </c>
      <c r="I26" s="15" t="s">
        <v>150</v>
      </c>
      <c r="P26" s="19">
        <f t="shared" si="42"/>
        <v>0.27409499547062605</v>
      </c>
      <c r="Q26" s="39">
        <v>1</v>
      </c>
      <c r="R26" s="19">
        <f t="shared" si="43"/>
        <v>0.35270929335775192</v>
      </c>
      <c r="S26" s="19">
        <v>0</v>
      </c>
      <c r="T26" s="19">
        <f t="shared" si="34"/>
        <v>1.8216450590648206E-2</v>
      </c>
      <c r="U26" s="19">
        <f t="shared" si="35"/>
        <v>8.0176267457090639E-3</v>
      </c>
      <c r="V26" s="141"/>
      <c r="W26" s="160"/>
      <c r="X26" s="160">
        <f>+(E15*4-3)</f>
        <v>57</v>
      </c>
      <c r="Y26" s="160"/>
      <c r="Z26" s="129"/>
      <c r="AA26" s="154" t="s">
        <v>117</v>
      </c>
      <c r="AB26" s="155"/>
      <c r="AC26" s="161"/>
      <c r="AD26" s="161">
        <f>+(E19*4-3)</f>
        <v>21</v>
      </c>
      <c r="AE26" s="161"/>
      <c r="AF26" s="130"/>
      <c r="AG26" s="143"/>
      <c r="AM26" s="157" t="s">
        <v>155</v>
      </c>
      <c r="AN26" s="157" t="s">
        <v>129</v>
      </c>
      <c r="AO26" s="25">
        <f t="shared" ref="AO26:AP26" si="49">+SUMIFS(AO$5:AO$18,$AV$5:$AV$18,$AN26)</f>
        <v>0</v>
      </c>
      <c r="AP26" s="30">
        <f t="shared" si="49"/>
        <v>0</v>
      </c>
      <c r="AQ26" s="26" t="str">
        <f t="shared" ref="AQ26:AR26" si="50">+IFERROR(AS26/AO26,"")</f>
        <v/>
      </c>
      <c r="AR26" s="31" t="str">
        <f t="shared" si="50"/>
        <v/>
      </c>
      <c r="AS26" s="25">
        <f t="shared" ref="AS26:AT26" si="51">+SUMIFS(AS$5:AS$18,$AV$5:$AV$18,$AN26)</f>
        <v>0</v>
      </c>
      <c r="AT26" s="32">
        <f t="shared" si="51"/>
        <v>0</v>
      </c>
    </row>
    <row r="27" spans="2:49" ht="15.75" customHeight="1" x14ac:dyDescent="0.35">
      <c r="F27" s="34"/>
      <c r="H27" s="17" t="s">
        <v>129</v>
      </c>
      <c r="I27" s="15" t="s">
        <v>156</v>
      </c>
      <c r="P27" s="19">
        <f t="shared" si="42"/>
        <v>0.27062686691793258</v>
      </c>
      <c r="Q27" s="39">
        <v>2</v>
      </c>
      <c r="R27" s="19">
        <f t="shared" si="43"/>
        <v>0.23260081597353396</v>
      </c>
      <c r="S27" s="19">
        <f t="shared" ref="S27:S36" si="52">+SUM(R$25:R25)*P26</f>
        <v>7.3298262861372879E-2</v>
      </c>
      <c r="T27" s="19">
        <f t="shared" si="34"/>
        <v>2.965294987982208E-3</v>
      </c>
      <c r="U27" s="19">
        <f t="shared" si="35"/>
        <v>9.9279480235326756E-4</v>
      </c>
      <c r="V27" s="141"/>
      <c r="W27" s="160">
        <f t="shared" ref="W27:Y27" si="53">+(D16*4-3)</f>
        <v>53</v>
      </c>
      <c r="X27" s="160">
        <f t="shared" si="53"/>
        <v>47</v>
      </c>
      <c r="Y27" s="160">
        <f t="shared" si="53"/>
        <v>39</v>
      </c>
      <c r="Z27" s="129"/>
      <c r="AA27" s="154" t="s">
        <v>123</v>
      </c>
      <c r="AB27" s="155"/>
      <c r="AC27" s="161">
        <f t="shared" ref="AC27:AE27" si="54">+(D20*4-3)</f>
        <v>85</v>
      </c>
      <c r="AD27" s="161">
        <f t="shared" si="54"/>
        <v>77</v>
      </c>
      <c r="AE27" s="161">
        <f t="shared" si="54"/>
        <v>85</v>
      </c>
      <c r="AF27" s="130"/>
      <c r="AG27" s="143"/>
      <c r="AM27" s="157" t="s">
        <v>157</v>
      </c>
      <c r="AN27" s="157" t="s">
        <v>122</v>
      </c>
      <c r="AO27" s="25">
        <f t="shared" ref="AO27:AP27" si="55">+SUMIFS(AO$5:AO$18,$AV$5:$AV$18,$AN27)</f>
        <v>0.2035769230769231</v>
      </c>
      <c r="AP27" s="30">
        <f t="shared" si="55"/>
        <v>0.15742307692307694</v>
      </c>
      <c r="AQ27" s="26">
        <f t="shared" ref="AQ27:AR27" si="56">+IFERROR(AS27/AO27,"")</f>
        <v>0.21332880006822655</v>
      </c>
      <c r="AR27" s="31">
        <f t="shared" si="56"/>
        <v>0.24407356187664872</v>
      </c>
      <c r="AS27" s="25">
        <f t="shared" ref="AS27:AT27" si="57">+SUMIFS(AS$5:AS$18,$AV$5:$AV$18,$AN27)</f>
        <v>4.3428820721581662E-2</v>
      </c>
      <c r="AT27" s="32">
        <f t="shared" si="57"/>
        <v>3.8422811106197052E-2</v>
      </c>
    </row>
    <row r="28" spans="2:49" ht="15.75" customHeight="1" x14ac:dyDescent="0.35">
      <c r="H28" s="17" t="s">
        <v>104</v>
      </c>
      <c r="I28" s="15" t="s">
        <v>158</v>
      </c>
      <c r="P28" s="19">
        <f t="shared" si="42"/>
        <v>0.17813508043580262</v>
      </c>
      <c r="Q28" s="39">
        <v>3</v>
      </c>
      <c r="R28" s="19">
        <f t="shared" si="43"/>
        <v>0.10226200558633457</v>
      </c>
      <c r="S28" s="19">
        <f t="shared" si="52"/>
        <v>0.1678234297121905</v>
      </c>
      <c r="T28" s="19">
        <f t="shared" si="34"/>
        <v>3.0892426414674536E-4</v>
      </c>
      <c r="U28" s="19">
        <f t="shared" si="35"/>
        <v>8.3168917112473692E-5</v>
      </c>
      <c r="V28" s="141"/>
      <c r="W28" s="129"/>
      <c r="X28" s="129"/>
      <c r="Y28" s="160"/>
      <c r="Z28" s="160"/>
      <c r="AA28" s="144"/>
      <c r="AB28" s="145"/>
      <c r="AC28" s="130"/>
      <c r="AD28" s="130"/>
      <c r="AE28" s="130"/>
      <c r="AF28" s="42"/>
      <c r="AG28" s="20"/>
      <c r="AM28" s="152" t="s">
        <v>159</v>
      </c>
      <c r="AN28" s="152" t="s">
        <v>159</v>
      </c>
      <c r="AO28" s="135">
        <f t="shared" ref="AO28:AP28" si="58">SUM(AO23:AO27)</f>
        <v>0.55573717948717949</v>
      </c>
      <c r="AP28" s="139">
        <f t="shared" si="58"/>
        <v>0.48339717948717953</v>
      </c>
      <c r="AQ28" s="134">
        <f t="shared" ref="AQ28:AR28" si="59">+IFERROR(AS28/AO28,"")</f>
        <v>0.23566746627296103</v>
      </c>
      <c r="AR28" s="138">
        <f t="shared" si="59"/>
        <v>0.30704759191898767</v>
      </c>
      <c r="AS28" s="135">
        <f t="shared" ref="AS28:AT28" si="60">SUM(AS23:AS27)</f>
        <v>0.13096917300342537</v>
      </c>
      <c r="AT28" s="140">
        <f t="shared" si="60"/>
        <v>0.14842593990196914</v>
      </c>
    </row>
    <row r="29" spans="2:49" ht="15.75" customHeight="1" x14ac:dyDescent="0.35">
      <c r="P29" s="19">
        <f t="shared" si="42"/>
        <v>8.794056714487053E-2</v>
      </c>
      <c r="Q29" s="39">
        <v>4</v>
      </c>
      <c r="R29" s="19">
        <f t="shared" si="43"/>
        <v>3.3719307075849012E-2</v>
      </c>
      <c r="S29" s="19">
        <f t="shared" si="52"/>
        <v>0.15190100309944535</v>
      </c>
      <c r="T29" s="19">
        <f t="shared" si="34"/>
        <v>2.2349800255348688E-5</v>
      </c>
      <c r="U29" s="19">
        <f t="shared" si="35"/>
        <v>5.0223928833346442E-6</v>
      </c>
      <c r="V29" s="141"/>
      <c r="W29" s="129"/>
      <c r="X29" s="129"/>
      <c r="Y29" s="160"/>
      <c r="Z29" s="160"/>
      <c r="AA29" s="144"/>
      <c r="AB29" s="145"/>
      <c r="AC29" s="130"/>
      <c r="AD29" s="130"/>
      <c r="AE29" s="130"/>
      <c r="AF29" s="42"/>
      <c r="AG29" s="20"/>
    </row>
    <row r="30" spans="2:49" ht="15.75" customHeight="1" x14ac:dyDescent="0.35">
      <c r="P30" s="19">
        <f t="shared" si="42"/>
        <v>3.4731141472377408E-2</v>
      </c>
      <c r="Q30" s="39">
        <v>5</v>
      </c>
      <c r="R30" s="19">
        <f t="shared" si="43"/>
        <v>8.8947339779327714E-3</v>
      </c>
      <c r="S30" s="19">
        <f t="shared" si="52"/>
        <v>8.3982477354535054E-2</v>
      </c>
      <c r="T30" s="19">
        <f t="shared" si="34"/>
        <v>1.187959656437215E-6</v>
      </c>
      <c r="U30" s="19">
        <f t="shared" si="35"/>
        <v>2.2885304709200247E-7</v>
      </c>
      <c r="V30" s="141"/>
      <c r="W30" s="129"/>
      <c r="X30" s="129"/>
      <c r="Y30" s="160"/>
      <c r="Z30" s="160" t="s">
        <v>65</v>
      </c>
      <c r="AA30" s="144" t="s">
        <v>160</v>
      </c>
      <c r="AB30" s="145" t="s">
        <v>161</v>
      </c>
      <c r="AC30" s="130"/>
      <c r="AD30" s="130"/>
      <c r="AE30" s="130"/>
      <c r="AF30" s="42"/>
      <c r="AG30" s="20"/>
      <c r="AO30" s="15" t="s">
        <v>162</v>
      </c>
    </row>
    <row r="31" spans="2:49" ht="15.75" customHeight="1" x14ac:dyDescent="0.35">
      <c r="P31" s="19">
        <f t="shared" si="42"/>
        <v>1.1430562586539763E-2</v>
      </c>
      <c r="Q31" s="39">
        <v>6</v>
      </c>
      <c r="R31" s="19">
        <f t="shared" si="43"/>
        <v>1.9552668633884252E-3</v>
      </c>
      <c r="S31" s="19">
        <f t="shared" si="52"/>
        <v>3.4339048291118189E-2</v>
      </c>
      <c r="T31" s="19">
        <f t="shared" si="34"/>
        <v>4.8344363212100762E-8</v>
      </c>
      <c r="U31" s="19">
        <f t="shared" si="35"/>
        <v>8.1449782046932251E-9</v>
      </c>
      <c r="V31" s="141"/>
      <c r="W31" s="129"/>
      <c r="X31" s="129"/>
      <c r="Y31" s="129"/>
      <c r="Z31" s="142" t="s">
        <v>83</v>
      </c>
      <c r="AA31" s="144">
        <f t="shared" ref="AA31:AA36" si="61">IF($M$7=Z31,$L$7,0)</f>
        <v>0</v>
      </c>
      <c r="AB31" s="145">
        <f t="shared" ref="AB31:AB36" si="62">IF($M$8=Z31,$L$8,0)</f>
        <v>25</v>
      </c>
      <c r="AC31" s="130"/>
      <c r="AD31" s="130"/>
      <c r="AE31" s="130"/>
      <c r="AF31" s="42"/>
      <c r="AG31" s="20"/>
    </row>
    <row r="32" spans="2:49" ht="15.75" customHeight="1" x14ac:dyDescent="0.35">
      <c r="D32">
        <f>COUNTIF(I10:M20,"*")</f>
        <v>30</v>
      </c>
      <c r="P32" s="19">
        <f t="shared" si="42"/>
        <v>3.2245518535260692E-3</v>
      </c>
      <c r="Q32" s="39">
        <v>7</v>
      </c>
      <c r="R32" s="19">
        <f t="shared" si="43"/>
        <v>3.6841077780720851E-4</v>
      </c>
      <c r="S32" s="19">
        <f t="shared" si="52"/>
        <v>1.140319039340108E-2</v>
      </c>
      <c r="T32" s="19">
        <f t="shared" si="34"/>
        <v>1.5544793288079524E-9</v>
      </c>
      <c r="U32" s="19">
        <f t="shared" si="35"/>
        <v>2.3261392885714867E-10</v>
      </c>
      <c r="V32" s="141"/>
      <c r="W32" s="129"/>
      <c r="X32" s="129"/>
      <c r="Y32" s="129"/>
      <c r="Z32" s="142" t="s">
        <v>163</v>
      </c>
      <c r="AA32" s="144">
        <f t="shared" si="61"/>
        <v>0</v>
      </c>
      <c r="AB32" s="145">
        <f t="shared" si="62"/>
        <v>0</v>
      </c>
      <c r="AC32" s="130"/>
      <c r="AD32" s="130"/>
      <c r="AE32" s="130"/>
      <c r="AF32" s="42"/>
      <c r="AG32" s="20"/>
      <c r="AO32" s="68" t="str">
        <f>B15</f>
        <v>Team A</v>
      </c>
      <c r="AP32" s="68"/>
      <c r="AQ32" s="162">
        <f>IF(J11="Q",IF(M19="Q",0,1+IF(L19="Q",-0.25,0)),"")</f>
        <v>0.75</v>
      </c>
      <c r="AR32" s="163" t="str">
        <f>IF(K11="Q",IF(K19="Q",0,1+IF(L19="Q",-0.25,0)+IF(J19="Q",-0.25,0)),"")</f>
        <v/>
      </c>
      <c r="AS32" s="163" t="str">
        <f>IF(L11="Q",IF(I19="Q",0,1+IF(J19="Q",-0.25,0)),"")</f>
        <v/>
      </c>
      <c r="AT32" s="68"/>
    </row>
    <row r="33" spans="8:46" ht="15.75" customHeight="1" x14ac:dyDescent="0.35">
      <c r="H33" s="34" t="s">
        <v>164</v>
      </c>
      <c r="P33" s="19">
        <f t="shared" si="42"/>
        <v>7.9593788627535468E-4</v>
      </c>
      <c r="Q33" s="39">
        <v>8</v>
      </c>
      <c r="R33" s="19">
        <f t="shared" si="43"/>
        <v>6.0738864232649468E-5</v>
      </c>
      <c r="S33" s="19">
        <f t="shared" si="52"/>
        <v>3.22313504082254E-3</v>
      </c>
      <c r="T33" s="19">
        <f t="shared" si="34"/>
        <v>5.5776613649269039E-11</v>
      </c>
      <c r="U33" s="19">
        <f t="shared" si="35"/>
        <v>-1.964625040647332E-21</v>
      </c>
      <c r="V33" s="141"/>
      <c r="W33" s="129"/>
      <c r="X33" s="129"/>
      <c r="Y33" s="129"/>
      <c r="Z33" s="142" t="s">
        <v>165</v>
      </c>
      <c r="AA33" s="144">
        <f t="shared" si="61"/>
        <v>0</v>
      </c>
      <c r="AB33" s="145">
        <f t="shared" si="62"/>
        <v>0</v>
      </c>
      <c r="AC33" s="130"/>
      <c r="AD33" s="130"/>
      <c r="AE33" s="130"/>
      <c r="AF33" s="42"/>
      <c r="AG33" s="20"/>
      <c r="AO33" s="164">
        <f>SUM(AP32:AT33)/AL5</f>
        <v>0.875</v>
      </c>
      <c r="AP33" s="163" t="str">
        <f>IF(I12="Q",IF(M19="Q",0,1+IF(L19="Q",-0.25,0)),"")</f>
        <v/>
      </c>
      <c r="AQ33" s="163" t="str">
        <f t="shared" ref="AQ33:AS33" si="63">IF(J12="Q",IF(J19="Q",0,1+IF(K19="Q",-0.25,0)+IF(I19="Q",-0.25,0)),"")</f>
        <v/>
      </c>
      <c r="AR33" s="163" t="str">
        <f t="shared" si="63"/>
        <v/>
      </c>
      <c r="AS33" s="163" t="str">
        <f t="shared" si="63"/>
        <v/>
      </c>
      <c r="AT33" s="163">
        <f>IF(M12="Q",IF(I19="Q",0,1+IF(J19="Q",-0.25,0)),"")</f>
        <v>1</v>
      </c>
    </row>
    <row r="34" spans="8:46" ht="15.75" customHeight="1" x14ac:dyDescent="0.35">
      <c r="H34" s="15" t="s">
        <v>166</v>
      </c>
      <c r="P34" s="19">
        <f t="shared" si="42"/>
        <v>1.7463708242557066E-4</v>
      </c>
      <c r="Q34" s="39">
        <v>9</v>
      </c>
      <c r="R34" s="19">
        <f t="shared" si="43"/>
        <v>8.9011984580678199E-6</v>
      </c>
      <c r="S34" s="19">
        <f t="shared" si="52"/>
        <v>7.9588139693393789E-4</v>
      </c>
      <c r="T34" s="19">
        <f t="shared" ref="T34:U34" si="64">+SUM(T23:T33)</f>
        <v>0.21825693597041249</v>
      </c>
      <c r="U34" s="19">
        <f t="shared" si="64"/>
        <v>0.25476012582591268</v>
      </c>
      <c r="V34" s="141"/>
      <c r="W34" s="129"/>
      <c r="X34" s="129"/>
      <c r="Y34" s="129"/>
      <c r="Z34" s="142" t="s">
        <v>167</v>
      </c>
      <c r="AA34" s="144">
        <f t="shared" si="61"/>
        <v>0</v>
      </c>
      <c r="AB34" s="145">
        <f t="shared" si="62"/>
        <v>0</v>
      </c>
      <c r="AC34" s="130"/>
      <c r="AD34" s="130"/>
      <c r="AE34" s="130"/>
      <c r="AF34" s="42"/>
      <c r="AG34" s="20"/>
    </row>
    <row r="35" spans="8:46" ht="15.75" customHeight="1" x14ac:dyDescent="0.35">
      <c r="H35" s="15" t="s">
        <v>168</v>
      </c>
      <c r="P35" s="19">
        <f>1-POISSON(Q34,P$24,TRUE)</f>
        <v>4.1874814299625029E-5</v>
      </c>
      <c r="Q35" s="39">
        <v>10</v>
      </c>
      <c r="R35" s="19">
        <f>1-POISSON(Q34,R$24,TRUE)</f>
        <v>1.3319847402826213E-6</v>
      </c>
      <c r="S35" s="19">
        <f t="shared" si="52"/>
        <v>1.7463529533231299E-4</v>
      </c>
      <c r="T35" s="39"/>
      <c r="U35" s="19">
        <f>+U34+T34*(U34/(S37+U34))</f>
        <v>0.32588728643490783</v>
      </c>
      <c r="V35" s="141"/>
      <c r="W35" s="129"/>
      <c r="X35" s="129"/>
      <c r="Y35" s="129"/>
      <c r="Z35" s="142" t="s">
        <v>169</v>
      </c>
      <c r="AA35" s="144">
        <f t="shared" si="61"/>
        <v>0</v>
      </c>
      <c r="AB35" s="145">
        <f t="shared" si="62"/>
        <v>0</v>
      </c>
      <c r="AC35" s="130"/>
      <c r="AD35" s="130"/>
      <c r="AE35" s="130"/>
      <c r="AF35" s="42"/>
      <c r="AG35" s="20"/>
      <c r="AO35" s="68" t="str">
        <f>B19</f>
        <v>Team B</v>
      </c>
      <c r="AP35" s="68"/>
      <c r="AQ35" s="162" t="str">
        <f>IF(J17="Q",IF(M13="Q",0,1+IF(L13="Q",-0.25,0)),"")</f>
        <v/>
      </c>
      <c r="AR35" s="163" t="str">
        <f>IF(K17="Q",IF(K13="Q",0,1+IF(L13="Q",-0.25,0)+IF(J13="Q",-0.25,0)),"")</f>
        <v/>
      </c>
      <c r="AS35" s="163" t="str">
        <f>IF(L17="Q",IF(I13="Q",0,1+IF(J13="Q",-0.25,0)),"")</f>
        <v/>
      </c>
      <c r="AT35" s="68"/>
    </row>
    <row r="36" spans="8:46" ht="15.75" customHeight="1" x14ac:dyDescent="0.35">
      <c r="Q36" s="19" t="s">
        <v>170</v>
      </c>
      <c r="R36" s="19"/>
      <c r="S36" s="19">
        <f t="shared" si="52"/>
        <v>4.1874758523011382E-5</v>
      </c>
      <c r="V36" s="165"/>
      <c r="W36" s="166"/>
      <c r="X36" s="166"/>
      <c r="Y36" s="166"/>
      <c r="Z36" s="167" t="s">
        <v>171</v>
      </c>
      <c r="AA36" s="168">
        <f t="shared" si="61"/>
        <v>0</v>
      </c>
      <c r="AB36" s="169">
        <f t="shared" si="62"/>
        <v>0</v>
      </c>
      <c r="AC36" s="170"/>
      <c r="AD36" s="170"/>
      <c r="AE36" s="170"/>
      <c r="AF36" s="171"/>
      <c r="AG36" s="38"/>
      <c r="AO36" s="164">
        <f>SUM(AP35:AT36)/AM5</f>
        <v>1</v>
      </c>
      <c r="AP36" s="68" t="str">
        <f>IF(I18="Q",IF(M13="Q",0,1+IF(L13="Q",-0.25,0)),"")</f>
        <v/>
      </c>
      <c r="AQ36" s="163">
        <f t="shared" ref="AQ36:AS36" si="65">IF(J18="Q",IF(J13="Q",0,1+IF(K13="Q",-0.25,0)+IF(I13="Q",-0.25,0)),"")</f>
        <v>1</v>
      </c>
      <c r="AR36" s="163" t="str">
        <f t="shared" si="65"/>
        <v/>
      </c>
      <c r="AS36" s="163">
        <f t="shared" si="65"/>
        <v>1</v>
      </c>
      <c r="AT36" s="163" t="str">
        <f>IF(M18="Q",IF(I13="Q",0,1+IF(J13="Q",-0.25,0)),"")</f>
        <v/>
      </c>
    </row>
    <row r="37" spans="8:46" ht="15.75" customHeight="1" x14ac:dyDescent="0.35">
      <c r="Q37" s="19" t="s">
        <v>172</v>
      </c>
      <c r="R37" s="19"/>
      <c r="S37" s="19">
        <f>+SUM(S26:S36)</f>
        <v>0.52698293820367492</v>
      </c>
    </row>
    <row r="38" spans="8:46" ht="15.75" customHeight="1" x14ac:dyDescent="0.35">
      <c r="S38" s="19">
        <f>+S37+T34*(S37/(S37+U34))</f>
        <v>0.67411271356509228</v>
      </c>
    </row>
    <row r="39" spans="8:46" ht="15.75" customHeight="1" x14ac:dyDescent="0.35">
      <c r="N39">
        <f>COUNTIF(J11:M11,"*")</f>
        <v>3</v>
      </c>
    </row>
    <row r="40" spans="8:46" ht="15.75" customHeight="1" x14ac:dyDescent="0.35">
      <c r="O40" s="158"/>
    </row>
    <row r="41" spans="8:46" ht="15.75" customHeight="1" x14ac:dyDescent="0.35">
      <c r="O41" s="158"/>
    </row>
    <row r="42" spans="8:46" ht="15.75" customHeight="1" x14ac:dyDescent="0.35">
      <c r="O42" s="158"/>
    </row>
    <row r="43" spans="8:46" ht="15.75" customHeight="1" x14ac:dyDescent="0.35">
      <c r="O43" s="158"/>
    </row>
    <row r="44" spans="8:46" ht="15.75" customHeight="1" x14ac:dyDescent="0.35">
      <c r="O44" s="158"/>
    </row>
    <row r="45" spans="8:46" ht="15.75" customHeight="1" x14ac:dyDescent="0.35">
      <c r="O45" s="158"/>
    </row>
    <row r="46" spans="8:46" ht="15.75" customHeight="1" x14ac:dyDescent="0.35">
      <c r="O46" s="158"/>
    </row>
    <row r="47" spans="8:46" ht="15.75" customHeight="1" x14ac:dyDescent="0.35">
      <c r="O47" s="158"/>
    </row>
    <row r="48" spans="8:46" ht="15.75" customHeight="1" x14ac:dyDescent="0.35">
      <c r="O48" s="158"/>
    </row>
    <row r="49" spans="15:33" ht="15.75" customHeight="1" x14ac:dyDescent="0.35">
      <c r="O49" s="158"/>
    </row>
    <row r="50" spans="15:33" ht="15.75" customHeight="1" x14ac:dyDescent="0.35">
      <c r="O50" s="17"/>
      <c r="T50" s="33"/>
      <c r="U50" s="33"/>
      <c r="AB50" s="33"/>
      <c r="AC50" s="33"/>
      <c r="AD50" s="33"/>
    </row>
    <row r="51" spans="15:33" ht="15.75" customHeight="1" x14ac:dyDescent="0.35">
      <c r="O51" s="17"/>
      <c r="T51" s="33"/>
      <c r="U51" s="33"/>
      <c r="W51" s="172"/>
      <c r="X51" s="172"/>
      <c r="Y51" s="172"/>
      <c r="Z51" s="172"/>
      <c r="AA51" s="172"/>
      <c r="AB51" s="33"/>
      <c r="AC51" s="33"/>
      <c r="AD51" s="33"/>
    </row>
    <row r="52" spans="15:33" ht="15.75" customHeight="1" x14ac:dyDescent="0.35"/>
    <row r="53" spans="15:33" ht="15.75" customHeight="1" x14ac:dyDescent="0.35"/>
    <row r="54" spans="15:33" ht="15.75" customHeight="1" x14ac:dyDescent="0.35"/>
    <row r="55" spans="15:33" ht="15.75" customHeight="1" x14ac:dyDescent="0.35">
      <c r="T55" s="172"/>
      <c r="U55" s="172"/>
      <c r="X55" s="172"/>
      <c r="Y55" s="172"/>
      <c r="Z55" s="172"/>
      <c r="AA55" s="172"/>
      <c r="AB55" s="172"/>
      <c r="AC55" s="172"/>
      <c r="AD55" s="172"/>
    </row>
    <row r="56" spans="15:33" ht="15.75" customHeight="1" x14ac:dyDescent="0.35">
      <c r="T56" s="172"/>
      <c r="U56" s="172"/>
      <c r="X56" s="172"/>
      <c r="Y56" s="172"/>
      <c r="Z56" s="172"/>
      <c r="AA56" s="172"/>
      <c r="AB56" s="172"/>
      <c r="AC56" s="172"/>
      <c r="AD56" s="172"/>
    </row>
    <row r="57" spans="15:33" ht="15.75" customHeight="1" x14ac:dyDescent="0.35">
      <c r="T57" s="172"/>
      <c r="U57" s="172"/>
      <c r="X57" s="172"/>
      <c r="Y57" s="172"/>
      <c r="Z57" s="172"/>
      <c r="AA57" s="172"/>
      <c r="AB57" s="172"/>
      <c r="AC57" s="172"/>
      <c r="AD57" s="172"/>
    </row>
    <row r="58" spans="15:33" ht="15.75" customHeight="1" x14ac:dyDescent="0.35">
      <c r="T58" s="172"/>
      <c r="U58" s="172"/>
      <c r="X58" s="172"/>
      <c r="Y58" s="172"/>
      <c r="Z58" s="172"/>
      <c r="AA58" s="172"/>
      <c r="AB58" s="172"/>
      <c r="AC58" s="172"/>
      <c r="AD58" s="172"/>
    </row>
    <row r="59" spans="15:33" ht="15.75" customHeight="1" x14ac:dyDescent="0.35">
      <c r="T59" s="172"/>
      <c r="U59" s="172"/>
      <c r="V59" s="172"/>
      <c r="W59" s="172"/>
      <c r="X59" s="172"/>
      <c r="Y59" s="172"/>
      <c r="Z59" s="172"/>
      <c r="AA59" s="172"/>
      <c r="AB59" s="172"/>
      <c r="AC59" s="172"/>
      <c r="AD59" s="172"/>
      <c r="AE59" s="172"/>
      <c r="AF59" s="172"/>
      <c r="AG59" s="172"/>
    </row>
    <row r="60" spans="15:33" ht="15.75" customHeight="1" x14ac:dyDescent="0.35"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</row>
    <row r="61" spans="15:33" ht="15.75" customHeight="1" x14ac:dyDescent="0.35"/>
    <row r="62" spans="15:33" ht="15.75" customHeight="1" x14ac:dyDescent="0.35">
      <c r="T62" s="172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</row>
    <row r="63" spans="15:33" ht="15.75" customHeight="1" x14ac:dyDescent="0.35">
      <c r="T63" s="172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</row>
    <row r="64" spans="15:33" ht="15.75" customHeight="1" x14ac:dyDescent="0.35">
      <c r="T64" s="172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</row>
    <row r="65" spans="15:33" ht="15.75" customHeight="1" x14ac:dyDescent="0.35">
      <c r="T65" s="172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</row>
    <row r="66" spans="15:33" ht="15.75" customHeight="1" x14ac:dyDescent="0.35">
      <c r="T66" s="172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</row>
    <row r="67" spans="15:33" ht="15.75" customHeight="1" x14ac:dyDescent="0.35">
      <c r="T67" s="172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</row>
    <row r="68" spans="15:33" ht="15.75" customHeight="1" x14ac:dyDescent="0.35"/>
    <row r="69" spans="15:33" ht="15.75" customHeight="1" x14ac:dyDescent="0.35"/>
    <row r="70" spans="15:33" ht="15.75" customHeight="1" x14ac:dyDescent="0.35"/>
    <row r="71" spans="15:33" ht="15.75" customHeight="1" x14ac:dyDescent="0.35"/>
    <row r="72" spans="15:33" ht="15.75" customHeight="1" x14ac:dyDescent="0.35"/>
    <row r="73" spans="15:33" ht="15.75" customHeight="1" x14ac:dyDescent="0.35">
      <c r="P73" s="172"/>
      <c r="Q73" s="172"/>
      <c r="R73" s="172"/>
    </row>
    <row r="74" spans="15:33" ht="15.75" customHeight="1" x14ac:dyDescent="0.35">
      <c r="O74" s="172"/>
      <c r="P74" s="172"/>
      <c r="Q74" s="172"/>
      <c r="R74" s="172"/>
      <c r="S74" s="172"/>
    </row>
    <row r="75" spans="15:33" ht="15.75" customHeight="1" x14ac:dyDescent="0.35">
      <c r="O75" s="172"/>
      <c r="S75" s="172"/>
    </row>
    <row r="76" spans="15:33" ht="15.75" customHeight="1" x14ac:dyDescent="0.35">
      <c r="P76" s="172"/>
      <c r="Q76" s="172"/>
      <c r="R76" s="172"/>
    </row>
    <row r="77" spans="15:33" ht="15.75" customHeight="1" x14ac:dyDescent="0.35">
      <c r="O77" s="172"/>
      <c r="P77" s="172"/>
      <c r="Q77" s="172"/>
      <c r="R77" s="172"/>
      <c r="S77" s="172"/>
    </row>
    <row r="78" spans="15:33" ht="15.75" customHeight="1" x14ac:dyDescent="0.35">
      <c r="O78" s="172"/>
      <c r="P78" s="172"/>
      <c r="Q78" s="172"/>
      <c r="R78" s="172"/>
      <c r="S78" s="172"/>
    </row>
    <row r="79" spans="15:33" ht="15.75" customHeight="1" x14ac:dyDescent="0.35">
      <c r="O79" s="172"/>
      <c r="P79" s="172"/>
      <c r="Q79" s="172"/>
      <c r="R79" s="172"/>
      <c r="S79" s="172"/>
    </row>
    <row r="80" spans="15:33" ht="15.75" customHeight="1" x14ac:dyDescent="0.35">
      <c r="O80" s="172"/>
      <c r="P80" s="172"/>
      <c r="Q80" s="172"/>
      <c r="R80" s="172"/>
      <c r="S80" s="172"/>
    </row>
    <row r="81" spans="15:19" ht="15.75" customHeight="1" x14ac:dyDescent="0.35">
      <c r="O81" s="172"/>
      <c r="P81" s="172"/>
      <c r="Q81" s="172"/>
      <c r="R81" s="172"/>
      <c r="S81" s="172"/>
    </row>
    <row r="82" spans="15:19" ht="15.75" customHeight="1" x14ac:dyDescent="0.35">
      <c r="O82" s="172"/>
      <c r="S82" s="172"/>
    </row>
    <row r="83" spans="15:19" ht="15.75" customHeight="1" x14ac:dyDescent="0.35"/>
    <row r="84" spans="15:19" ht="15.75" customHeight="1" x14ac:dyDescent="0.35"/>
    <row r="85" spans="15:19" ht="15.75" customHeight="1" x14ac:dyDescent="0.35"/>
    <row r="86" spans="15:19" ht="15.75" customHeight="1" x14ac:dyDescent="0.35"/>
    <row r="87" spans="15:19" ht="15.75" customHeight="1" x14ac:dyDescent="0.35"/>
    <row r="88" spans="15:19" ht="15.75" customHeight="1" x14ac:dyDescent="0.35"/>
    <row r="89" spans="15:19" ht="15.75" customHeight="1" x14ac:dyDescent="0.35"/>
    <row r="90" spans="15:19" ht="15.75" customHeight="1" x14ac:dyDescent="0.35"/>
    <row r="91" spans="15:19" ht="15.75" customHeight="1" x14ac:dyDescent="0.35"/>
    <row r="92" spans="15:19" ht="15.75" customHeight="1" x14ac:dyDescent="0.35"/>
    <row r="93" spans="15:19" ht="15.75" customHeight="1" x14ac:dyDescent="0.35"/>
    <row r="94" spans="15:19" ht="15.75" customHeight="1" x14ac:dyDescent="0.35"/>
    <row r="95" spans="15:19" ht="15.75" customHeight="1" x14ac:dyDescent="0.35"/>
    <row r="96" spans="15:19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D4">
    <cfRule type="cellIs" dxfId="3" priority="1" operator="equal">
      <formula>"Percent"</formula>
    </cfRule>
    <cfRule type="cellIs" dxfId="2" priority="2" operator="equal">
      <formula>"Ratings"</formula>
    </cfRule>
  </conditionalFormatting>
  <conditionalFormatting sqref="J4">
    <cfRule type="cellIs" dxfId="1" priority="3" operator="equal">
      <formula>"Percent"</formula>
    </cfRule>
    <cfRule type="cellIs" dxfId="0" priority="4" operator="equal">
      <formula>"Ratings"</formula>
    </cfRule>
  </conditionalFormatting>
  <pageMargins left="0.7" right="0.7" top="0.75" bottom="0.75" header="0" footer="0"/>
  <pageSetup orientation="portrait" r:id="rId1"/>
  <ignoredErrors>
    <ignoredError sqref="AF15 AQ15:AR15" 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lkup_simul!$FZ$1:$FZ$2</xm:f>
          </x14:formula1>
          <xm:sqref>D4</xm:sqref>
        </x14:dataValidation>
        <x14:dataValidation type="list" allowBlank="1" showErrorMessage="1" xr:uid="{00000000-0002-0000-0000-000002000000}">
          <x14:formula1>
            <xm:f>lkup_simul!$GA$1:$GA$2</xm:f>
          </x14:formula1>
          <xm:sqref>J4</xm:sqref>
        </x14:dataValidation>
        <x14:dataValidation type="list" allowBlank="1" showErrorMessage="1" xr:uid="{00000000-0002-0000-0000-000004000000}">
          <x14:formula1>
            <xm:f>lkup_simul!$EX$1:$EX$7</xm:f>
          </x14:formula1>
          <xm:sqref>M7:M8</xm:sqref>
        </x14:dataValidation>
        <x14:dataValidation type="list" allowBlank="1" showErrorMessage="1" xr:uid="{00000000-0002-0000-0000-000005000000}">
          <x14:formula1>
            <xm:f>lkup_simul!$FW$2:$FW$7</xm:f>
          </x14:formula1>
          <xm:sqref>N20 K20 K14</xm:sqref>
        </x14:dataValidation>
        <x14:dataValidation type="list" allowBlank="1" showErrorMessage="1" xr:uid="{00000000-0002-0000-0000-000001000000}">
          <x14:formula1>
            <xm:f>lkup_simul!$FW$1:$FW$8</xm:f>
          </x14:formula1>
          <xm:sqref>J11:L11 J17:L17</xm:sqref>
        </x14:dataValidation>
        <x14:dataValidation type="list" allowBlank="1" showErrorMessage="1" xr:uid="{00000000-0002-0000-0000-000003000000}">
          <x14:formula1>
            <xm:f>lkup_simul!$FX$1:$FX$8</xm:f>
          </x14:formula1>
          <xm:sqref>J12:L12 J18:L18</xm:sqref>
        </x14:dataValidation>
        <x14:dataValidation type="list" allowBlank="1" showErrorMessage="1" xr:uid="{D68C488A-34EC-4000-883A-4B7F7A7B8022}">
          <x14:formula1>
            <xm:f>lkup_simul!$FW$1:$FW$7</xm:f>
          </x14:formula1>
          <xm:sqref>I12 M12 I13:M13 I19:M19 I18 M18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1000"/>
  <sheetViews>
    <sheetView topLeftCell="FI2" workbookViewId="0">
      <selection activeCell="FW1" sqref="FW1:FX1"/>
    </sheetView>
  </sheetViews>
  <sheetFormatPr defaultColWidth="14.453125" defaultRowHeight="15" customHeight="1" x14ac:dyDescent="0.35"/>
  <cols>
    <col min="1" max="57" width="8.7265625" customWidth="1"/>
    <col min="58" max="63" width="21" customWidth="1"/>
    <col min="64" max="183" width="8.7265625" customWidth="1"/>
  </cols>
  <sheetData>
    <row r="1" spans="1:183" ht="72.5" x14ac:dyDescent="0.35">
      <c r="A1" s="15" t="s">
        <v>173</v>
      </c>
      <c r="N1" s="15" t="s">
        <v>99</v>
      </c>
      <c r="O1" s="6" t="s">
        <v>174</v>
      </c>
      <c r="P1" s="6" t="s">
        <v>175</v>
      </c>
      <c r="Q1" s="6" t="s">
        <v>176</v>
      </c>
      <c r="R1" s="6"/>
      <c r="S1" s="6" t="s">
        <v>177</v>
      </c>
      <c r="T1" s="6"/>
      <c r="U1" s="173"/>
      <c r="V1" s="174"/>
      <c r="W1" s="174"/>
      <c r="X1" s="174"/>
      <c r="Y1" s="174"/>
      <c r="Z1" s="175"/>
      <c r="AA1" s="11"/>
      <c r="AB1" s="12"/>
      <c r="AC1" s="12"/>
      <c r="AD1" s="12"/>
      <c r="AE1" s="12"/>
      <c r="AF1" s="176"/>
      <c r="AZ1" s="177" t="s">
        <v>178</v>
      </c>
      <c r="BA1" s="177" t="s">
        <v>179</v>
      </c>
      <c r="BB1" s="44" t="s">
        <v>180</v>
      </c>
      <c r="BC1" s="44" t="s">
        <v>181</v>
      </c>
      <c r="BD1" s="44" t="s">
        <v>182</v>
      </c>
      <c r="BE1" s="44" t="s">
        <v>183</v>
      </c>
      <c r="BF1" s="178" t="s">
        <v>184</v>
      </c>
      <c r="BG1" s="179"/>
      <c r="BH1" s="179" t="s">
        <v>185</v>
      </c>
      <c r="BI1" s="179" t="s">
        <v>186</v>
      </c>
      <c r="BJ1" s="179"/>
      <c r="BK1" s="179"/>
      <c r="DA1" s="15" t="s">
        <v>187</v>
      </c>
      <c r="DE1" s="15" t="s">
        <v>187</v>
      </c>
      <c r="EX1" s="15" t="s">
        <v>76</v>
      </c>
      <c r="FW1" s="240" t="s">
        <v>233</v>
      </c>
      <c r="FX1" t="s">
        <v>233</v>
      </c>
      <c r="FZ1" s="15" t="s">
        <v>56</v>
      </c>
      <c r="GA1" s="15" t="s">
        <v>25</v>
      </c>
    </row>
    <row r="2" spans="1:183" ht="14.5" x14ac:dyDescent="0.35">
      <c r="N2" s="34">
        <v>0</v>
      </c>
      <c r="O2" s="6"/>
      <c r="P2" s="6"/>
      <c r="Q2" s="6"/>
      <c r="R2" s="33">
        <v>0.11</v>
      </c>
      <c r="S2" s="33"/>
      <c r="T2" s="6"/>
      <c r="U2" s="180"/>
      <c r="V2" s="181"/>
      <c r="W2" s="181"/>
      <c r="X2" s="181"/>
      <c r="Y2" s="181"/>
      <c r="Z2" s="182"/>
      <c r="AA2" s="155"/>
      <c r="AB2" s="183"/>
      <c r="AC2" s="130"/>
      <c r="AD2" s="130"/>
      <c r="AE2" s="130"/>
      <c r="AF2" s="143"/>
      <c r="BA2" s="172">
        <v>4.2000000000000003E-2</v>
      </c>
      <c r="BB2" s="15" t="s">
        <v>188</v>
      </c>
      <c r="BE2" s="33"/>
      <c r="BF2" s="172">
        <f t="shared" ref="BF2:BF5" si="0">+BA2/3</f>
        <v>1.4E-2</v>
      </c>
      <c r="BG2" s="172"/>
      <c r="BH2" s="15" t="s">
        <v>188</v>
      </c>
      <c r="BI2" s="172">
        <f t="shared" ref="BI2:BI5" si="1">BF2</f>
        <v>1.4E-2</v>
      </c>
      <c r="BJ2" s="172"/>
      <c r="BK2" s="172"/>
      <c r="DP2" s="15" t="s">
        <v>189</v>
      </c>
      <c r="DQ2" s="15" t="s">
        <v>190</v>
      </c>
      <c r="DR2" s="15" t="s">
        <v>191</v>
      </c>
      <c r="DY2" s="184" t="s">
        <v>192</v>
      </c>
      <c r="DZ2" s="184" t="s">
        <v>177</v>
      </c>
      <c r="EB2" s="184" t="s">
        <v>63</v>
      </c>
      <c r="EC2" s="184" t="s">
        <v>193</v>
      </c>
      <c r="EX2" s="15" t="s">
        <v>83</v>
      </c>
      <c r="FP2" s="15" t="s">
        <v>99</v>
      </c>
      <c r="FQ2" s="15" t="s">
        <v>194</v>
      </c>
      <c r="FS2" s="15" t="s">
        <v>167</v>
      </c>
      <c r="FT2" s="15" t="s">
        <v>195</v>
      </c>
      <c r="FW2" s="15" t="s">
        <v>104</v>
      </c>
      <c r="FX2" s="15" t="s">
        <v>104</v>
      </c>
      <c r="FZ2" s="15" t="s">
        <v>23</v>
      </c>
      <c r="GA2" s="15" t="s">
        <v>196</v>
      </c>
    </row>
    <row r="3" spans="1:183" ht="29" x14ac:dyDescent="0.35">
      <c r="N3" s="34">
        <v>1</v>
      </c>
      <c r="O3" s="6">
        <v>2788</v>
      </c>
      <c r="P3" s="6">
        <v>5737</v>
      </c>
      <c r="Q3" s="6">
        <v>182</v>
      </c>
      <c r="R3" s="33">
        <f t="shared" ref="R3:R16" si="2">S3</f>
        <v>3.873239436619718E-2</v>
      </c>
      <c r="S3" s="185">
        <v>3.873239436619718E-2</v>
      </c>
      <c r="T3" s="6"/>
      <c r="U3" s="180"/>
      <c r="V3" s="181"/>
      <c r="W3" s="181"/>
      <c r="X3" s="181"/>
      <c r="Y3" s="181"/>
      <c r="Z3" s="182"/>
      <c r="AA3" s="155"/>
      <c r="AB3" s="183"/>
      <c r="AC3" s="130"/>
      <c r="AD3" s="130"/>
      <c r="AE3" s="130"/>
      <c r="AF3" s="143"/>
      <c r="BA3" s="172">
        <v>9.7000000000000003E-2</v>
      </c>
      <c r="BB3" s="44" t="s">
        <v>197</v>
      </c>
      <c r="BE3" s="33"/>
      <c r="BF3" s="172">
        <f t="shared" si="0"/>
        <v>3.2333333333333332E-2</v>
      </c>
      <c r="BG3" s="172"/>
      <c r="BH3" s="44" t="s">
        <v>197</v>
      </c>
      <c r="BI3" s="172">
        <f t="shared" si="1"/>
        <v>3.2333333333333332E-2</v>
      </c>
      <c r="BJ3" s="172"/>
      <c r="BK3" s="172"/>
      <c r="BY3" s="15" t="s">
        <v>198</v>
      </c>
      <c r="DP3" s="15">
        <v>0</v>
      </c>
      <c r="DQ3" s="15">
        <v>0</v>
      </c>
      <c r="DR3" s="15">
        <v>0</v>
      </c>
      <c r="DS3" s="15">
        <v>0</v>
      </c>
      <c r="DT3" s="15">
        <v>0</v>
      </c>
      <c r="DV3" s="15">
        <v>-99</v>
      </c>
      <c r="DX3" s="15">
        <v>-38.5</v>
      </c>
      <c r="DY3" s="186">
        <v>-99</v>
      </c>
      <c r="DZ3" s="187">
        <v>0.22</v>
      </c>
      <c r="EB3" s="186">
        <v>0</v>
      </c>
      <c r="EC3" s="187">
        <v>1.37</v>
      </c>
      <c r="EM3" s="188" t="s">
        <v>199</v>
      </c>
      <c r="EN3" s="188">
        <v>7</v>
      </c>
      <c r="EO3" s="188">
        <v>8</v>
      </c>
      <c r="EP3" s="188">
        <v>9</v>
      </c>
      <c r="EQ3" s="188">
        <v>10</v>
      </c>
      <c r="EX3" s="15" t="s">
        <v>163</v>
      </c>
      <c r="FA3" s="184" t="s">
        <v>200</v>
      </c>
      <c r="FB3" s="184">
        <v>2</v>
      </c>
      <c r="FC3" s="184">
        <v>3</v>
      </c>
      <c r="FD3" s="184">
        <v>4</v>
      </c>
      <c r="FE3" s="184">
        <v>5</v>
      </c>
      <c r="FF3" s="184" t="s">
        <v>119</v>
      </c>
      <c r="FH3" s="184" t="s">
        <v>201</v>
      </c>
      <c r="FI3" s="184" t="s">
        <v>202</v>
      </c>
      <c r="FJ3" s="184" t="s">
        <v>203</v>
      </c>
      <c r="FK3" s="184" t="s">
        <v>204</v>
      </c>
      <c r="FL3" s="184" t="s">
        <v>205</v>
      </c>
      <c r="FM3" s="184" t="s">
        <v>206</v>
      </c>
      <c r="FN3" s="184" t="s">
        <v>207</v>
      </c>
      <c r="FP3" s="15">
        <v>0</v>
      </c>
      <c r="FQ3" s="15">
        <v>0</v>
      </c>
      <c r="FS3" s="15">
        <v>0</v>
      </c>
      <c r="FT3" s="15">
        <v>0</v>
      </c>
      <c r="FW3" s="15" t="s">
        <v>52</v>
      </c>
      <c r="FX3" s="15" t="s">
        <v>52</v>
      </c>
    </row>
    <row r="4" spans="1:183" ht="26" x14ac:dyDescent="0.35">
      <c r="N4" s="34">
        <v>3</v>
      </c>
      <c r="O4" s="6">
        <v>3118</v>
      </c>
      <c r="P4" s="6">
        <v>5267</v>
      </c>
      <c r="Q4" s="6">
        <v>273</v>
      </c>
      <c r="R4" s="33">
        <f t="shared" si="2"/>
        <v>5.0018389113644722E-2</v>
      </c>
      <c r="S4" s="185">
        <v>5.0018389113644722E-2</v>
      </c>
      <c r="T4" s="6"/>
      <c r="U4" s="180"/>
      <c r="V4" s="181"/>
      <c r="W4" s="181" t="s">
        <v>208</v>
      </c>
      <c r="X4" s="181">
        <v>0</v>
      </c>
      <c r="Y4" s="181">
        <v>0</v>
      </c>
      <c r="Z4" s="182"/>
      <c r="AA4" s="155"/>
      <c r="AB4" s="130"/>
      <c r="AC4" s="130"/>
      <c r="AD4" s="130"/>
      <c r="AE4" s="130"/>
      <c r="AF4" s="143"/>
      <c r="AJ4" s="15" t="s">
        <v>31</v>
      </c>
      <c r="AK4" s="15" t="s">
        <v>209</v>
      </c>
      <c r="AL4" s="15" t="s">
        <v>210</v>
      </c>
      <c r="AM4" s="15" t="s">
        <v>34</v>
      </c>
      <c r="AN4" s="15" t="s">
        <v>35</v>
      </c>
      <c r="AO4" s="15" t="s">
        <v>36</v>
      </c>
      <c r="BA4" s="172">
        <v>0.20300000000000001</v>
      </c>
      <c r="BB4" s="15" t="s">
        <v>211</v>
      </c>
      <c r="BE4" s="33"/>
      <c r="BF4" s="172">
        <f t="shared" si="0"/>
        <v>6.7666666666666667E-2</v>
      </c>
      <c r="BG4" s="172"/>
      <c r="BH4" s="15" t="s">
        <v>211</v>
      </c>
      <c r="BI4" s="172">
        <f t="shared" si="1"/>
        <v>6.7666666666666667E-2</v>
      </c>
      <c r="BJ4" s="172"/>
      <c r="BK4" s="172"/>
      <c r="BM4" s="189"/>
      <c r="BN4" s="190"/>
      <c r="BO4" s="190"/>
      <c r="BP4" s="190"/>
      <c r="BQ4" s="191"/>
      <c r="BY4" s="44" t="s">
        <v>180</v>
      </c>
      <c r="BZ4" s="44" t="s">
        <v>48</v>
      </c>
      <c r="CA4" s="44" t="s">
        <v>99</v>
      </c>
      <c r="CB4" s="44" t="s">
        <v>212</v>
      </c>
      <c r="CC4" s="44" t="s">
        <v>213</v>
      </c>
      <c r="CD4" s="44" t="s">
        <v>214</v>
      </c>
      <c r="CE4" s="192" t="s">
        <v>215</v>
      </c>
      <c r="CI4" s="44" t="s">
        <v>216</v>
      </c>
      <c r="CJ4" s="44" t="s">
        <v>217</v>
      </c>
      <c r="CK4" s="44" t="s">
        <v>218</v>
      </c>
      <c r="CL4" s="44" t="s">
        <v>219</v>
      </c>
      <c r="CM4" s="44" t="s">
        <v>220</v>
      </c>
      <c r="CN4" s="44" t="s">
        <v>221</v>
      </c>
      <c r="CO4" s="179" t="s">
        <v>215</v>
      </c>
      <c r="CP4" s="179"/>
      <c r="CR4" s="44" t="s">
        <v>222</v>
      </c>
      <c r="CS4" s="44" t="s">
        <v>217</v>
      </c>
      <c r="CT4" s="44" t="s">
        <v>218</v>
      </c>
      <c r="CU4" s="44" t="s">
        <v>219</v>
      </c>
      <c r="CV4" s="44" t="s">
        <v>223</v>
      </c>
      <c r="CW4" s="44" t="s">
        <v>221</v>
      </c>
      <c r="CX4" s="192" t="s">
        <v>215</v>
      </c>
      <c r="DA4" s="193" t="s">
        <v>224</v>
      </c>
      <c r="DB4" s="193" t="s">
        <v>177</v>
      </c>
      <c r="DC4" s="194"/>
      <c r="DD4" s="194"/>
      <c r="DE4" s="193" t="s">
        <v>225</v>
      </c>
      <c r="DF4" s="193" t="s">
        <v>226</v>
      </c>
      <c r="DH4" s="45" t="s">
        <v>225</v>
      </c>
      <c r="DI4" s="45" t="s">
        <v>227</v>
      </c>
      <c r="DJ4" s="15" t="s">
        <v>228</v>
      </c>
      <c r="DK4" s="15" t="s">
        <v>228</v>
      </c>
      <c r="DL4" s="15" t="s">
        <v>228</v>
      </c>
      <c r="DM4" s="15" t="s">
        <v>228</v>
      </c>
      <c r="DN4" s="15" t="s">
        <v>228</v>
      </c>
      <c r="DP4" s="15">
        <v>1</v>
      </c>
      <c r="DQ4" s="43">
        <v>1</v>
      </c>
      <c r="DR4" s="15">
        <v>1</v>
      </c>
      <c r="DS4" s="43">
        <f t="shared" ref="DS4:DT4" si="3">$DP4*DQ4</f>
        <v>1</v>
      </c>
      <c r="DT4" s="43">
        <f t="shared" si="3"/>
        <v>1</v>
      </c>
      <c r="DV4" s="15">
        <v>-40</v>
      </c>
      <c r="DX4" s="15">
        <f t="shared" ref="DX4:DX19" si="4">DY4+1.5</f>
        <v>-34.5</v>
      </c>
      <c r="DY4" s="186">
        <v>-36</v>
      </c>
      <c r="DZ4" s="187">
        <v>0.25</v>
      </c>
      <c r="EB4" s="186">
        <v>3.5</v>
      </c>
      <c r="EC4" s="187">
        <v>1.33</v>
      </c>
      <c r="EE4" s="45" t="s">
        <v>225</v>
      </c>
      <c r="EF4" s="45" t="s">
        <v>227</v>
      </c>
      <c r="EG4" s="15" t="s">
        <v>228</v>
      </c>
      <c r="EH4" s="15" t="s">
        <v>228</v>
      </c>
      <c r="EI4" s="15" t="s">
        <v>228</v>
      </c>
      <c r="EJ4" s="15" t="s">
        <v>228</v>
      </c>
      <c r="EK4" s="15" t="s">
        <v>228</v>
      </c>
      <c r="EM4" s="195">
        <v>-4</v>
      </c>
      <c r="EN4" s="195"/>
      <c r="EO4" s="195"/>
      <c r="EP4" s="195"/>
      <c r="EQ4" s="196">
        <v>0.47</v>
      </c>
      <c r="ES4" s="172" t="e">
        <f t="shared" ref="ES4:EV4" si="5">EN14/EN4-1</f>
        <v>#DIV/0!</v>
      </c>
      <c r="ET4" s="172" t="e">
        <f t="shared" si="5"/>
        <v>#DIV/0!</v>
      </c>
      <c r="EU4" s="172" t="e">
        <f t="shared" si="5"/>
        <v>#DIV/0!</v>
      </c>
      <c r="EV4" s="172">
        <f t="shared" si="5"/>
        <v>0.36170212765957466</v>
      </c>
      <c r="EX4" s="15" t="s">
        <v>165</v>
      </c>
      <c r="FA4" s="186">
        <v>0</v>
      </c>
      <c r="FB4" s="187">
        <v>0.96</v>
      </c>
      <c r="FC4" s="187">
        <v>0.91</v>
      </c>
      <c r="FD4" s="187">
        <v>0.81</v>
      </c>
      <c r="FE4" s="187">
        <v>0.74</v>
      </c>
      <c r="FF4" s="187">
        <v>0.87</v>
      </c>
      <c r="FH4" s="186" t="s">
        <v>229</v>
      </c>
      <c r="FI4" s="186">
        <v>888</v>
      </c>
      <c r="FJ4" s="187">
        <v>0.52</v>
      </c>
      <c r="FK4" s="187">
        <v>0.9</v>
      </c>
      <c r="FL4" s="187">
        <v>0.85</v>
      </c>
      <c r="FM4" s="186">
        <v>1.97</v>
      </c>
      <c r="FN4" s="186">
        <v>18.8</v>
      </c>
      <c r="FP4" s="15">
        <v>1</v>
      </c>
      <c r="FQ4" s="33">
        <f>FQ5+0.5%</f>
        <v>0.56500000000000006</v>
      </c>
      <c r="FS4" s="15">
        <v>1</v>
      </c>
      <c r="FT4" s="43">
        <v>0.9</v>
      </c>
      <c r="FW4" s="15" t="s">
        <v>79</v>
      </c>
      <c r="FX4" s="15" t="s">
        <v>79</v>
      </c>
    </row>
    <row r="5" spans="1:183" ht="39" x14ac:dyDescent="0.35">
      <c r="N5" s="34">
        <v>4</v>
      </c>
      <c r="O5" s="6">
        <v>4039</v>
      </c>
      <c r="P5" s="6">
        <v>5620</v>
      </c>
      <c r="Q5" s="6">
        <v>437</v>
      </c>
      <c r="R5" s="33">
        <f t="shared" si="2"/>
        <v>6.5279770444763269E-2</v>
      </c>
      <c r="S5" s="185">
        <v>6.5279770444763269E-2</v>
      </c>
      <c r="T5" s="6"/>
      <c r="U5" s="180"/>
      <c r="V5" s="181"/>
      <c r="W5" s="181" t="s">
        <v>230</v>
      </c>
      <c r="X5" s="181">
        <v>0</v>
      </c>
      <c r="Y5" s="181">
        <v>0</v>
      </c>
      <c r="Z5" s="182"/>
      <c r="AA5" s="155"/>
      <c r="AB5" s="130"/>
      <c r="AC5" s="130"/>
      <c r="AD5" s="130"/>
      <c r="AE5" s="130"/>
      <c r="AF5" s="143"/>
      <c r="BA5" s="172">
        <v>0.29199999999999998</v>
      </c>
      <c r="BB5" s="15" t="s">
        <v>231</v>
      </c>
      <c r="BE5" s="33"/>
      <c r="BF5" s="172">
        <f t="shared" si="0"/>
        <v>9.7333333333333327E-2</v>
      </c>
      <c r="BG5" s="172"/>
      <c r="BH5" s="15" t="s">
        <v>231</v>
      </c>
      <c r="BI5" s="172">
        <f t="shared" si="1"/>
        <v>9.7333333333333327E-2</v>
      </c>
      <c r="BJ5" s="172"/>
      <c r="BK5" s="172"/>
      <c r="BM5" s="44" t="s">
        <v>232</v>
      </c>
      <c r="BN5" s="44" t="s">
        <v>233</v>
      </c>
      <c r="BO5" s="44" t="s">
        <v>105</v>
      </c>
      <c r="BP5" s="44" t="s">
        <v>48</v>
      </c>
      <c r="BQ5" s="44" t="s">
        <v>234</v>
      </c>
      <c r="BS5" s="44" t="s">
        <v>232</v>
      </c>
      <c r="BT5" s="44" t="s">
        <v>233</v>
      </c>
      <c r="BU5" s="44" t="s">
        <v>235</v>
      </c>
      <c r="BV5" s="44" t="s">
        <v>236</v>
      </c>
      <c r="BY5" s="56">
        <v>2</v>
      </c>
      <c r="BZ5" s="56">
        <v>20</v>
      </c>
      <c r="CA5" s="56">
        <v>1</v>
      </c>
      <c r="CB5" s="56">
        <v>0</v>
      </c>
      <c r="CC5" s="197">
        <f t="shared" ref="CC5:CC32" si="6">CA5/(BZ5+CA5)</f>
        <v>4.7619047619047616E-2</v>
      </c>
      <c r="CD5" s="198">
        <v>0</v>
      </c>
      <c r="CE5" s="33">
        <f t="shared" ref="CE5:CE11" si="7">CE6-1.5%</f>
        <v>3.5000000000000003E-2</v>
      </c>
      <c r="CF5" s="199">
        <f t="shared" ref="CF5:CF13" si="8">CF6-0.025%</f>
        <v>4.2499999999999977E-3</v>
      </c>
      <c r="CH5" s="15">
        <v>1</v>
      </c>
      <c r="CI5" s="56" t="s">
        <v>237</v>
      </c>
      <c r="CJ5" s="56">
        <v>631</v>
      </c>
      <c r="CK5" s="56">
        <v>441</v>
      </c>
      <c r="CL5" s="56">
        <v>189</v>
      </c>
      <c r="CM5" s="197">
        <v>0.59</v>
      </c>
      <c r="CN5" s="200">
        <f t="shared" ref="CN5:CN19" si="9">CL5/(CK5+CL5)</f>
        <v>0.3</v>
      </c>
      <c r="CO5" s="201">
        <v>0.3</v>
      </c>
      <c r="CP5" s="202"/>
      <c r="CQ5" s="56">
        <v>1</v>
      </c>
      <c r="CR5" s="56" t="s">
        <v>238</v>
      </c>
      <c r="CS5" s="56">
        <v>229</v>
      </c>
      <c r="CT5" s="56">
        <v>618</v>
      </c>
      <c r="CU5" s="56">
        <v>147</v>
      </c>
      <c r="CV5" s="197">
        <v>0.73</v>
      </c>
      <c r="CW5" s="197">
        <v>0.39</v>
      </c>
      <c r="CX5" s="203">
        <v>0.39</v>
      </c>
      <c r="DA5" s="56">
        <v>-11</v>
      </c>
      <c r="DB5" s="198">
        <v>0</v>
      </c>
      <c r="DC5" s="194"/>
      <c r="DD5" s="194">
        <f>-46-0.5</f>
        <v>-46.5</v>
      </c>
      <c r="DE5" s="56" t="s">
        <v>239</v>
      </c>
      <c r="DF5" s="56">
        <v>0.40600000000000003</v>
      </c>
      <c r="DH5" s="45">
        <v>-99</v>
      </c>
      <c r="DI5" s="204">
        <v>0.4</v>
      </c>
      <c r="DP5" s="15">
        <v>2</v>
      </c>
      <c r="DQ5" s="43">
        <v>0.95</v>
      </c>
      <c r="DR5" s="186">
        <v>0.9</v>
      </c>
      <c r="DS5" s="43">
        <f t="shared" ref="DS5:DT5" si="10">$DP5*DQ5</f>
        <v>1.9</v>
      </c>
      <c r="DT5" s="43">
        <f t="shared" si="10"/>
        <v>1.8</v>
      </c>
      <c r="DV5" s="15">
        <v>0.39</v>
      </c>
      <c r="DX5" s="15">
        <f t="shared" si="4"/>
        <v>-30.5</v>
      </c>
      <c r="DY5" s="186">
        <v>-32</v>
      </c>
      <c r="DZ5" s="187">
        <v>0.28000000000000003</v>
      </c>
      <c r="EB5" s="186">
        <v>4</v>
      </c>
      <c r="EC5" s="187">
        <v>1.29</v>
      </c>
      <c r="EE5" s="45">
        <v>-99</v>
      </c>
      <c r="EF5" s="204">
        <f t="shared" ref="EF5:EF7" si="11">EF6-(EF7-EF6)</f>
        <v>0.20124999999999998</v>
      </c>
      <c r="EM5" s="195">
        <v>0</v>
      </c>
      <c r="EN5" s="195"/>
      <c r="EO5" s="196">
        <v>0.55000000000000004</v>
      </c>
      <c r="EP5" s="196">
        <v>0.54</v>
      </c>
      <c r="EQ5" s="196">
        <v>0.46</v>
      </c>
      <c r="ES5" s="172" t="e">
        <f t="shared" ref="ES5:EV5" si="12">EN15/EN5-1</f>
        <v>#DIV/0!</v>
      </c>
      <c r="ET5" s="172">
        <f t="shared" si="12"/>
        <v>0.25454545454545441</v>
      </c>
      <c r="EU5" s="172">
        <f t="shared" si="12"/>
        <v>0.2222222222222221</v>
      </c>
      <c r="EV5" s="172">
        <f t="shared" si="12"/>
        <v>0.63043478260869557</v>
      </c>
      <c r="EX5" s="15" t="s">
        <v>167</v>
      </c>
      <c r="FA5" s="186">
        <v>1</v>
      </c>
      <c r="FB5" s="187">
        <v>0.04</v>
      </c>
      <c r="FC5" s="187">
        <v>0.09</v>
      </c>
      <c r="FD5" s="187">
        <v>0.17</v>
      </c>
      <c r="FE5" s="187">
        <v>0.23</v>
      </c>
      <c r="FF5" s="187">
        <v>0.12</v>
      </c>
      <c r="FH5" s="186" t="s">
        <v>240</v>
      </c>
      <c r="FI5" s="186">
        <v>113</v>
      </c>
      <c r="FJ5" s="187">
        <v>0.48</v>
      </c>
      <c r="FK5" s="187">
        <v>0.96</v>
      </c>
      <c r="FL5" s="187">
        <v>1.05</v>
      </c>
      <c r="FM5" s="186">
        <v>2.2599999999999998</v>
      </c>
      <c r="FN5" s="186">
        <v>17.5</v>
      </c>
      <c r="FP5" s="15">
        <v>8</v>
      </c>
      <c r="FQ5" s="33">
        <v>0.56000000000000005</v>
      </c>
      <c r="FS5" s="15">
        <v>5</v>
      </c>
      <c r="FT5" s="43">
        <f t="shared" ref="FT5:FT12" si="13">FT4+0.025</f>
        <v>0.92500000000000004</v>
      </c>
      <c r="FW5" s="15" t="s">
        <v>145</v>
      </c>
      <c r="FX5" s="15" t="s">
        <v>145</v>
      </c>
    </row>
    <row r="6" spans="1:183" ht="26" x14ac:dyDescent="0.35">
      <c r="A6" s="15" t="s">
        <v>241</v>
      </c>
      <c r="G6" s="15" t="s">
        <v>167</v>
      </c>
      <c r="H6" s="15" t="s">
        <v>242</v>
      </c>
      <c r="I6" s="15" t="s">
        <v>243</v>
      </c>
      <c r="N6" s="34">
        <v>5</v>
      </c>
      <c r="O6" s="6">
        <v>4434</v>
      </c>
      <c r="P6" s="6">
        <v>5492</v>
      </c>
      <c r="Q6" s="6">
        <v>611</v>
      </c>
      <c r="R6" s="33">
        <f t="shared" si="2"/>
        <v>8.7556125721616418E-2</v>
      </c>
      <c r="S6" s="185">
        <v>8.7556125721616418E-2</v>
      </c>
      <c r="T6" s="6"/>
      <c r="U6" s="180"/>
      <c r="V6" s="181"/>
      <c r="W6" s="181" t="s">
        <v>244</v>
      </c>
      <c r="X6" s="181">
        <v>0</v>
      </c>
      <c r="Y6" s="181">
        <v>0</v>
      </c>
      <c r="Z6" s="182"/>
      <c r="AA6" s="155"/>
      <c r="AB6" s="130"/>
      <c r="AC6" s="130"/>
      <c r="AD6" s="130"/>
      <c r="AE6" s="130"/>
      <c r="AF6" s="143"/>
      <c r="BH6" s="15">
        <v>0</v>
      </c>
      <c r="BI6" s="33">
        <f t="shared" ref="BI6:BI79" si="14">IF(MOD(BH6*2,2)=1,AVERAGE(BI5,BI7),VLOOKUP(BH6,$BB:$BF,5,FALSE))</f>
        <v>0</v>
      </c>
      <c r="BM6" s="56" t="s">
        <v>245</v>
      </c>
      <c r="BN6" s="56">
        <v>5754</v>
      </c>
      <c r="BO6" s="200">
        <v>8.4000000000000005E-2</v>
      </c>
      <c r="BP6" s="200">
        <v>0.06</v>
      </c>
      <c r="BQ6" s="200">
        <v>6.0999999999999999E-2</v>
      </c>
      <c r="BS6" s="56" t="s">
        <v>245</v>
      </c>
      <c r="BT6" s="56">
        <v>54345</v>
      </c>
      <c r="BU6" s="198">
        <v>5.96E-2</v>
      </c>
      <c r="BV6" s="198">
        <v>0.06</v>
      </c>
      <c r="BY6" s="56">
        <v>3</v>
      </c>
      <c r="BZ6" s="56">
        <v>6</v>
      </c>
      <c r="CA6" s="56">
        <v>0</v>
      </c>
      <c r="CB6" s="56">
        <v>0</v>
      </c>
      <c r="CC6" s="197">
        <f t="shared" si="6"/>
        <v>0</v>
      </c>
      <c r="CD6" s="198">
        <v>0</v>
      </c>
      <c r="CE6" s="33">
        <f t="shared" si="7"/>
        <v>0.05</v>
      </c>
      <c r="CF6" s="199">
        <f t="shared" si="8"/>
        <v>4.4999999999999979E-3</v>
      </c>
      <c r="CH6" s="15">
        <f t="shared" ref="CH6:CH18" si="15">CI6</f>
        <v>17</v>
      </c>
      <c r="CI6" s="56">
        <v>17</v>
      </c>
      <c r="CJ6" s="56">
        <v>471</v>
      </c>
      <c r="CK6" s="56">
        <v>283</v>
      </c>
      <c r="CL6" s="56">
        <v>155</v>
      </c>
      <c r="CM6" s="197">
        <v>0.62</v>
      </c>
      <c r="CN6" s="200">
        <f t="shared" si="9"/>
        <v>0.35388127853881279</v>
      </c>
      <c r="CO6" s="201">
        <v>0.33</v>
      </c>
      <c r="CP6" s="202"/>
      <c r="CQ6" s="15">
        <f t="shared" ref="CQ6:CQ20" si="16">CR6</f>
        <v>14</v>
      </c>
      <c r="CR6" s="56">
        <v>14</v>
      </c>
      <c r="CS6" s="56">
        <v>195</v>
      </c>
      <c r="CT6" s="56">
        <v>620</v>
      </c>
      <c r="CU6" s="56">
        <v>146</v>
      </c>
      <c r="CV6" s="197">
        <v>0.76</v>
      </c>
      <c r="CW6" s="197">
        <v>0.43</v>
      </c>
      <c r="CX6" s="172">
        <v>0.43</v>
      </c>
      <c r="DA6" s="56">
        <v>-6</v>
      </c>
      <c r="DB6" s="198">
        <v>1.2999999999999999E-2</v>
      </c>
      <c r="DC6" s="194"/>
      <c r="DD6" s="194">
        <f t="shared" ref="DD6:DD22" si="17">+AVERAGE(DE6,DE7)-0.5</f>
        <v>-42.5</v>
      </c>
      <c r="DE6" s="56">
        <v>-44</v>
      </c>
      <c r="DF6" s="56">
        <v>0.47299999999999998</v>
      </c>
      <c r="DH6" s="45">
        <v>-46</v>
      </c>
      <c r="DI6" s="204">
        <f t="shared" ref="DI6:DI81" si="18">DL6*DN6+DM6*(1-DL6)</f>
        <v>0.41437499999999999</v>
      </c>
      <c r="DJ6" s="15">
        <f t="shared" ref="DJ6:DJ82" si="19">VLOOKUP(DH6,$DD$5:$DD$24,1,TRUE)</f>
        <v>-46.5</v>
      </c>
      <c r="DK6" s="15">
        <f t="shared" ref="DK6:DK82" si="20">VLOOKUP(DH6,$DD$5:$DD$24,1,TRUE)+4</f>
        <v>-42.5</v>
      </c>
      <c r="DL6" s="15">
        <f t="shared" ref="DL6:DL82" si="21">(DH6-DJ6)/(DK6-DJ6)</f>
        <v>0.125</v>
      </c>
      <c r="DM6" s="15">
        <f t="shared" ref="DM6:DN6" si="22">VLOOKUP(DJ6,$DD$5:$DF$24,3,FALSE)</f>
        <v>0.40600000000000003</v>
      </c>
      <c r="DN6" s="15">
        <f t="shared" si="22"/>
        <v>0.47299999999999998</v>
      </c>
      <c r="DP6" s="15">
        <f t="shared" ref="DP6:DP13" si="23">DP5+1</f>
        <v>3</v>
      </c>
      <c r="DQ6" s="43">
        <f>DQ5-0.04</f>
        <v>0.90999999999999992</v>
      </c>
      <c r="DR6" s="186">
        <v>0.87</v>
      </c>
      <c r="DS6" s="43">
        <f t="shared" ref="DS6:DT6" si="24">$DP6*DQ6</f>
        <v>2.7299999999999995</v>
      </c>
      <c r="DT6" s="43">
        <f t="shared" si="24"/>
        <v>2.61</v>
      </c>
      <c r="DX6" s="15">
        <f t="shared" si="4"/>
        <v>-26.5</v>
      </c>
      <c r="DY6" s="186">
        <v>-28</v>
      </c>
      <c r="DZ6" s="187">
        <v>0.31</v>
      </c>
      <c r="EB6" s="186">
        <v>4.5</v>
      </c>
      <c r="EC6" s="187">
        <v>1.25</v>
      </c>
      <c r="EE6" s="45">
        <v>-40</v>
      </c>
      <c r="EF6" s="204">
        <f t="shared" si="11"/>
        <v>0.20874999999999999</v>
      </c>
      <c r="EG6" s="15">
        <f t="shared" ref="EG6:EG76" si="25">VLOOKUP(EE6,$DD$5:$DD$24,1,TRUE)</f>
        <v>-42.5</v>
      </c>
      <c r="EH6" s="15">
        <f t="shared" ref="EH6:EH76" si="26">VLOOKUP(EE6,$DD$5:$DD$24,1,TRUE)+4</f>
        <v>-38.5</v>
      </c>
      <c r="EI6" s="15">
        <f t="shared" ref="EI6:EI76" si="27">(EE6-EG6)/(EH6-EG6)</f>
        <v>0.625</v>
      </c>
      <c r="EJ6" s="15" t="e">
        <f t="shared" ref="EJ6:EK6" si="28">VLOOKUP(EG6,$DX$3:$DZ$19,3,FALSE)</f>
        <v>#N/A</v>
      </c>
      <c r="EK6" s="205">
        <f t="shared" si="28"/>
        <v>0.22</v>
      </c>
      <c r="EM6" s="195">
        <v>4</v>
      </c>
      <c r="EN6" s="196">
        <v>0.63</v>
      </c>
      <c r="EO6" s="196">
        <v>0.56999999999999995</v>
      </c>
      <c r="EP6" s="196">
        <v>0.54</v>
      </c>
      <c r="EQ6" s="196">
        <v>0.5</v>
      </c>
      <c r="ES6" s="172">
        <f t="shared" ref="ES6:EV6" si="29">EN16/EN6-1</f>
        <v>0.22222222222222232</v>
      </c>
      <c r="ET6" s="172">
        <f t="shared" si="29"/>
        <v>0.19298245614035103</v>
      </c>
      <c r="EU6" s="172">
        <f t="shared" si="29"/>
        <v>0.35185185185185164</v>
      </c>
      <c r="EV6" s="172">
        <f t="shared" si="29"/>
        <v>0.58000000000000007</v>
      </c>
      <c r="EX6" s="15" t="s">
        <v>169</v>
      </c>
      <c r="FA6" s="186">
        <v>2</v>
      </c>
      <c r="FB6" s="206">
        <v>1E-3</v>
      </c>
      <c r="FC6" s="206">
        <v>4.0000000000000001E-3</v>
      </c>
      <c r="FD6" s="187">
        <v>0.02</v>
      </c>
      <c r="FE6" s="187">
        <v>0.03</v>
      </c>
      <c r="FF6" s="187">
        <v>0.01</v>
      </c>
      <c r="FH6" s="186">
        <v>7</v>
      </c>
      <c r="FI6" s="186">
        <v>176</v>
      </c>
      <c r="FJ6" s="187">
        <v>0.52</v>
      </c>
      <c r="FK6" s="187">
        <v>1.01</v>
      </c>
      <c r="FL6" s="187">
        <v>0.94</v>
      </c>
      <c r="FM6" s="186">
        <v>1.98</v>
      </c>
      <c r="FN6" s="186">
        <v>18</v>
      </c>
      <c r="FP6" s="15">
        <f t="shared" ref="FP6:FP19" si="30">FP5+1</f>
        <v>9</v>
      </c>
      <c r="FQ6" s="33">
        <f t="shared" ref="FQ6:FQ19" si="31">+FQ5-0.005</f>
        <v>0.55500000000000005</v>
      </c>
      <c r="FS6" s="15">
        <v>6</v>
      </c>
      <c r="FT6" s="43">
        <f t="shared" si="13"/>
        <v>0.95000000000000007</v>
      </c>
      <c r="FW6" s="15" t="s">
        <v>96</v>
      </c>
      <c r="FX6" s="15" t="s">
        <v>96</v>
      </c>
    </row>
    <row r="7" spans="1:183" ht="26" x14ac:dyDescent="0.35">
      <c r="A7" s="207" t="s">
        <v>246</v>
      </c>
      <c r="B7" s="207" t="s">
        <v>215</v>
      </c>
      <c r="D7" s="15" t="s">
        <v>152</v>
      </c>
      <c r="E7" s="15" t="s">
        <v>247</v>
      </c>
      <c r="G7" s="207" t="s">
        <v>248</v>
      </c>
      <c r="H7" s="207" t="s">
        <v>215</v>
      </c>
      <c r="I7" s="207"/>
      <c r="J7" s="207" t="s">
        <v>249</v>
      </c>
      <c r="K7" s="207" t="s">
        <v>250</v>
      </c>
      <c r="L7" s="208" t="s">
        <v>251</v>
      </c>
      <c r="N7" s="34">
        <v>6</v>
      </c>
      <c r="O7" s="6">
        <v>5497</v>
      </c>
      <c r="P7" s="6">
        <v>6110</v>
      </c>
      <c r="Q7" s="6">
        <v>889</v>
      </c>
      <c r="R7" s="33">
        <f t="shared" si="2"/>
        <v>0.10819509779648427</v>
      </c>
      <c r="S7" s="185">
        <v>0.10819509779648427</v>
      </c>
      <c r="T7" s="6"/>
      <c r="U7" s="180"/>
      <c r="V7" s="181"/>
      <c r="W7" s="181" t="s">
        <v>252</v>
      </c>
      <c r="X7" s="181">
        <v>0</v>
      </c>
      <c r="Y7" s="181">
        <v>0</v>
      </c>
      <c r="Z7" s="182"/>
      <c r="AA7" s="155"/>
      <c r="AB7" s="130"/>
      <c r="AC7" s="130"/>
      <c r="AD7" s="130"/>
      <c r="AE7" s="130"/>
      <c r="AF7" s="143"/>
      <c r="BB7" s="44">
        <v>0</v>
      </c>
      <c r="BF7" s="33">
        <v>0</v>
      </c>
      <c r="BG7" s="33"/>
      <c r="BH7" s="15">
        <f t="shared" ref="BH7:BH13" si="32">BH6+1</f>
        <v>1</v>
      </c>
      <c r="BI7" s="33">
        <f t="shared" si="14"/>
        <v>2.5000000000000008E-2</v>
      </c>
      <c r="BJ7" s="33"/>
      <c r="BK7" s="33"/>
      <c r="BM7" s="56" t="s">
        <v>253</v>
      </c>
      <c r="BN7" s="56">
        <v>2856</v>
      </c>
      <c r="BO7" s="200">
        <v>4.1000000000000002E-2</v>
      </c>
      <c r="BP7" s="200">
        <v>4.1000000000000002E-2</v>
      </c>
      <c r="BQ7" s="200">
        <v>4.2999999999999997E-2</v>
      </c>
      <c r="BS7" s="56" t="s">
        <v>253</v>
      </c>
      <c r="BT7" s="56">
        <v>37583</v>
      </c>
      <c r="BU7" s="198">
        <v>4.1200000000000001E-2</v>
      </c>
      <c r="BV7" s="198">
        <v>4.1500000000000002E-2</v>
      </c>
      <c r="BY7" s="15">
        <v>4</v>
      </c>
      <c r="CC7" s="197" t="e">
        <f t="shared" si="6"/>
        <v>#DIV/0!</v>
      </c>
      <c r="CE7" s="33">
        <f t="shared" si="7"/>
        <v>6.5000000000000002E-2</v>
      </c>
      <c r="CF7" s="199">
        <f t="shared" si="8"/>
        <v>4.7499999999999981E-3</v>
      </c>
      <c r="CH7" s="15">
        <f t="shared" si="15"/>
        <v>18</v>
      </c>
      <c r="CI7" s="56">
        <v>18</v>
      </c>
      <c r="CJ7" s="56">
        <v>792</v>
      </c>
      <c r="CK7" s="56">
        <v>440</v>
      </c>
      <c r="CL7" s="56">
        <v>265</v>
      </c>
      <c r="CM7" s="197">
        <v>0.64</v>
      </c>
      <c r="CN7" s="200">
        <f t="shared" si="9"/>
        <v>0.37588652482269502</v>
      </c>
      <c r="CO7" s="201">
        <v>0.34</v>
      </c>
      <c r="CP7" s="202"/>
      <c r="CQ7" s="15">
        <f t="shared" si="16"/>
        <v>15</v>
      </c>
      <c r="CR7" s="56">
        <v>15</v>
      </c>
      <c r="CS7" s="56">
        <v>354</v>
      </c>
      <c r="CT7" s="56">
        <v>1162</v>
      </c>
      <c r="CU7" s="56">
        <v>274</v>
      </c>
      <c r="CV7" s="197">
        <v>0.77</v>
      </c>
      <c r="CW7" s="197">
        <v>0.44</v>
      </c>
      <c r="CX7" s="172">
        <f t="shared" ref="CX7:CX17" si="33">CX6+1%</f>
        <v>0.44</v>
      </c>
      <c r="DA7" s="56">
        <v>-5</v>
      </c>
      <c r="DB7" s="198">
        <v>3.4000000000000002E-2</v>
      </c>
      <c r="DC7" s="194"/>
      <c r="DD7" s="194">
        <f t="shared" si="17"/>
        <v>-38.5</v>
      </c>
      <c r="DE7" s="56">
        <v>-40</v>
      </c>
      <c r="DF7" s="56">
        <v>0.54</v>
      </c>
      <c r="DH7" s="45">
        <f t="shared" ref="DH7:DH82" si="34">DH6+1</f>
        <v>-45</v>
      </c>
      <c r="DI7" s="204">
        <f t="shared" si="18"/>
        <v>0.43112500000000004</v>
      </c>
      <c r="DJ7" s="15">
        <f t="shared" si="19"/>
        <v>-46.5</v>
      </c>
      <c r="DK7" s="15">
        <f t="shared" si="20"/>
        <v>-42.5</v>
      </c>
      <c r="DL7" s="15">
        <f t="shared" si="21"/>
        <v>0.375</v>
      </c>
      <c r="DM7" s="15">
        <f t="shared" ref="DM7:DN7" si="35">VLOOKUP(DJ7,$DD$5:$DF$24,3,FALSE)</f>
        <v>0.40600000000000003</v>
      </c>
      <c r="DN7" s="15">
        <f t="shared" si="35"/>
        <v>0.47299999999999998</v>
      </c>
      <c r="DP7" s="15">
        <f t="shared" si="23"/>
        <v>4</v>
      </c>
      <c r="DQ7" s="43">
        <v>0.88</v>
      </c>
      <c r="DR7" s="186">
        <v>0.86</v>
      </c>
      <c r="DS7" s="43">
        <f t="shared" ref="DS7:DT7" si="36">$DP7*DQ7</f>
        <v>3.52</v>
      </c>
      <c r="DT7" s="43">
        <f t="shared" si="36"/>
        <v>3.44</v>
      </c>
      <c r="DX7" s="15">
        <f t="shared" si="4"/>
        <v>-22.5</v>
      </c>
      <c r="DY7" s="186">
        <v>-24</v>
      </c>
      <c r="DZ7" s="187">
        <v>0.34</v>
      </c>
      <c r="EB7" s="186">
        <v>5</v>
      </c>
      <c r="EC7" s="187">
        <v>1.2</v>
      </c>
      <c r="EE7" s="45">
        <f t="shared" ref="EE7:EE76" si="37">EE6+1</f>
        <v>-39</v>
      </c>
      <c r="EF7" s="204">
        <f t="shared" si="11"/>
        <v>0.21625</v>
      </c>
      <c r="EG7" s="15">
        <f t="shared" si="25"/>
        <v>-42.5</v>
      </c>
      <c r="EH7" s="15">
        <f t="shared" si="26"/>
        <v>-38.5</v>
      </c>
      <c r="EI7" s="15">
        <f t="shared" si="27"/>
        <v>0.875</v>
      </c>
      <c r="EJ7" s="15" t="e">
        <f t="shared" ref="EJ7:EK7" si="38">VLOOKUP(EG7,$DX$3:$DZ$19,3,FALSE)</f>
        <v>#N/A</v>
      </c>
      <c r="EK7" s="205">
        <f t="shared" si="38"/>
        <v>0.22</v>
      </c>
      <c r="EM7" s="195">
        <v>8</v>
      </c>
      <c r="EN7" s="196">
        <v>0.63</v>
      </c>
      <c r="EO7" s="196">
        <v>0.59</v>
      </c>
      <c r="EP7" s="196">
        <v>0.59</v>
      </c>
      <c r="EQ7" s="196">
        <v>0.54</v>
      </c>
      <c r="ES7" s="172">
        <f t="shared" ref="ES7:EV7" si="39">EN17/EN7-1</f>
        <v>0.23809523809523814</v>
      </c>
      <c r="ET7" s="172">
        <f t="shared" si="39"/>
        <v>0.13559322033898313</v>
      </c>
      <c r="EU7" s="172">
        <f t="shared" si="39"/>
        <v>0.18644067796610164</v>
      </c>
      <c r="EV7" s="172">
        <f t="shared" si="39"/>
        <v>0.40740740740740744</v>
      </c>
      <c r="EX7" s="15" t="s">
        <v>171</v>
      </c>
      <c r="FA7" s="186">
        <v>3</v>
      </c>
      <c r="FB7" s="206">
        <v>0</v>
      </c>
      <c r="FC7" s="206">
        <v>0</v>
      </c>
      <c r="FD7" s="206">
        <v>1E-3</v>
      </c>
      <c r="FE7" s="187">
        <v>0</v>
      </c>
      <c r="FF7" s="187">
        <v>0</v>
      </c>
      <c r="FH7" s="186">
        <v>8</v>
      </c>
      <c r="FI7" s="186">
        <v>193</v>
      </c>
      <c r="FJ7" s="187">
        <v>0.51</v>
      </c>
      <c r="FK7" s="187">
        <v>0.96</v>
      </c>
      <c r="FL7" s="187">
        <v>0.93</v>
      </c>
      <c r="FM7" s="186">
        <v>1.99</v>
      </c>
      <c r="FN7" s="186">
        <v>18.899999999999999</v>
      </c>
      <c r="FP7" s="15">
        <f t="shared" si="30"/>
        <v>10</v>
      </c>
      <c r="FQ7" s="33">
        <f t="shared" si="31"/>
        <v>0.55000000000000004</v>
      </c>
      <c r="FS7" s="15">
        <v>7</v>
      </c>
      <c r="FT7" s="43">
        <f t="shared" si="13"/>
        <v>0.97500000000000009</v>
      </c>
      <c r="FW7" s="15" t="s">
        <v>129</v>
      </c>
      <c r="FX7" s="15" t="s">
        <v>129</v>
      </c>
    </row>
    <row r="8" spans="1:183" ht="39" x14ac:dyDescent="0.35">
      <c r="A8" s="34">
        <v>-99</v>
      </c>
      <c r="B8" s="209">
        <v>0</v>
      </c>
      <c r="D8" s="15">
        <v>0</v>
      </c>
      <c r="E8" s="172">
        <v>0</v>
      </c>
      <c r="G8" s="34">
        <v>2</v>
      </c>
      <c r="H8" s="210">
        <v>0</v>
      </c>
      <c r="I8" s="210"/>
      <c r="J8" s="15">
        <v>3</v>
      </c>
      <c r="K8" s="15">
        <v>0</v>
      </c>
      <c r="L8" s="43">
        <v>0</v>
      </c>
      <c r="N8" s="34">
        <v>7</v>
      </c>
      <c r="O8" s="6">
        <v>5823</v>
      </c>
      <c r="P8" s="6">
        <v>5753</v>
      </c>
      <c r="Q8" s="6">
        <v>1070</v>
      </c>
      <c r="R8" s="33">
        <f t="shared" si="2"/>
        <v>0.13779882724402345</v>
      </c>
      <c r="S8" s="185">
        <v>0.13779882724402345</v>
      </c>
      <c r="T8" s="6"/>
      <c r="U8" s="180" t="s">
        <v>254</v>
      </c>
      <c r="V8" s="181" t="s">
        <v>255</v>
      </c>
      <c r="W8" s="181" t="s">
        <v>256</v>
      </c>
      <c r="X8" s="181" t="s">
        <v>257</v>
      </c>
      <c r="Y8" s="181" t="s">
        <v>257</v>
      </c>
      <c r="Z8" s="182"/>
      <c r="AA8" s="155"/>
      <c r="AB8" s="130"/>
      <c r="AC8" s="130"/>
      <c r="AD8" s="130"/>
      <c r="AE8" s="130"/>
      <c r="AF8" s="143"/>
      <c r="BB8" s="15">
        <v>1</v>
      </c>
      <c r="BF8" s="33">
        <f t="shared" ref="BF8:BF12" si="40">BF9-0.5%</f>
        <v>2.5000000000000008E-2</v>
      </c>
      <c r="BG8" s="33"/>
      <c r="BH8" s="15">
        <f t="shared" si="32"/>
        <v>2</v>
      </c>
      <c r="BI8" s="33">
        <f t="shared" si="14"/>
        <v>3.0000000000000009E-2</v>
      </c>
      <c r="BJ8" s="33"/>
      <c r="BK8" s="33"/>
      <c r="BM8" s="56" t="s">
        <v>258</v>
      </c>
      <c r="BN8" s="56">
        <v>17864</v>
      </c>
      <c r="BO8" s="200">
        <v>0.25900000000000001</v>
      </c>
      <c r="BP8" s="200">
        <v>0.255</v>
      </c>
      <c r="BQ8" s="200">
        <v>0.26300000000000001</v>
      </c>
      <c r="BS8" s="56" t="s">
        <v>259</v>
      </c>
      <c r="BT8" s="56">
        <v>5334</v>
      </c>
      <c r="BU8" s="198">
        <v>5.8999999999999999E-3</v>
      </c>
      <c r="BV8" s="56"/>
      <c r="BY8" s="56">
        <v>5</v>
      </c>
      <c r="BZ8" s="56">
        <v>20</v>
      </c>
      <c r="CA8" s="56">
        <v>1</v>
      </c>
      <c r="CB8" s="56">
        <v>0</v>
      </c>
      <c r="CC8" s="197">
        <f t="shared" si="6"/>
        <v>4.7619047619047616E-2</v>
      </c>
      <c r="CD8" s="198">
        <v>0</v>
      </c>
      <c r="CE8" s="33">
        <f t="shared" si="7"/>
        <v>0.08</v>
      </c>
      <c r="CF8" s="199">
        <f t="shared" si="8"/>
        <v>4.9999999999999984E-3</v>
      </c>
      <c r="CH8" s="15">
        <f t="shared" si="15"/>
        <v>19</v>
      </c>
      <c r="CI8" s="56">
        <v>19</v>
      </c>
      <c r="CJ8" s="56">
        <v>805</v>
      </c>
      <c r="CK8" s="56">
        <v>531</v>
      </c>
      <c r="CL8" s="56">
        <v>257</v>
      </c>
      <c r="CM8" s="197">
        <v>0.6</v>
      </c>
      <c r="CN8" s="200">
        <f t="shared" si="9"/>
        <v>0.32614213197969544</v>
      </c>
      <c r="CO8" s="201">
        <v>0.35</v>
      </c>
      <c r="CP8" s="202"/>
      <c r="CQ8" s="15">
        <f t="shared" si="16"/>
        <v>16</v>
      </c>
      <c r="CR8" s="56">
        <v>16</v>
      </c>
      <c r="CS8" s="56">
        <v>403</v>
      </c>
      <c r="CT8" s="56">
        <v>1413</v>
      </c>
      <c r="CU8" s="56">
        <v>338</v>
      </c>
      <c r="CV8" s="197">
        <v>0.78</v>
      </c>
      <c r="CW8" s="197">
        <v>0.46</v>
      </c>
      <c r="CX8" s="172">
        <f t="shared" si="33"/>
        <v>0.45</v>
      </c>
      <c r="DA8" s="56">
        <v>-4</v>
      </c>
      <c r="DB8" s="198">
        <v>6.8000000000000005E-2</v>
      </c>
      <c r="DC8" s="194"/>
      <c r="DD8" s="194">
        <f t="shared" si="17"/>
        <v>-34.5</v>
      </c>
      <c r="DE8" s="56">
        <v>-36</v>
      </c>
      <c r="DF8" s="56">
        <v>0.60699999999999998</v>
      </c>
      <c r="DH8" s="45">
        <f t="shared" si="34"/>
        <v>-44</v>
      </c>
      <c r="DI8" s="204">
        <f t="shared" si="18"/>
        <v>0.44787499999999997</v>
      </c>
      <c r="DJ8" s="15">
        <f t="shared" si="19"/>
        <v>-46.5</v>
      </c>
      <c r="DK8" s="15">
        <f t="shared" si="20"/>
        <v>-42.5</v>
      </c>
      <c r="DL8" s="15">
        <f t="shared" si="21"/>
        <v>0.625</v>
      </c>
      <c r="DM8" s="15">
        <f t="shared" ref="DM8:DN8" si="41">VLOOKUP(DJ8,$DD$5:$DF$24,3,FALSE)</f>
        <v>0.40600000000000003</v>
      </c>
      <c r="DN8" s="15">
        <f t="shared" si="41"/>
        <v>0.47299999999999998</v>
      </c>
      <c r="DP8" s="15">
        <f t="shared" si="23"/>
        <v>5</v>
      </c>
      <c r="DQ8" s="43">
        <v>0.87</v>
      </c>
      <c r="DR8" s="186">
        <v>0.85</v>
      </c>
      <c r="DS8" s="43">
        <f t="shared" ref="DS8:DT8" si="42">$DP8*DQ8</f>
        <v>4.3499999999999996</v>
      </c>
      <c r="DT8" s="43">
        <f t="shared" si="42"/>
        <v>4.25</v>
      </c>
      <c r="DX8" s="15">
        <f t="shared" si="4"/>
        <v>-18.5</v>
      </c>
      <c r="DY8" s="186">
        <v>-20</v>
      </c>
      <c r="DZ8" s="187">
        <v>0.38</v>
      </c>
      <c r="EB8" s="186">
        <v>5.5</v>
      </c>
      <c r="EC8" s="187">
        <v>1.1599999999999999</v>
      </c>
      <c r="EE8" s="45">
        <f t="shared" si="37"/>
        <v>-38</v>
      </c>
      <c r="EF8" s="204">
        <f t="shared" ref="EF8:EF71" si="43">EI8*EK8+EJ8*(1-EI8)</f>
        <v>0.22375</v>
      </c>
      <c r="EG8" s="15">
        <f t="shared" si="25"/>
        <v>-38.5</v>
      </c>
      <c r="EH8" s="15">
        <f t="shared" si="26"/>
        <v>-34.5</v>
      </c>
      <c r="EI8" s="15">
        <f t="shared" si="27"/>
        <v>0.125</v>
      </c>
      <c r="EJ8" s="205">
        <f t="shared" ref="EJ8:EK8" si="44">VLOOKUP(EG8,$DX$3:$DZ$19,3,FALSE)</f>
        <v>0.22</v>
      </c>
      <c r="EK8" s="205">
        <f t="shared" si="44"/>
        <v>0.25</v>
      </c>
      <c r="EM8" s="195">
        <v>12</v>
      </c>
      <c r="EN8" s="196">
        <v>0.63</v>
      </c>
      <c r="EO8" s="196">
        <v>0.65</v>
      </c>
      <c r="EP8" s="196">
        <v>0.53</v>
      </c>
      <c r="EQ8" s="211"/>
      <c r="ES8" s="172">
        <f t="shared" ref="ES8:EV8" si="45">EN18/EN8-1</f>
        <v>0.20634920634920628</v>
      </c>
      <c r="ET8" s="172">
        <f t="shared" si="45"/>
        <v>0.19999999999999996</v>
      </c>
      <c r="EU8" s="172">
        <f t="shared" si="45"/>
        <v>0.47169811320754707</v>
      </c>
      <c r="EV8" s="172" t="e">
        <f t="shared" si="45"/>
        <v>#DIV/0!</v>
      </c>
      <c r="FA8" s="186" t="s">
        <v>119</v>
      </c>
      <c r="FB8" s="187">
        <v>1</v>
      </c>
      <c r="FC8" s="187">
        <v>1</v>
      </c>
      <c r="FD8" s="187">
        <v>1</v>
      </c>
      <c r="FE8" s="187">
        <v>1</v>
      </c>
      <c r="FF8" s="187">
        <v>1</v>
      </c>
      <c r="FH8" s="186">
        <v>9</v>
      </c>
      <c r="FI8" s="186">
        <v>174</v>
      </c>
      <c r="FJ8" s="187">
        <v>0.51</v>
      </c>
      <c r="FK8" s="187">
        <v>0.75</v>
      </c>
      <c r="FL8" s="187">
        <v>0.72</v>
      </c>
      <c r="FM8" s="186">
        <v>2.02</v>
      </c>
      <c r="FN8" s="186">
        <v>19.2</v>
      </c>
      <c r="FP8" s="15">
        <f t="shared" si="30"/>
        <v>11</v>
      </c>
      <c r="FQ8" s="33">
        <f t="shared" si="31"/>
        <v>0.54500000000000004</v>
      </c>
      <c r="FS8" s="15">
        <v>8</v>
      </c>
      <c r="FT8" s="43">
        <f t="shared" si="13"/>
        <v>1</v>
      </c>
      <c r="FW8" s="15" t="s">
        <v>109</v>
      </c>
      <c r="FX8" s="15" t="s">
        <v>152</v>
      </c>
    </row>
    <row r="9" spans="1:183" ht="26" x14ac:dyDescent="0.35">
      <c r="A9" s="34">
        <v>-29</v>
      </c>
      <c r="B9" s="212">
        <v>0</v>
      </c>
      <c r="D9" s="15">
        <v>1</v>
      </c>
      <c r="E9" s="213">
        <v>6.25E-2</v>
      </c>
      <c r="G9" s="34">
        <v>3</v>
      </c>
      <c r="H9" s="210">
        <v>0.23404255319148937</v>
      </c>
      <c r="I9" s="210"/>
      <c r="J9" s="15">
        <v>94</v>
      </c>
      <c r="K9" s="15">
        <v>22</v>
      </c>
      <c r="L9" s="43">
        <v>0.23404255319148937</v>
      </c>
      <c r="N9" s="34">
        <v>8</v>
      </c>
      <c r="O9" s="185">
        <v>0.16172457704202292</v>
      </c>
      <c r="P9" s="185">
        <v>0.16172457704202292</v>
      </c>
      <c r="Q9" s="185">
        <v>0.16172457704202292</v>
      </c>
      <c r="R9" s="33">
        <f t="shared" si="2"/>
        <v>0.16172457704202292</v>
      </c>
      <c r="S9" s="185">
        <v>0.16172457704202292</v>
      </c>
      <c r="T9" s="6"/>
      <c r="U9" s="180">
        <v>1</v>
      </c>
      <c r="V9" s="181">
        <v>0</v>
      </c>
      <c r="W9" s="181" t="s">
        <v>260</v>
      </c>
      <c r="X9" s="214">
        <v>9.3016255267910894E-2</v>
      </c>
      <c r="Y9" s="214">
        <v>0.1</v>
      </c>
      <c r="Z9" s="182"/>
      <c r="AA9" s="155">
        <v>0</v>
      </c>
      <c r="AB9" s="130">
        <v>0</v>
      </c>
      <c r="AC9" s="130"/>
      <c r="AD9" s="130"/>
      <c r="AE9" s="130"/>
      <c r="AF9" s="143">
        <v>0</v>
      </c>
      <c r="AG9" s="15">
        <v>0</v>
      </c>
      <c r="AH9" s="15">
        <v>1</v>
      </c>
      <c r="AI9" s="15">
        <v>1</v>
      </c>
      <c r="AK9" s="15" t="s">
        <v>261</v>
      </c>
      <c r="AL9" s="15" t="s">
        <v>93</v>
      </c>
      <c r="AM9" s="15" t="s">
        <v>100</v>
      </c>
      <c r="AN9" s="15" t="s">
        <v>106</v>
      </c>
      <c r="AO9" s="15" t="s">
        <v>262</v>
      </c>
      <c r="AS9" s="15" t="s">
        <v>263</v>
      </c>
      <c r="AT9" s="15" t="s">
        <v>264</v>
      </c>
      <c r="AU9" s="15" t="s">
        <v>202</v>
      </c>
      <c r="AV9" s="15" t="s">
        <v>265</v>
      </c>
      <c r="AW9" s="15" t="s">
        <v>266</v>
      </c>
      <c r="AX9" s="15" t="s">
        <v>267</v>
      </c>
      <c r="AY9" s="15" t="s">
        <v>268</v>
      </c>
      <c r="BB9" s="15">
        <v>2</v>
      </c>
      <c r="BF9" s="33">
        <f t="shared" si="40"/>
        <v>3.0000000000000009E-2</v>
      </c>
      <c r="BG9" s="33"/>
      <c r="BH9" s="15">
        <f t="shared" si="32"/>
        <v>3</v>
      </c>
      <c r="BI9" s="33">
        <f t="shared" si="14"/>
        <v>3.500000000000001E-2</v>
      </c>
      <c r="BJ9" s="33"/>
      <c r="BK9" s="33"/>
      <c r="BM9" s="56" t="s">
        <v>269</v>
      </c>
      <c r="BN9" s="56">
        <v>24609</v>
      </c>
      <c r="BO9" s="200">
        <v>0.35699999999999998</v>
      </c>
      <c r="BP9" s="200">
        <v>0.36</v>
      </c>
      <c r="BQ9" s="200">
        <v>0.371</v>
      </c>
      <c r="BS9" s="56" t="s">
        <v>258</v>
      </c>
      <c r="BT9" s="56">
        <v>232106</v>
      </c>
      <c r="BU9" s="198">
        <v>0.25469999999999998</v>
      </c>
      <c r="BV9" s="198">
        <v>0.25619999999999998</v>
      </c>
      <c r="BY9" s="56">
        <v>6</v>
      </c>
      <c r="BZ9" s="56">
        <v>26</v>
      </c>
      <c r="CA9" s="56">
        <v>5</v>
      </c>
      <c r="CB9" s="56">
        <v>0</v>
      </c>
      <c r="CC9" s="197">
        <f t="shared" si="6"/>
        <v>0.16129032258064516</v>
      </c>
      <c r="CD9" s="198">
        <v>0</v>
      </c>
      <c r="CE9" s="33">
        <f t="shared" si="7"/>
        <v>9.5000000000000001E-2</v>
      </c>
      <c r="CF9" s="199">
        <f t="shared" si="8"/>
        <v>5.2499999999999986E-3</v>
      </c>
      <c r="CH9" s="15">
        <f t="shared" si="15"/>
        <v>20</v>
      </c>
      <c r="CI9" s="56">
        <v>20</v>
      </c>
      <c r="CJ9" s="56">
        <v>1242</v>
      </c>
      <c r="CK9" s="56">
        <v>743</v>
      </c>
      <c r="CL9" s="56">
        <v>413</v>
      </c>
      <c r="CM9" s="197">
        <v>0.63</v>
      </c>
      <c r="CN9" s="200">
        <f t="shared" si="9"/>
        <v>0.35726643598615915</v>
      </c>
      <c r="CO9" s="201">
        <f>CO8+1.5%</f>
        <v>0.36499999999999999</v>
      </c>
      <c r="CP9" s="202"/>
      <c r="CQ9" s="15">
        <f t="shared" si="16"/>
        <v>17</v>
      </c>
      <c r="CR9" s="56">
        <v>17</v>
      </c>
      <c r="CS9" s="56">
        <v>601</v>
      </c>
      <c r="CT9" s="56">
        <v>2023</v>
      </c>
      <c r="CU9" s="56">
        <v>501</v>
      </c>
      <c r="CV9" s="197">
        <v>0.77</v>
      </c>
      <c r="CW9" s="197">
        <v>0.45</v>
      </c>
      <c r="CX9" s="172">
        <f t="shared" si="33"/>
        <v>0.46</v>
      </c>
      <c r="DA9" s="56">
        <v>-3</v>
      </c>
      <c r="DB9" s="198">
        <v>9.1999999999999998E-2</v>
      </c>
      <c r="DC9" s="194"/>
      <c r="DD9" s="194">
        <f t="shared" si="17"/>
        <v>-30.5</v>
      </c>
      <c r="DE9" s="56">
        <v>-32</v>
      </c>
      <c r="DF9" s="56">
        <v>0.67400000000000004</v>
      </c>
      <c r="DH9" s="45">
        <f t="shared" si="34"/>
        <v>-43</v>
      </c>
      <c r="DI9" s="204">
        <f t="shared" si="18"/>
        <v>0.46462500000000001</v>
      </c>
      <c r="DJ9" s="15">
        <f t="shared" si="19"/>
        <v>-46.5</v>
      </c>
      <c r="DK9" s="15">
        <f t="shared" si="20"/>
        <v>-42.5</v>
      </c>
      <c r="DL9" s="15">
        <f t="shared" si="21"/>
        <v>0.875</v>
      </c>
      <c r="DM9" s="15">
        <f t="shared" ref="DM9:DN9" si="46">VLOOKUP(DJ9,$DD$5:$DF$24,3,FALSE)</f>
        <v>0.40600000000000003</v>
      </c>
      <c r="DN9" s="15">
        <f t="shared" si="46"/>
        <v>0.47299999999999998</v>
      </c>
      <c r="DP9" s="15">
        <f t="shared" si="23"/>
        <v>6</v>
      </c>
      <c r="DQ9" s="43">
        <v>0.86</v>
      </c>
      <c r="DR9" s="186">
        <v>0.84</v>
      </c>
      <c r="DS9" s="43">
        <f t="shared" ref="DS9:DT9" si="47">$DP9*DQ9</f>
        <v>5.16</v>
      </c>
      <c r="DT9" s="43">
        <f t="shared" si="47"/>
        <v>5.04</v>
      </c>
      <c r="DX9" s="15">
        <f t="shared" si="4"/>
        <v>-14.5</v>
      </c>
      <c r="DY9" s="186">
        <v>-16</v>
      </c>
      <c r="DZ9" s="187">
        <v>0.41</v>
      </c>
      <c r="EB9" s="186">
        <v>6</v>
      </c>
      <c r="EC9" s="187">
        <v>1.1299999999999999</v>
      </c>
      <c r="EE9" s="45">
        <f t="shared" si="37"/>
        <v>-37</v>
      </c>
      <c r="EF9" s="204">
        <f t="shared" si="43"/>
        <v>0.23125000000000001</v>
      </c>
      <c r="EG9" s="15">
        <f t="shared" si="25"/>
        <v>-38.5</v>
      </c>
      <c r="EH9" s="15">
        <f t="shared" si="26"/>
        <v>-34.5</v>
      </c>
      <c r="EI9" s="15">
        <f t="shared" si="27"/>
        <v>0.375</v>
      </c>
      <c r="EJ9" s="205">
        <f t="shared" ref="EJ9:EK9" si="48">VLOOKUP(EG9,$DX$3:$DZ$19,3,FALSE)</f>
        <v>0.22</v>
      </c>
      <c r="EK9" s="205">
        <f t="shared" si="48"/>
        <v>0.25</v>
      </c>
      <c r="FA9" s="186" t="s">
        <v>270</v>
      </c>
      <c r="FB9" s="187">
        <v>0.1</v>
      </c>
      <c r="FC9" s="187">
        <v>0.53</v>
      </c>
      <c r="FD9" s="187">
        <v>0.25</v>
      </c>
      <c r="FE9" s="187">
        <v>0.12</v>
      </c>
      <c r="FF9" s="187">
        <v>1</v>
      </c>
      <c r="FH9" s="186">
        <v>10</v>
      </c>
      <c r="FI9" s="186">
        <v>107</v>
      </c>
      <c r="FJ9" s="187">
        <v>0.54</v>
      </c>
      <c r="FK9" s="187">
        <v>0.88</v>
      </c>
      <c r="FL9" s="187">
        <v>0.74</v>
      </c>
      <c r="FM9" s="186">
        <v>1.79</v>
      </c>
      <c r="FN9" s="186">
        <v>19.8</v>
      </c>
      <c r="FP9" s="15">
        <f t="shared" si="30"/>
        <v>12</v>
      </c>
      <c r="FQ9" s="33">
        <f t="shared" si="31"/>
        <v>0.54</v>
      </c>
      <c r="FS9" s="15">
        <v>9</v>
      </c>
      <c r="FT9" s="43">
        <f t="shared" si="13"/>
        <v>1.0249999999999999</v>
      </c>
    </row>
    <row r="10" spans="1:183" ht="26" x14ac:dyDescent="0.35">
      <c r="A10" s="34">
        <v>-28</v>
      </c>
      <c r="B10" s="212">
        <v>0</v>
      </c>
      <c r="D10" s="15">
        <v>2</v>
      </c>
      <c r="E10" s="172">
        <v>0.1</v>
      </c>
      <c r="G10" s="34">
        <v>4</v>
      </c>
      <c r="H10" s="210">
        <v>0.68370883882149047</v>
      </c>
      <c r="I10" s="210"/>
      <c r="J10" s="15">
        <v>1154</v>
      </c>
      <c r="K10" s="15">
        <v>789</v>
      </c>
      <c r="L10" s="43">
        <v>0.68370883882149047</v>
      </c>
      <c r="N10" s="34">
        <v>9</v>
      </c>
      <c r="O10" s="6">
        <v>6376</v>
      </c>
      <c r="P10" s="6">
        <v>5875</v>
      </c>
      <c r="Q10" s="6">
        <v>1443</v>
      </c>
      <c r="R10" s="33">
        <f t="shared" si="2"/>
        <v>0.18375407865361498</v>
      </c>
      <c r="S10" s="185">
        <v>0.18375407865361498</v>
      </c>
      <c r="T10" s="6"/>
      <c r="U10" s="180">
        <v>1</v>
      </c>
      <c r="V10" s="181">
        <v>1</v>
      </c>
      <c r="W10" s="181" t="s">
        <v>271</v>
      </c>
      <c r="X10" s="214">
        <v>6.7182266705362814E-2</v>
      </c>
      <c r="Y10" s="214">
        <v>0</v>
      </c>
      <c r="Z10" s="182"/>
      <c r="AA10" s="155">
        <v>1</v>
      </c>
      <c r="AB10" s="130">
        <v>0.63200000000000001</v>
      </c>
      <c r="AC10" s="130">
        <v>0.67100000000000004</v>
      </c>
      <c r="AD10" s="130">
        <v>0.67100000000000004</v>
      </c>
      <c r="AE10" s="130"/>
      <c r="AF10" s="143">
        <v>0</v>
      </c>
      <c r="AG10" s="15">
        <v>0</v>
      </c>
      <c r="AH10" s="15">
        <f t="shared" ref="AH10:AI10" si="49">+AB10/AB$26</f>
        <v>1.462962962962963</v>
      </c>
      <c r="AI10" s="15">
        <f t="shared" si="49"/>
        <v>1.5532407407407409</v>
      </c>
      <c r="AK10" s="15" t="s">
        <v>272</v>
      </c>
      <c r="AL10" s="172">
        <v>0.27705627705627706</v>
      </c>
      <c r="AM10" s="172">
        <v>8.658008658008658E-3</v>
      </c>
      <c r="AN10" s="172">
        <v>0.11255411255411256</v>
      </c>
      <c r="AO10" s="172">
        <v>0.39826839826839827</v>
      </c>
      <c r="AR10" s="15">
        <v>0</v>
      </c>
      <c r="AS10" s="172">
        <v>0.23186528497409326</v>
      </c>
      <c r="AT10" s="172">
        <v>0.45161920896592167</v>
      </c>
      <c r="AU10" s="15">
        <v>64268</v>
      </c>
      <c r="AV10" s="15">
        <v>3860</v>
      </c>
      <c r="AW10" s="15">
        <v>15347</v>
      </c>
      <c r="AX10" s="15">
        <v>895</v>
      </c>
      <c r="AY10" s="15">
        <v>6931</v>
      </c>
      <c r="BB10" s="15">
        <v>3</v>
      </c>
      <c r="BF10" s="33">
        <f t="shared" si="40"/>
        <v>3.500000000000001E-2</v>
      </c>
      <c r="BG10" s="33"/>
      <c r="BH10" s="15">
        <f t="shared" si="32"/>
        <v>4</v>
      </c>
      <c r="BI10" s="33">
        <f t="shared" si="14"/>
        <v>4.0000000000000008E-2</v>
      </c>
      <c r="BJ10" s="33"/>
      <c r="BK10" s="33"/>
      <c r="BM10" s="56" t="s">
        <v>273</v>
      </c>
      <c r="BN10" s="56">
        <v>17806</v>
      </c>
      <c r="BO10" s="200">
        <v>0.25800000000000001</v>
      </c>
      <c r="BP10" s="200">
        <v>0.255</v>
      </c>
      <c r="BQ10" s="200">
        <v>0.26300000000000001</v>
      </c>
      <c r="BS10" s="56" t="s">
        <v>269</v>
      </c>
      <c r="BT10" s="56">
        <v>327717</v>
      </c>
      <c r="BU10" s="198">
        <v>0.35959999999999998</v>
      </c>
      <c r="BV10" s="198">
        <v>0.36170000000000002</v>
      </c>
      <c r="BY10" s="56">
        <v>7</v>
      </c>
      <c r="BZ10" s="56">
        <v>82</v>
      </c>
      <c r="CA10" s="56">
        <v>5</v>
      </c>
      <c r="CB10" s="56">
        <v>0</v>
      </c>
      <c r="CC10" s="197">
        <f t="shared" si="6"/>
        <v>5.7471264367816091E-2</v>
      </c>
      <c r="CD10" s="198">
        <v>0</v>
      </c>
      <c r="CE10" s="33">
        <f t="shared" si="7"/>
        <v>0.11</v>
      </c>
      <c r="CF10" s="199">
        <f t="shared" si="8"/>
        <v>5.4999999999999988E-3</v>
      </c>
      <c r="CH10" s="15">
        <f t="shared" si="15"/>
        <v>21</v>
      </c>
      <c r="CI10" s="56">
        <v>21</v>
      </c>
      <c r="CJ10" s="56">
        <v>1636</v>
      </c>
      <c r="CK10" s="56">
        <v>980</v>
      </c>
      <c r="CL10" s="56">
        <v>552</v>
      </c>
      <c r="CM10" s="197">
        <v>0.63</v>
      </c>
      <c r="CN10" s="200">
        <f t="shared" si="9"/>
        <v>0.36031331592689297</v>
      </c>
      <c r="CO10" s="201">
        <f t="shared" ref="CO10:CO19" si="50">CO9+0.5%</f>
        <v>0.37</v>
      </c>
      <c r="CP10" s="202"/>
      <c r="CQ10" s="15">
        <f t="shared" si="16"/>
        <v>18</v>
      </c>
      <c r="CR10" s="56">
        <v>18</v>
      </c>
      <c r="CS10" s="56">
        <v>818</v>
      </c>
      <c r="CT10" s="56">
        <v>2953</v>
      </c>
      <c r="CU10" s="56">
        <v>703</v>
      </c>
      <c r="CV10" s="197">
        <v>0.78</v>
      </c>
      <c r="CW10" s="197">
        <v>0.46</v>
      </c>
      <c r="CX10" s="172">
        <f t="shared" si="33"/>
        <v>0.47000000000000003</v>
      </c>
      <c r="DA10" s="56">
        <v>-2</v>
      </c>
      <c r="DB10" s="198">
        <v>0.14699999999999999</v>
      </c>
      <c r="DC10" s="194"/>
      <c r="DD10" s="194">
        <f t="shared" si="17"/>
        <v>-26.5</v>
      </c>
      <c r="DE10" s="56">
        <v>-28</v>
      </c>
      <c r="DF10" s="56">
        <v>0.74099999999999999</v>
      </c>
      <c r="DH10" s="45">
        <f t="shared" si="34"/>
        <v>-42</v>
      </c>
      <c r="DI10" s="204">
        <f t="shared" si="18"/>
        <v>0.481375</v>
      </c>
      <c r="DJ10" s="15">
        <f t="shared" si="19"/>
        <v>-42.5</v>
      </c>
      <c r="DK10" s="15">
        <f t="shared" si="20"/>
        <v>-38.5</v>
      </c>
      <c r="DL10" s="15">
        <f t="shared" si="21"/>
        <v>0.125</v>
      </c>
      <c r="DM10" s="15">
        <f t="shared" ref="DM10:DN10" si="51">VLOOKUP(DJ10,$DD$5:$DF$24,3,FALSE)</f>
        <v>0.47299999999999998</v>
      </c>
      <c r="DN10" s="15">
        <f t="shared" si="51"/>
        <v>0.54</v>
      </c>
      <c r="DP10" s="15">
        <f t="shared" si="23"/>
        <v>7</v>
      </c>
      <c r="DQ10" s="43">
        <v>0.86</v>
      </c>
      <c r="DR10" s="186">
        <v>0.84</v>
      </c>
      <c r="DS10" s="43">
        <f t="shared" ref="DS10:DT10" si="52">$DP10*DQ10</f>
        <v>6.02</v>
      </c>
      <c r="DT10" s="43">
        <f t="shared" si="52"/>
        <v>5.88</v>
      </c>
      <c r="DX10" s="15">
        <f t="shared" si="4"/>
        <v>-10.5</v>
      </c>
      <c r="DY10" s="186">
        <v>-12</v>
      </c>
      <c r="DZ10" s="187">
        <v>0.45</v>
      </c>
      <c r="EB10" s="186">
        <v>6.5</v>
      </c>
      <c r="EC10" s="187">
        <v>1.1000000000000001</v>
      </c>
      <c r="EE10" s="45">
        <f t="shared" si="37"/>
        <v>-36</v>
      </c>
      <c r="EF10" s="204">
        <f t="shared" si="43"/>
        <v>0.23875000000000002</v>
      </c>
      <c r="EG10" s="15">
        <f t="shared" si="25"/>
        <v>-38.5</v>
      </c>
      <c r="EH10" s="15">
        <f t="shared" si="26"/>
        <v>-34.5</v>
      </c>
      <c r="EI10" s="15">
        <f t="shared" si="27"/>
        <v>0.625</v>
      </c>
      <c r="EJ10" s="205">
        <f t="shared" ref="EJ10:EK10" si="53">VLOOKUP(EG10,$DX$3:$DZ$19,3,FALSE)</f>
        <v>0.22</v>
      </c>
      <c r="EK10" s="205">
        <f t="shared" si="53"/>
        <v>0.25</v>
      </c>
      <c r="FA10" s="186" t="s">
        <v>274</v>
      </c>
      <c r="FB10" s="215">
        <v>4.2000000000000003E-2</v>
      </c>
      <c r="FC10" s="215">
        <v>9.7000000000000003E-2</v>
      </c>
      <c r="FD10" s="215">
        <v>0.20300000000000001</v>
      </c>
      <c r="FE10" s="215">
        <v>0.29199999999999998</v>
      </c>
      <c r="FF10" s="215">
        <v>0.14099999999999999</v>
      </c>
      <c r="FH10" s="186" t="s">
        <v>275</v>
      </c>
      <c r="FI10" s="186">
        <v>125</v>
      </c>
      <c r="FJ10" s="187">
        <v>0.55000000000000004</v>
      </c>
      <c r="FK10" s="187">
        <v>0.82</v>
      </c>
      <c r="FL10" s="187">
        <v>0.66</v>
      </c>
      <c r="FM10" s="186">
        <v>1.73</v>
      </c>
      <c r="FN10" s="186">
        <v>19.8</v>
      </c>
      <c r="FP10" s="15">
        <f t="shared" si="30"/>
        <v>13</v>
      </c>
      <c r="FQ10" s="33">
        <f t="shared" si="31"/>
        <v>0.53500000000000003</v>
      </c>
      <c r="FS10" s="15">
        <v>10</v>
      </c>
      <c r="FT10" s="43">
        <f t="shared" si="13"/>
        <v>1.0499999999999998</v>
      </c>
    </row>
    <row r="11" spans="1:183" ht="26" x14ac:dyDescent="0.35">
      <c r="A11" s="34">
        <v>-27</v>
      </c>
      <c r="B11" s="212">
        <v>0</v>
      </c>
      <c r="D11" s="15">
        <v>3</v>
      </c>
      <c r="E11" s="33">
        <v>0.125</v>
      </c>
      <c r="G11" s="34">
        <v>5</v>
      </c>
      <c r="H11" s="210">
        <v>1.1436902262654538</v>
      </c>
      <c r="I11" s="210"/>
      <c r="J11" s="15">
        <v>4287</v>
      </c>
      <c r="K11" s="15">
        <v>4903</v>
      </c>
      <c r="L11" s="43">
        <v>1.1436902262654538</v>
      </c>
      <c r="N11" s="34">
        <v>10</v>
      </c>
      <c r="O11" s="6">
        <v>7680</v>
      </c>
      <c r="P11" s="6">
        <v>6394</v>
      </c>
      <c r="Q11" s="6">
        <v>1971</v>
      </c>
      <c r="R11" s="33">
        <f t="shared" si="2"/>
        <v>0.22631744040150564</v>
      </c>
      <c r="S11" s="185">
        <v>0.22631744040150564</v>
      </c>
      <c r="T11" s="6"/>
      <c r="U11" s="180">
        <v>1</v>
      </c>
      <c r="V11" s="181">
        <v>2</v>
      </c>
      <c r="W11" s="181" t="s">
        <v>276</v>
      </c>
      <c r="X11" s="214">
        <v>3.2490209108003792E-2</v>
      </c>
      <c r="Y11" s="214">
        <v>0</v>
      </c>
      <c r="Z11" s="182"/>
      <c r="AA11" s="155">
        <v>8</v>
      </c>
      <c r="AB11" s="130">
        <v>0.70199999999999996</v>
      </c>
      <c r="AC11" s="130">
        <v>0.72199999999999998</v>
      </c>
      <c r="AD11" s="130"/>
      <c r="AE11" s="130"/>
      <c r="AF11" s="143">
        <v>0</v>
      </c>
      <c r="AG11" s="15">
        <v>0</v>
      </c>
      <c r="AH11" s="15">
        <f t="shared" ref="AH11:AI11" si="54">+AB11/AB$26</f>
        <v>1.625</v>
      </c>
      <c r="AI11" s="15">
        <f t="shared" si="54"/>
        <v>1.6712962962962963</v>
      </c>
      <c r="AK11" s="15" t="s">
        <v>277</v>
      </c>
      <c r="AL11" s="172">
        <v>8.1367521367521359E-2</v>
      </c>
      <c r="AM11" s="172">
        <v>2.5982905982905979E-2</v>
      </c>
      <c r="AN11" s="172">
        <v>6.9059829059829048E-2</v>
      </c>
      <c r="AO11" s="172">
        <v>0.17641025641025637</v>
      </c>
      <c r="AR11" s="15">
        <v>5</v>
      </c>
      <c r="AS11" s="172">
        <v>0.24151857835218093</v>
      </c>
      <c r="AT11" s="172">
        <v>0.42438987872435996</v>
      </c>
      <c r="AU11" s="15">
        <v>62180</v>
      </c>
      <c r="AV11" s="15">
        <v>4952</v>
      </c>
      <c r="AW11" s="15">
        <v>13358</v>
      </c>
      <c r="AX11" s="15">
        <v>1196</v>
      </c>
      <c r="AY11" s="15">
        <v>5669</v>
      </c>
      <c r="BB11" s="15">
        <v>4</v>
      </c>
      <c r="BF11" s="33">
        <f t="shared" si="40"/>
        <v>4.0000000000000008E-2</v>
      </c>
      <c r="BG11" s="33"/>
      <c r="BH11" s="15">
        <f t="shared" si="32"/>
        <v>5</v>
      </c>
      <c r="BI11" s="33">
        <f t="shared" si="14"/>
        <v>4.5000000000000005E-2</v>
      </c>
      <c r="BJ11" s="33"/>
      <c r="BK11" s="33"/>
      <c r="BM11" s="56" t="s">
        <v>278</v>
      </c>
      <c r="BN11" s="56"/>
      <c r="BO11" s="56"/>
      <c r="BP11" s="200">
        <v>2.4E-2</v>
      </c>
      <c r="BQ11" s="216"/>
      <c r="BS11" s="56" t="s">
        <v>278</v>
      </c>
      <c r="BT11" s="56">
        <v>21919</v>
      </c>
      <c r="BU11" s="198">
        <v>2.41E-2</v>
      </c>
      <c r="BV11" s="198">
        <v>2.4199999999999999E-2</v>
      </c>
      <c r="BY11" s="56">
        <v>8</v>
      </c>
      <c r="BZ11" s="56">
        <v>129</v>
      </c>
      <c r="CA11" s="56">
        <v>13</v>
      </c>
      <c r="CB11" s="56">
        <v>1</v>
      </c>
      <c r="CC11" s="197">
        <f t="shared" si="6"/>
        <v>9.154929577464789E-2</v>
      </c>
      <c r="CD11" s="198">
        <v>8.0000000000000002E-3</v>
      </c>
      <c r="CE11" s="33">
        <f t="shared" si="7"/>
        <v>0.125</v>
      </c>
      <c r="CF11" s="199">
        <f t="shared" si="8"/>
        <v>5.749999999999999E-3</v>
      </c>
      <c r="CH11" s="15">
        <f t="shared" si="15"/>
        <v>22</v>
      </c>
      <c r="CI11" s="56">
        <v>22</v>
      </c>
      <c r="CJ11" s="56">
        <v>2091</v>
      </c>
      <c r="CK11" s="56">
        <v>1169</v>
      </c>
      <c r="CL11" s="56">
        <v>709</v>
      </c>
      <c r="CM11" s="197">
        <v>0.64</v>
      </c>
      <c r="CN11" s="200">
        <f t="shared" si="9"/>
        <v>0.37752928647497336</v>
      </c>
      <c r="CO11" s="201">
        <f t="shared" si="50"/>
        <v>0.375</v>
      </c>
      <c r="CP11" s="202"/>
      <c r="CQ11" s="15">
        <f t="shared" si="16"/>
        <v>19</v>
      </c>
      <c r="CR11" s="56">
        <v>19</v>
      </c>
      <c r="CS11" s="56">
        <v>787</v>
      </c>
      <c r="CT11" s="56">
        <v>2951</v>
      </c>
      <c r="CU11" s="56">
        <v>742</v>
      </c>
      <c r="CV11" s="197">
        <v>0.79</v>
      </c>
      <c r="CW11" s="197">
        <v>0.49</v>
      </c>
      <c r="CX11" s="172">
        <f t="shared" si="33"/>
        <v>0.48000000000000004</v>
      </c>
      <c r="DA11" s="56">
        <v>-1</v>
      </c>
      <c r="DB11" s="198">
        <v>0.25</v>
      </c>
      <c r="DC11" s="194"/>
      <c r="DD11" s="194">
        <f t="shared" si="17"/>
        <v>-22.5</v>
      </c>
      <c r="DE11" s="56">
        <v>-24</v>
      </c>
      <c r="DF11" s="56">
        <v>0.80600000000000005</v>
      </c>
      <c r="DH11" s="45">
        <f t="shared" si="34"/>
        <v>-41</v>
      </c>
      <c r="DI11" s="204">
        <f t="shared" si="18"/>
        <v>0.49812499999999998</v>
      </c>
      <c r="DJ11" s="15">
        <f t="shared" si="19"/>
        <v>-42.5</v>
      </c>
      <c r="DK11" s="15">
        <f t="shared" si="20"/>
        <v>-38.5</v>
      </c>
      <c r="DL11" s="15">
        <f t="shared" si="21"/>
        <v>0.375</v>
      </c>
      <c r="DM11" s="15">
        <f t="shared" ref="DM11:DN11" si="55">VLOOKUP(DJ11,$DD$5:$DF$24,3,FALSE)</f>
        <v>0.47299999999999998</v>
      </c>
      <c r="DN11" s="15">
        <f t="shared" si="55"/>
        <v>0.54</v>
      </c>
      <c r="DP11" s="15">
        <f t="shared" si="23"/>
        <v>8</v>
      </c>
      <c r="DQ11" s="43">
        <v>0.86</v>
      </c>
      <c r="DR11" s="186">
        <v>0.84</v>
      </c>
      <c r="DS11" s="43">
        <f t="shared" ref="DS11:DT11" si="56">$DP11*DQ11</f>
        <v>6.88</v>
      </c>
      <c r="DT11" s="43">
        <f t="shared" si="56"/>
        <v>6.72</v>
      </c>
      <c r="DX11" s="15">
        <f t="shared" si="4"/>
        <v>-6.5</v>
      </c>
      <c r="DY11" s="186">
        <v>-8</v>
      </c>
      <c r="DZ11" s="187">
        <v>0.49</v>
      </c>
      <c r="EB11" s="186">
        <v>7</v>
      </c>
      <c r="EC11" s="187">
        <v>1.06</v>
      </c>
      <c r="EE11" s="45">
        <f t="shared" si="37"/>
        <v>-35</v>
      </c>
      <c r="EF11" s="204">
        <f t="shared" si="43"/>
        <v>0.24625</v>
      </c>
      <c r="EG11" s="15">
        <f t="shared" si="25"/>
        <v>-38.5</v>
      </c>
      <c r="EH11" s="15">
        <f t="shared" si="26"/>
        <v>-34.5</v>
      </c>
      <c r="EI11" s="15">
        <f t="shared" si="27"/>
        <v>0.875</v>
      </c>
      <c r="EJ11" s="205">
        <f t="shared" ref="EJ11:EK11" si="57">VLOOKUP(EG11,$DX$3:$DZ$19,3,FALSE)</f>
        <v>0.22</v>
      </c>
      <c r="EK11" s="205">
        <f t="shared" si="57"/>
        <v>0.25</v>
      </c>
      <c r="FP11" s="15">
        <f t="shared" si="30"/>
        <v>14</v>
      </c>
      <c r="FQ11" s="33">
        <f t="shared" si="31"/>
        <v>0.53</v>
      </c>
      <c r="FS11" s="15">
        <v>11</v>
      </c>
      <c r="FT11" s="43">
        <f t="shared" si="13"/>
        <v>1.0749999999999997</v>
      </c>
    </row>
    <row r="12" spans="1:183" ht="26" x14ac:dyDescent="0.35">
      <c r="A12" s="34">
        <v>-26</v>
      </c>
      <c r="B12" s="212">
        <v>2.5641025641025641E-4</v>
      </c>
      <c r="G12" s="34">
        <v>6</v>
      </c>
      <c r="H12" s="210">
        <v>1.4091013034530071</v>
      </c>
      <c r="I12" s="210"/>
      <c r="J12" s="15">
        <v>4373</v>
      </c>
      <c r="K12" s="15">
        <v>6162</v>
      </c>
      <c r="L12" s="43">
        <v>1.4091013034530071</v>
      </c>
      <c r="N12" s="34">
        <v>11</v>
      </c>
      <c r="O12" s="6">
        <v>7841</v>
      </c>
      <c r="P12" s="6">
        <v>5891</v>
      </c>
      <c r="Q12" s="6">
        <v>2293</v>
      </c>
      <c r="R12" s="33">
        <f t="shared" si="2"/>
        <v>0.25664062500000001</v>
      </c>
      <c r="S12" s="185">
        <v>0.25664062500000001</v>
      </c>
      <c r="T12" s="6"/>
      <c r="U12" s="180">
        <v>1</v>
      </c>
      <c r="V12" s="181">
        <v>3</v>
      </c>
      <c r="W12" s="181" t="s">
        <v>279</v>
      </c>
      <c r="X12" s="214">
        <v>1.878394313331451E-2</v>
      </c>
      <c r="Y12" s="214">
        <v>0</v>
      </c>
      <c r="Z12" s="182"/>
      <c r="AA12" s="155">
        <v>9</v>
      </c>
      <c r="AB12" s="130">
        <v>0.73299999999999998</v>
      </c>
      <c r="AC12" s="130">
        <v>0.71</v>
      </c>
      <c r="AD12" s="130">
        <v>0.36649999999999999</v>
      </c>
      <c r="AE12" s="130">
        <v>0.35499999999999998</v>
      </c>
      <c r="AF12" s="143">
        <v>0.15049999999999999</v>
      </c>
      <c r="AG12" s="15">
        <v>0.13899999999999998</v>
      </c>
      <c r="AH12" s="15">
        <f t="shared" ref="AH12:AI12" si="58">+AB12/AB$26</f>
        <v>1.6967592592592593</v>
      </c>
      <c r="AI12" s="15">
        <f t="shared" si="58"/>
        <v>1.6435185185185184</v>
      </c>
      <c r="AK12" s="15" t="s">
        <v>280</v>
      </c>
      <c r="AL12" s="172">
        <v>5.4788418708240534E-2</v>
      </c>
      <c r="AM12" s="172">
        <v>2.8062360801781736E-2</v>
      </c>
      <c r="AN12" s="172">
        <v>5.6792873051224942E-2</v>
      </c>
      <c r="AO12" s="172">
        <v>0.13964365256124722</v>
      </c>
      <c r="AR12" s="15">
        <v>10</v>
      </c>
      <c r="AS12" s="172">
        <v>0.27333292956211008</v>
      </c>
      <c r="AT12" s="172">
        <v>0.41195577282719248</v>
      </c>
      <c r="AU12" s="15">
        <v>154200</v>
      </c>
      <c r="AV12" s="15">
        <v>16511</v>
      </c>
      <c r="AW12" s="15">
        <v>30479</v>
      </c>
      <c r="AX12" s="15">
        <v>4513</v>
      </c>
      <c r="AY12" s="15">
        <v>12556</v>
      </c>
      <c r="BB12" s="44">
        <v>5</v>
      </c>
      <c r="BF12" s="33">
        <f t="shared" si="40"/>
        <v>4.5000000000000005E-2</v>
      </c>
      <c r="BG12" s="33"/>
      <c r="BH12" s="15">
        <f t="shared" si="32"/>
        <v>6</v>
      </c>
      <c r="BI12" s="33">
        <f t="shared" si="14"/>
        <v>0.05</v>
      </c>
      <c r="BJ12" s="33"/>
      <c r="BK12" s="33"/>
      <c r="BS12" s="56" t="s">
        <v>273</v>
      </c>
      <c r="BT12" s="56">
        <v>232339</v>
      </c>
      <c r="BU12" s="198">
        <v>0.25490000000000002</v>
      </c>
      <c r="BV12" s="198">
        <v>0.25640000000000002</v>
      </c>
      <c r="BY12" s="56">
        <v>9</v>
      </c>
      <c r="BZ12" s="56">
        <v>85</v>
      </c>
      <c r="CA12" s="56">
        <v>15</v>
      </c>
      <c r="CB12" s="56">
        <v>0</v>
      </c>
      <c r="CC12" s="197">
        <f t="shared" si="6"/>
        <v>0.15</v>
      </c>
      <c r="CD12" s="198">
        <v>0</v>
      </c>
      <c r="CE12" s="33">
        <v>0.14000000000000001</v>
      </c>
      <c r="CF12" s="199">
        <f t="shared" si="8"/>
        <v>5.9999999999999993E-3</v>
      </c>
      <c r="CH12" s="15">
        <f t="shared" si="15"/>
        <v>23</v>
      </c>
      <c r="CI12" s="56">
        <v>23</v>
      </c>
      <c r="CJ12" s="56">
        <v>1932</v>
      </c>
      <c r="CK12" s="56">
        <v>1104</v>
      </c>
      <c r="CL12" s="56">
        <v>673</v>
      </c>
      <c r="CM12" s="197">
        <v>0.64</v>
      </c>
      <c r="CN12" s="200">
        <f t="shared" si="9"/>
        <v>0.37872819358469328</v>
      </c>
      <c r="CO12" s="201">
        <f t="shared" si="50"/>
        <v>0.38</v>
      </c>
      <c r="CP12" s="202"/>
      <c r="CQ12" s="15">
        <f t="shared" si="16"/>
        <v>20</v>
      </c>
      <c r="CR12" s="56">
        <v>20</v>
      </c>
      <c r="CS12" s="56">
        <v>945</v>
      </c>
      <c r="CT12" s="56">
        <v>3645</v>
      </c>
      <c r="CU12" s="56">
        <v>941</v>
      </c>
      <c r="CV12" s="197">
        <v>0.79</v>
      </c>
      <c r="CW12" s="197">
        <v>0.5</v>
      </c>
      <c r="CX12" s="172">
        <f t="shared" si="33"/>
        <v>0.49000000000000005</v>
      </c>
      <c r="DA12" s="56">
        <v>0</v>
      </c>
      <c r="DB12" s="198">
        <v>0.438</v>
      </c>
      <c r="DC12" s="194"/>
      <c r="DD12" s="194">
        <f t="shared" si="17"/>
        <v>-18.5</v>
      </c>
      <c r="DE12" s="56">
        <v>-20</v>
      </c>
      <c r="DF12" s="56">
        <v>0.90100000000000002</v>
      </c>
      <c r="DH12" s="45">
        <f t="shared" si="34"/>
        <v>-40</v>
      </c>
      <c r="DI12" s="204">
        <f t="shared" si="18"/>
        <v>0.51487499999999997</v>
      </c>
      <c r="DJ12" s="15">
        <f t="shared" si="19"/>
        <v>-42.5</v>
      </c>
      <c r="DK12" s="15">
        <f t="shared" si="20"/>
        <v>-38.5</v>
      </c>
      <c r="DL12" s="15">
        <f t="shared" si="21"/>
        <v>0.625</v>
      </c>
      <c r="DM12" s="15">
        <f t="shared" ref="DM12:DN12" si="59">VLOOKUP(DJ12,$DD$5:$DF$24,3,FALSE)</f>
        <v>0.47299999999999998</v>
      </c>
      <c r="DN12" s="15">
        <f t="shared" si="59"/>
        <v>0.54</v>
      </c>
      <c r="DP12" s="15">
        <f t="shared" si="23"/>
        <v>9</v>
      </c>
      <c r="DQ12" s="43">
        <v>0.86</v>
      </c>
      <c r="DR12" s="186">
        <v>0.84</v>
      </c>
      <c r="DS12" s="43">
        <f t="shared" ref="DS12:DT12" si="60">$DP12*DQ12</f>
        <v>7.74</v>
      </c>
      <c r="DT12" s="43">
        <f t="shared" si="60"/>
        <v>7.56</v>
      </c>
      <c r="DX12" s="15">
        <f t="shared" si="4"/>
        <v>-2.5</v>
      </c>
      <c r="DY12" s="186">
        <v>-4</v>
      </c>
      <c r="DZ12" s="187">
        <v>0.52</v>
      </c>
      <c r="EB12" s="186">
        <v>7.5</v>
      </c>
      <c r="EC12" s="187">
        <v>1.02</v>
      </c>
      <c r="EE12" s="45">
        <f t="shared" si="37"/>
        <v>-34</v>
      </c>
      <c r="EF12" s="204">
        <f t="shared" si="43"/>
        <v>0.25375000000000003</v>
      </c>
      <c r="EG12" s="15">
        <f t="shared" si="25"/>
        <v>-34.5</v>
      </c>
      <c r="EH12" s="15">
        <f t="shared" si="26"/>
        <v>-30.5</v>
      </c>
      <c r="EI12" s="15">
        <f t="shared" si="27"/>
        <v>0.125</v>
      </c>
      <c r="EJ12" s="205">
        <f t="shared" ref="EJ12:EK12" si="61">VLOOKUP(EG12,$DX$3:$DZ$19,3,FALSE)</f>
        <v>0.25</v>
      </c>
      <c r="EK12" s="205">
        <f t="shared" si="61"/>
        <v>0.28000000000000003</v>
      </c>
      <c r="FH12" s="184" t="s">
        <v>281</v>
      </c>
      <c r="FI12" s="184" t="s">
        <v>202</v>
      </c>
      <c r="FJ12" s="184" t="s">
        <v>203</v>
      </c>
      <c r="FK12" s="184" t="s">
        <v>204</v>
      </c>
      <c r="FL12" s="184" t="s">
        <v>205</v>
      </c>
      <c r="FM12" s="184" t="s">
        <v>206</v>
      </c>
      <c r="FN12" s="184" t="s">
        <v>282</v>
      </c>
      <c r="FP12" s="15">
        <f t="shared" si="30"/>
        <v>15</v>
      </c>
      <c r="FQ12" s="33">
        <f t="shared" si="31"/>
        <v>0.52500000000000002</v>
      </c>
      <c r="FS12" s="15">
        <v>12</v>
      </c>
      <c r="FT12" s="43">
        <f t="shared" si="13"/>
        <v>1.0999999999999996</v>
      </c>
    </row>
    <row r="13" spans="1:183" ht="14.5" x14ac:dyDescent="0.35">
      <c r="A13" s="34">
        <v>-25</v>
      </c>
      <c r="B13" s="212">
        <v>4.273504273504274E-4</v>
      </c>
      <c r="G13" s="34">
        <v>7</v>
      </c>
      <c r="H13" s="210">
        <v>1.7351648351648352</v>
      </c>
      <c r="I13" s="210"/>
      <c r="J13" s="15">
        <v>3640</v>
      </c>
      <c r="K13" s="15">
        <v>6316</v>
      </c>
      <c r="L13" s="43">
        <v>1.7351648351648352</v>
      </c>
      <c r="N13" s="34">
        <v>12</v>
      </c>
      <c r="O13" s="6">
        <v>8244</v>
      </c>
      <c r="P13" s="6">
        <v>5787</v>
      </c>
      <c r="Q13" s="6">
        <v>2771</v>
      </c>
      <c r="R13" s="33">
        <f t="shared" si="2"/>
        <v>0.29243718913403904</v>
      </c>
      <c r="S13" s="185">
        <v>0.29243718913403904</v>
      </c>
      <c r="T13" s="6"/>
      <c r="U13" s="180">
        <v>2</v>
      </c>
      <c r="V13" s="181">
        <v>0</v>
      </c>
      <c r="W13" s="181" t="s">
        <v>283</v>
      </c>
      <c r="X13" s="214">
        <v>0.13652663037135696</v>
      </c>
      <c r="Y13" s="214">
        <v>0.16000000000000003</v>
      </c>
      <c r="Z13" s="182"/>
      <c r="AA13" s="155">
        <v>10</v>
      </c>
      <c r="AB13" s="130">
        <v>0.80300000000000005</v>
      </c>
      <c r="AC13" s="130">
        <v>0.71399999999999997</v>
      </c>
      <c r="AD13" s="130">
        <v>0.40150000000000002</v>
      </c>
      <c r="AE13" s="130">
        <v>0.35699999999999998</v>
      </c>
      <c r="AF13" s="143">
        <v>0.18550000000000003</v>
      </c>
      <c r="AG13" s="15">
        <v>0.14099999999999999</v>
      </c>
      <c r="AH13" s="15">
        <f t="shared" ref="AH13:AI13" si="62">+AB13/AB$26</f>
        <v>1.8587962962962965</v>
      </c>
      <c r="AI13" s="15">
        <f t="shared" si="62"/>
        <v>1.6527777777777777</v>
      </c>
      <c r="AK13" s="15" t="s">
        <v>284</v>
      </c>
      <c r="AL13" s="172">
        <v>5.5757050830942456E-2</v>
      </c>
      <c r="AM13" s="172">
        <v>2.9123585773832079E-2</v>
      </c>
      <c r="AN13" s="172">
        <v>4.6554430790883991E-2</v>
      </c>
      <c r="AO13" s="172">
        <v>0.13143506739565852</v>
      </c>
      <c r="AR13" s="15">
        <v>15</v>
      </c>
      <c r="AS13" s="172">
        <v>0.30312954876273651</v>
      </c>
      <c r="AT13" s="172">
        <v>0.38527998968374222</v>
      </c>
      <c r="AU13" s="15">
        <v>170891</v>
      </c>
      <c r="AV13" s="15">
        <v>24732</v>
      </c>
      <c r="AW13" s="15">
        <v>31019</v>
      </c>
      <c r="AX13" s="15">
        <v>7497</v>
      </c>
      <c r="AY13" s="15">
        <v>11951</v>
      </c>
      <c r="BB13" s="56">
        <v>6</v>
      </c>
      <c r="BC13" s="56">
        <v>1</v>
      </c>
      <c r="BD13" s="56">
        <v>37</v>
      </c>
      <c r="BE13" s="200">
        <f t="shared" ref="BE13:BE14" si="63">BC13/BD13</f>
        <v>2.7027027027027029E-2</v>
      </c>
      <c r="BF13" s="33">
        <v>0.05</v>
      </c>
      <c r="BG13" s="33"/>
      <c r="BH13" s="15">
        <f t="shared" si="32"/>
        <v>7</v>
      </c>
      <c r="BI13" s="33">
        <f t="shared" si="14"/>
        <v>7.0000000000000007E-2</v>
      </c>
      <c r="BJ13" s="33"/>
      <c r="BK13" s="33"/>
      <c r="BY13" s="56">
        <v>10</v>
      </c>
      <c r="BZ13" s="56">
        <v>186</v>
      </c>
      <c r="CA13" s="56">
        <v>30</v>
      </c>
      <c r="CB13" s="56">
        <v>1</v>
      </c>
      <c r="CC13" s="197">
        <f t="shared" si="6"/>
        <v>0.1388888888888889</v>
      </c>
      <c r="CD13" s="198">
        <v>5.0000000000000001E-3</v>
      </c>
      <c r="CE13" s="33">
        <v>0.15</v>
      </c>
      <c r="CF13" s="199">
        <f t="shared" si="8"/>
        <v>6.2499999999999995E-3</v>
      </c>
      <c r="CH13" s="15">
        <f t="shared" si="15"/>
        <v>24</v>
      </c>
      <c r="CI13" s="56">
        <v>24</v>
      </c>
      <c r="CJ13" s="56">
        <v>1989</v>
      </c>
      <c r="CK13" s="56">
        <v>1132</v>
      </c>
      <c r="CL13" s="56">
        <v>702</v>
      </c>
      <c r="CM13" s="197">
        <v>0.64</v>
      </c>
      <c r="CN13" s="200">
        <f t="shared" si="9"/>
        <v>0.38276990185387133</v>
      </c>
      <c r="CO13" s="201">
        <f t="shared" si="50"/>
        <v>0.38500000000000001</v>
      </c>
      <c r="CP13" s="202"/>
      <c r="CQ13" s="15">
        <f t="shared" si="16"/>
        <v>21</v>
      </c>
      <c r="CR13" s="56">
        <v>21</v>
      </c>
      <c r="CS13" s="56">
        <v>1081</v>
      </c>
      <c r="CT13" s="56">
        <v>4300</v>
      </c>
      <c r="CU13" s="56">
        <v>1126</v>
      </c>
      <c r="CV13" s="197">
        <v>0.8</v>
      </c>
      <c r="CW13" s="197">
        <v>0.51</v>
      </c>
      <c r="CX13" s="172">
        <f t="shared" si="33"/>
        <v>0.5</v>
      </c>
      <c r="DA13" s="56">
        <v>1</v>
      </c>
      <c r="DB13" s="198">
        <v>0.622</v>
      </c>
      <c r="DC13" s="194"/>
      <c r="DD13" s="194">
        <f t="shared" si="17"/>
        <v>-14.5</v>
      </c>
      <c r="DE13" s="56">
        <v>-16</v>
      </c>
      <c r="DF13" s="56">
        <v>0.91500000000000004</v>
      </c>
      <c r="DH13" s="45">
        <f t="shared" si="34"/>
        <v>-39</v>
      </c>
      <c r="DI13" s="204">
        <f t="shared" si="18"/>
        <v>0.53162500000000001</v>
      </c>
      <c r="DJ13" s="15">
        <f t="shared" si="19"/>
        <v>-42.5</v>
      </c>
      <c r="DK13" s="15">
        <f t="shared" si="20"/>
        <v>-38.5</v>
      </c>
      <c r="DL13" s="15">
        <f t="shared" si="21"/>
        <v>0.875</v>
      </c>
      <c r="DM13" s="15">
        <f t="shared" ref="DM13:DN13" si="64">VLOOKUP(DJ13,$DD$5:$DF$24,3,FALSE)</f>
        <v>0.47299999999999998</v>
      </c>
      <c r="DN13" s="15">
        <f t="shared" si="64"/>
        <v>0.54</v>
      </c>
      <c r="DP13" s="15">
        <f t="shared" si="23"/>
        <v>10</v>
      </c>
      <c r="DQ13" s="43">
        <v>0.86</v>
      </c>
      <c r="DR13" s="186">
        <v>0.84</v>
      </c>
      <c r="DS13" s="43">
        <f t="shared" ref="DS13:DT13" si="65">$DP13*DQ13</f>
        <v>8.6</v>
      </c>
      <c r="DT13" s="43">
        <f t="shared" si="65"/>
        <v>8.4</v>
      </c>
      <c r="DX13" s="15">
        <f t="shared" si="4"/>
        <v>1.5</v>
      </c>
      <c r="DY13" s="186">
        <v>0</v>
      </c>
      <c r="DZ13" s="187">
        <v>0.56000000000000005</v>
      </c>
      <c r="EB13" s="186">
        <v>8</v>
      </c>
      <c r="EC13" s="187">
        <v>1</v>
      </c>
      <c r="EE13" s="45">
        <f t="shared" si="37"/>
        <v>-33</v>
      </c>
      <c r="EF13" s="204">
        <f t="shared" si="43"/>
        <v>0.26124999999999998</v>
      </c>
      <c r="EG13" s="15">
        <f t="shared" si="25"/>
        <v>-34.5</v>
      </c>
      <c r="EH13" s="15">
        <f t="shared" si="26"/>
        <v>-30.5</v>
      </c>
      <c r="EI13" s="15">
        <f t="shared" si="27"/>
        <v>0.375</v>
      </c>
      <c r="EJ13" s="205">
        <f t="shared" ref="EJ13:EK13" si="66">VLOOKUP(EG13,$DX$3:$DZ$19,3,FALSE)</f>
        <v>0.25</v>
      </c>
      <c r="EK13" s="205">
        <f t="shared" si="66"/>
        <v>0.28000000000000003</v>
      </c>
      <c r="EM13" s="188" t="s">
        <v>285</v>
      </c>
      <c r="EN13" s="188">
        <v>7</v>
      </c>
      <c r="EO13" s="188">
        <v>8</v>
      </c>
      <c r="EP13" s="188">
        <v>9</v>
      </c>
      <c r="EQ13" s="188">
        <v>10</v>
      </c>
      <c r="FH13" s="217" t="s">
        <v>286</v>
      </c>
      <c r="FI13" s="186">
        <v>888</v>
      </c>
      <c r="FJ13" s="187">
        <v>0.52</v>
      </c>
      <c r="FK13" s="187">
        <v>0.9</v>
      </c>
      <c r="FL13" s="187">
        <v>0.85</v>
      </c>
      <c r="FM13" s="186">
        <v>1.97</v>
      </c>
      <c r="FN13" s="186">
        <v>8.5</v>
      </c>
      <c r="FP13" s="15">
        <f t="shared" si="30"/>
        <v>16</v>
      </c>
      <c r="FQ13" s="33">
        <f t="shared" si="31"/>
        <v>0.52</v>
      </c>
    </row>
    <row r="14" spans="1:183" ht="14.5" x14ac:dyDescent="0.35">
      <c r="A14" s="34">
        <v>-24</v>
      </c>
      <c r="B14" s="212">
        <v>6.7299279897705105E-4</v>
      </c>
      <c r="G14" s="34">
        <v>8</v>
      </c>
      <c r="H14" s="210">
        <v>2.0843423799582466</v>
      </c>
      <c r="I14" s="210"/>
      <c r="J14" s="15">
        <v>2395</v>
      </c>
      <c r="K14" s="15">
        <v>4992</v>
      </c>
      <c r="L14" s="43">
        <v>2.0843423799582466</v>
      </c>
      <c r="N14" s="34">
        <v>13</v>
      </c>
      <c r="O14" s="6">
        <v>8906</v>
      </c>
      <c r="P14" s="6">
        <v>5782</v>
      </c>
      <c r="Q14" s="6">
        <v>3364</v>
      </c>
      <c r="R14" s="33">
        <f t="shared" si="2"/>
        <v>0.33612324114507519</v>
      </c>
      <c r="S14" s="185">
        <v>0.33612324114507519</v>
      </c>
      <c r="T14" s="6"/>
      <c r="U14" s="180">
        <v>2</v>
      </c>
      <c r="V14" s="181">
        <v>1</v>
      </c>
      <c r="W14" s="181" t="s">
        <v>287</v>
      </c>
      <c r="X14" s="214">
        <v>9.8608232158720763E-2</v>
      </c>
      <c r="Y14" s="214">
        <v>0</v>
      </c>
      <c r="Z14" s="182"/>
      <c r="AA14" s="155">
        <v>11</v>
      </c>
      <c r="AB14" s="130">
        <v>0.88100000000000001</v>
      </c>
      <c r="AC14" s="130">
        <v>0.71699999999999997</v>
      </c>
      <c r="AD14" s="130">
        <v>0.4405</v>
      </c>
      <c r="AE14" s="130">
        <v>0.35849999999999999</v>
      </c>
      <c r="AF14" s="143">
        <v>0.22450000000000001</v>
      </c>
      <c r="AG14" s="15">
        <v>0.14249999999999999</v>
      </c>
      <c r="AH14" s="15">
        <f t="shared" ref="AH14:AI14" si="67">+AB14/AB$26</f>
        <v>2.0393518518518521</v>
      </c>
      <c r="AI14" s="15">
        <f t="shared" si="67"/>
        <v>1.6597222222222221</v>
      </c>
      <c r="AK14" s="15" t="s">
        <v>288</v>
      </c>
      <c r="AL14" s="172">
        <v>5.4059328649492588E-2</v>
      </c>
      <c r="AM14" s="172">
        <v>2.7257351027842835E-2</v>
      </c>
      <c r="AN14" s="172">
        <v>4.3976060369502995E-2</v>
      </c>
      <c r="AO14" s="172">
        <v>0.12529274004683844</v>
      </c>
      <c r="AR14" s="15">
        <v>20</v>
      </c>
      <c r="AS14" s="172">
        <v>0.34160338531099649</v>
      </c>
      <c r="AT14" s="172">
        <v>0.37475697211155379</v>
      </c>
      <c r="AU14" s="15">
        <v>189238</v>
      </c>
      <c r="AV14" s="15">
        <v>34502</v>
      </c>
      <c r="AW14" s="15">
        <v>31375</v>
      </c>
      <c r="AX14" s="15">
        <v>11786</v>
      </c>
      <c r="AY14" s="15">
        <v>11758</v>
      </c>
      <c r="BB14" s="56">
        <v>7</v>
      </c>
      <c r="BC14" s="56">
        <v>26</v>
      </c>
      <c r="BD14" s="56">
        <v>262</v>
      </c>
      <c r="BE14" s="200">
        <f t="shared" si="63"/>
        <v>9.9236641221374045E-2</v>
      </c>
      <c r="BF14" s="33">
        <v>7.0000000000000007E-2</v>
      </c>
      <c r="BG14" s="33"/>
      <c r="BH14" s="15">
        <f t="shared" ref="BH14:BH79" si="68">BH13+0.5</f>
        <v>7.5</v>
      </c>
      <c r="BI14" s="33">
        <f t="shared" si="14"/>
        <v>0.08</v>
      </c>
      <c r="BJ14" s="33"/>
      <c r="BK14" s="33"/>
      <c r="BY14" s="56">
        <v>11</v>
      </c>
      <c r="BZ14" s="56">
        <v>307</v>
      </c>
      <c r="CA14" s="56">
        <v>61</v>
      </c>
      <c r="CB14" s="56">
        <v>2</v>
      </c>
      <c r="CC14" s="197">
        <f t="shared" si="6"/>
        <v>0.16576086956521738</v>
      </c>
      <c r="CD14" s="198">
        <v>6.0000000000000001E-3</v>
      </c>
      <c r="CE14" s="33">
        <v>0.16</v>
      </c>
      <c r="CF14" s="213">
        <v>6.4999999999999997E-3</v>
      </c>
      <c r="CH14" s="15">
        <f t="shared" si="15"/>
        <v>25</v>
      </c>
      <c r="CI14" s="56">
        <v>25</v>
      </c>
      <c r="CJ14" s="56">
        <v>1822</v>
      </c>
      <c r="CK14" s="56">
        <v>1034</v>
      </c>
      <c r="CL14" s="56">
        <v>634</v>
      </c>
      <c r="CM14" s="197">
        <v>0.64</v>
      </c>
      <c r="CN14" s="200">
        <f t="shared" si="9"/>
        <v>0.38009592326139091</v>
      </c>
      <c r="CO14" s="201">
        <f t="shared" si="50"/>
        <v>0.39</v>
      </c>
      <c r="CP14" s="202"/>
      <c r="CQ14" s="15">
        <f t="shared" si="16"/>
        <v>22</v>
      </c>
      <c r="CR14" s="56">
        <v>22</v>
      </c>
      <c r="CS14" s="56">
        <v>1090</v>
      </c>
      <c r="CT14" s="56">
        <v>4800</v>
      </c>
      <c r="CU14" s="56">
        <v>1300</v>
      </c>
      <c r="CV14" s="197">
        <v>0.81</v>
      </c>
      <c r="CW14" s="197">
        <v>0.54</v>
      </c>
      <c r="CX14" s="172">
        <f t="shared" si="33"/>
        <v>0.51</v>
      </c>
      <c r="DA14" s="56">
        <v>2</v>
      </c>
      <c r="DB14" s="198">
        <v>0.70299999999999996</v>
      </c>
      <c r="DC14" s="194"/>
      <c r="DD14" s="194">
        <f t="shared" si="17"/>
        <v>-10.5</v>
      </c>
      <c r="DE14" s="56">
        <v>-12</v>
      </c>
      <c r="DF14" s="56">
        <v>0.97699999999999998</v>
      </c>
      <c r="DH14" s="45">
        <f t="shared" si="34"/>
        <v>-38</v>
      </c>
      <c r="DI14" s="204">
        <f t="shared" si="18"/>
        <v>0.54837500000000006</v>
      </c>
      <c r="DJ14" s="15">
        <f t="shared" si="19"/>
        <v>-38.5</v>
      </c>
      <c r="DK14" s="15">
        <f t="shared" si="20"/>
        <v>-34.5</v>
      </c>
      <c r="DL14" s="15">
        <f t="shared" si="21"/>
        <v>0.125</v>
      </c>
      <c r="DM14" s="15">
        <f t="shared" ref="DM14:DN14" si="69">VLOOKUP(DJ14,$DD$5:$DF$24,3,FALSE)</f>
        <v>0.54</v>
      </c>
      <c r="DN14" s="15">
        <f t="shared" si="69"/>
        <v>0.60699999999999998</v>
      </c>
      <c r="DX14" s="15">
        <f t="shared" si="4"/>
        <v>5.5</v>
      </c>
      <c r="DY14" s="186">
        <v>4</v>
      </c>
      <c r="DZ14" s="187">
        <v>0.57999999999999996</v>
      </c>
      <c r="EB14" s="186">
        <v>8.5</v>
      </c>
      <c r="EC14" s="187">
        <v>0.98</v>
      </c>
      <c r="EE14" s="45">
        <f t="shared" si="37"/>
        <v>-32</v>
      </c>
      <c r="EF14" s="204">
        <f t="shared" si="43"/>
        <v>0.26875000000000004</v>
      </c>
      <c r="EG14" s="15">
        <f t="shared" si="25"/>
        <v>-34.5</v>
      </c>
      <c r="EH14" s="15">
        <f t="shared" si="26"/>
        <v>-30.5</v>
      </c>
      <c r="EI14" s="15">
        <f t="shared" si="27"/>
        <v>0.625</v>
      </c>
      <c r="EJ14" s="205">
        <f t="shared" ref="EJ14:EK14" si="70">VLOOKUP(EG14,$DX$3:$DZ$19,3,FALSE)</f>
        <v>0.25</v>
      </c>
      <c r="EK14" s="205">
        <f t="shared" si="70"/>
        <v>0.28000000000000003</v>
      </c>
      <c r="EM14" s="195">
        <v>-4</v>
      </c>
      <c r="EN14" s="195"/>
      <c r="EO14" s="195"/>
      <c r="EP14" s="195"/>
      <c r="EQ14" s="196">
        <v>0.64</v>
      </c>
      <c r="FH14" s="218" t="s">
        <v>289</v>
      </c>
      <c r="FI14" s="186">
        <v>86</v>
      </c>
      <c r="FJ14" s="187">
        <v>0.63</v>
      </c>
      <c r="FK14" s="187">
        <v>0.72</v>
      </c>
      <c r="FL14" s="187">
        <v>0.42</v>
      </c>
      <c r="FM14" s="186">
        <v>1.49</v>
      </c>
      <c r="FN14" s="186">
        <v>7.7</v>
      </c>
      <c r="FP14" s="15">
        <f t="shared" si="30"/>
        <v>17</v>
      </c>
      <c r="FQ14" s="33">
        <f t="shared" si="31"/>
        <v>0.51500000000000001</v>
      </c>
    </row>
    <row r="15" spans="1:183" ht="14.5" x14ac:dyDescent="0.35">
      <c r="A15" s="34">
        <v>-23</v>
      </c>
      <c r="B15" s="212">
        <v>9.1863517060367453E-4</v>
      </c>
      <c r="G15" s="34">
        <v>9</v>
      </c>
      <c r="H15" s="210">
        <v>2.5191111111111111</v>
      </c>
      <c r="I15" s="210"/>
      <c r="J15" s="15">
        <v>1125</v>
      </c>
      <c r="K15" s="15">
        <v>2834</v>
      </c>
      <c r="L15" s="43">
        <v>2.5191111111111111</v>
      </c>
      <c r="N15" s="34">
        <v>14</v>
      </c>
      <c r="O15" s="6">
        <v>10967</v>
      </c>
      <c r="P15" s="6">
        <v>6832</v>
      </c>
      <c r="Q15" s="6">
        <v>4575</v>
      </c>
      <c r="R15" s="33">
        <f t="shared" si="2"/>
        <v>0.37772288344936</v>
      </c>
      <c r="S15" s="185">
        <v>0.37772288344936</v>
      </c>
      <c r="T15" s="6"/>
      <c r="U15" s="180">
        <v>2</v>
      </c>
      <c r="V15" s="181">
        <v>2</v>
      </c>
      <c r="W15" s="181" t="s">
        <v>290</v>
      </c>
      <c r="X15" s="214">
        <v>4.7688210590722431E-2</v>
      </c>
      <c r="Y15" s="214">
        <v>0</v>
      </c>
      <c r="Z15" s="182"/>
      <c r="AA15" s="155">
        <v>12</v>
      </c>
      <c r="AB15" s="130">
        <v>0.92200000000000004</v>
      </c>
      <c r="AC15" s="130">
        <v>0.745</v>
      </c>
      <c r="AD15" s="130">
        <v>0.46100000000000002</v>
      </c>
      <c r="AE15" s="130">
        <v>0.3725</v>
      </c>
      <c r="AF15" s="143">
        <v>0.24500000000000002</v>
      </c>
      <c r="AG15" s="15">
        <v>0.1565</v>
      </c>
      <c r="AH15" s="15">
        <f t="shared" ref="AH15:AI15" si="71">+AB15/AB$26</f>
        <v>2.1342592592592595</v>
      </c>
      <c r="AI15" s="15">
        <f t="shared" si="71"/>
        <v>1.724537037037037</v>
      </c>
      <c r="AK15" s="15" t="s">
        <v>291</v>
      </c>
      <c r="AL15" s="172">
        <v>5.0202215579391606E-2</v>
      </c>
      <c r="AM15" s="172">
        <v>3.2442412519781964E-2</v>
      </c>
      <c r="AN15" s="172">
        <v>4.6245823808686484E-2</v>
      </c>
      <c r="AO15" s="172">
        <v>0.12889045190786005</v>
      </c>
      <c r="AP15" s="15">
        <f>VLOOKUP((F10-F19)*4,lkup_simul!$EE:$EF,2,TRUE)*VLOOKUP(C20-IF(F13="Long Shots",5,0),lkup_simul!$EB:$EC,2,TRUE)</f>
        <v>0.74665000000000015</v>
      </c>
      <c r="AQ15" s="15">
        <f>VLOOKUP((F17-F12)*4,lkup_simul!$EE:$EF,2,TRUE)*VLOOKUP(C13-IF(F20="Long Shots",5,0),lkup_simul!$EB:$EC,2,TRUE)</f>
        <v>0.74665000000000015</v>
      </c>
      <c r="AR15" s="15">
        <v>25</v>
      </c>
      <c r="AS15" s="172">
        <v>0.37815126050420167</v>
      </c>
      <c r="AT15" s="172">
        <v>0.36301666305994373</v>
      </c>
      <c r="AU15" s="15">
        <v>59418</v>
      </c>
      <c r="AV15" s="15">
        <v>12257</v>
      </c>
      <c r="AW15" s="15">
        <v>9242</v>
      </c>
      <c r="AX15" s="15">
        <v>4635</v>
      </c>
      <c r="AY15" s="15">
        <v>3355</v>
      </c>
      <c r="BB15" s="56">
        <v>7.5</v>
      </c>
      <c r="BC15" s="56"/>
      <c r="BD15" s="56"/>
      <c r="BE15" s="200"/>
      <c r="BF15" s="33">
        <f>AVERAGE(BF14,BF16)</f>
        <v>0.08</v>
      </c>
      <c r="BG15" s="33"/>
      <c r="BH15" s="15">
        <f t="shared" si="68"/>
        <v>8</v>
      </c>
      <c r="BI15" s="33">
        <f t="shared" si="14"/>
        <v>0.09</v>
      </c>
      <c r="BJ15" s="33"/>
      <c r="BK15" s="33"/>
      <c r="BY15" s="56">
        <v>12</v>
      </c>
      <c r="BZ15" s="56">
        <v>280</v>
      </c>
      <c r="CA15" s="56">
        <v>54</v>
      </c>
      <c r="CB15" s="56">
        <v>2</v>
      </c>
      <c r="CC15" s="197">
        <f t="shared" si="6"/>
        <v>0.16167664670658682</v>
      </c>
      <c r="CD15" s="198">
        <v>7.0000000000000001E-3</v>
      </c>
      <c r="CE15" s="33">
        <v>0.17</v>
      </c>
      <c r="CF15" s="219">
        <f t="shared" ref="CF15:CF32" si="72">CF14+0.00025</f>
        <v>6.7499999999999999E-3</v>
      </c>
      <c r="CH15" s="15">
        <f t="shared" si="15"/>
        <v>26</v>
      </c>
      <c r="CI15" s="56">
        <v>26</v>
      </c>
      <c r="CJ15" s="56">
        <v>1546</v>
      </c>
      <c r="CK15" s="56">
        <v>836</v>
      </c>
      <c r="CL15" s="56">
        <v>539</v>
      </c>
      <c r="CM15" s="197">
        <v>0.65</v>
      </c>
      <c r="CN15" s="200">
        <f t="shared" si="9"/>
        <v>0.39200000000000002</v>
      </c>
      <c r="CO15" s="201">
        <f t="shared" si="50"/>
        <v>0.39500000000000002</v>
      </c>
      <c r="CP15" s="202"/>
      <c r="CQ15" s="15">
        <f t="shared" si="16"/>
        <v>23</v>
      </c>
      <c r="CR15" s="56">
        <v>23</v>
      </c>
      <c r="CS15" s="56">
        <v>863</v>
      </c>
      <c r="CT15" s="56">
        <v>3665</v>
      </c>
      <c r="CU15" s="56">
        <v>1001</v>
      </c>
      <c r="CV15" s="197">
        <v>0.81</v>
      </c>
      <c r="CW15" s="197">
        <v>0.54</v>
      </c>
      <c r="CX15" s="172">
        <f t="shared" si="33"/>
        <v>0.52</v>
      </c>
      <c r="DA15" s="56">
        <v>3</v>
      </c>
      <c r="DB15" s="198">
        <v>0.755</v>
      </c>
      <c r="DC15" s="194"/>
      <c r="DD15" s="194">
        <f t="shared" si="17"/>
        <v>-6.5</v>
      </c>
      <c r="DE15" s="56">
        <v>-8</v>
      </c>
      <c r="DF15" s="56">
        <v>1.0349999999999999</v>
      </c>
      <c r="DH15" s="45">
        <f t="shared" si="34"/>
        <v>-37</v>
      </c>
      <c r="DI15" s="204">
        <f t="shared" si="18"/>
        <v>0.56512499999999999</v>
      </c>
      <c r="DJ15" s="15">
        <f t="shared" si="19"/>
        <v>-38.5</v>
      </c>
      <c r="DK15" s="15">
        <f t="shared" si="20"/>
        <v>-34.5</v>
      </c>
      <c r="DL15" s="15">
        <f t="shared" si="21"/>
        <v>0.375</v>
      </c>
      <c r="DM15" s="15">
        <f t="shared" ref="DM15:DN15" si="73">VLOOKUP(DJ15,$DD$5:$DF$24,3,FALSE)</f>
        <v>0.54</v>
      </c>
      <c r="DN15" s="15">
        <f t="shared" si="73"/>
        <v>0.60699999999999998</v>
      </c>
      <c r="DX15" s="15">
        <f t="shared" si="4"/>
        <v>9.5</v>
      </c>
      <c r="DY15" s="186">
        <v>8</v>
      </c>
      <c r="DZ15" s="187">
        <v>0.6</v>
      </c>
      <c r="EB15" s="186">
        <v>9</v>
      </c>
      <c r="EC15" s="187">
        <v>0.96</v>
      </c>
      <c r="EE15" s="45">
        <f t="shared" si="37"/>
        <v>-31</v>
      </c>
      <c r="EF15" s="204">
        <f t="shared" si="43"/>
        <v>0.27625</v>
      </c>
      <c r="EG15" s="15">
        <f t="shared" si="25"/>
        <v>-34.5</v>
      </c>
      <c r="EH15" s="15">
        <f t="shared" si="26"/>
        <v>-30.5</v>
      </c>
      <c r="EI15" s="15">
        <f t="shared" si="27"/>
        <v>0.875</v>
      </c>
      <c r="EJ15" s="205">
        <f t="shared" ref="EJ15:EK15" si="74">VLOOKUP(EG15,$DX$3:$DZ$19,3,FALSE)</f>
        <v>0.25</v>
      </c>
      <c r="EK15" s="205">
        <f t="shared" si="74"/>
        <v>0.28000000000000003</v>
      </c>
      <c r="EM15" s="195">
        <v>0</v>
      </c>
      <c r="EN15" s="195"/>
      <c r="EO15" s="196">
        <v>0.69</v>
      </c>
      <c r="EP15" s="196">
        <v>0.66</v>
      </c>
      <c r="EQ15" s="196">
        <v>0.75</v>
      </c>
      <c r="FH15" s="186" t="s">
        <v>292</v>
      </c>
      <c r="FI15" s="186">
        <v>192</v>
      </c>
      <c r="FJ15" s="187">
        <v>0.53</v>
      </c>
      <c r="FK15" s="187">
        <v>0.84</v>
      </c>
      <c r="FL15" s="187">
        <v>0.73</v>
      </c>
      <c r="FM15" s="186">
        <v>1.77</v>
      </c>
      <c r="FN15" s="186">
        <v>8.1</v>
      </c>
      <c r="FP15" s="15">
        <f t="shared" si="30"/>
        <v>18</v>
      </c>
      <c r="FQ15" s="33">
        <f t="shared" si="31"/>
        <v>0.51</v>
      </c>
    </row>
    <row r="16" spans="1:183" ht="14.5" x14ac:dyDescent="0.35">
      <c r="A16" s="34">
        <v>-22</v>
      </c>
      <c r="B16" s="212">
        <v>1.312910284463895E-3</v>
      </c>
      <c r="G16" s="34">
        <v>10</v>
      </c>
      <c r="H16" s="210">
        <v>2.858565737051793</v>
      </c>
      <c r="I16" s="210"/>
      <c r="J16" s="15">
        <v>502</v>
      </c>
      <c r="K16" s="15">
        <v>1435</v>
      </c>
      <c r="L16" s="43">
        <v>2.858565737051793</v>
      </c>
      <c r="N16" s="34">
        <v>15</v>
      </c>
      <c r="O16" s="6">
        <v>11367</v>
      </c>
      <c r="P16" s="6">
        <v>6697</v>
      </c>
      <c r="Q16" s="6">
        <v>5268</v>
      </c>
      <c r="R16" s="33">
        <f t="shared" si="2"/>
        <v>0.41716057262697182</v>
      </c>
      <c r="S16" s="185">
        <v>0.41716057262697182</v>
      </c>
      <c r="T16" s="6"/>
      <c r="U16" s="180">
        <v>2</v>
      </c>
      <c r="V16" s="181">
        <v>3</v>
      </c>
      <c r="W16" s="181" t="s">
        <v>293</v>
      </c>
      <c r="X16" s="214">
        <v>2.757054080162839E-2</v>
      </c>
      <c r="Y16" s="214">
        <v>0</v>
      </c>
      <c r="Z16" s="182"/>
      <c r="AA16" s="155">
        <v>13</v>
      </c>
      <c r="AB16" s="130">
        <v>0.96899999999999997</v>
      </c>
      <c r="AC16" s="130">
        <v>0.749</v>
      </c>
      <c r="AD16" s="130">
        <v>0.48449999999999999</v>
      </c>
      <c r="AE16" s="130">
        <v>0.3745</v>
      </c>
      <c r="AF16" s="143">
        <v>0.26849999999999996</v>
      </c>
      <c r="AG16" s="15">
        <v>0.1585</v>
      </c>
      <c r="AH16" s="15">
        <f t="shared" ref="AH16:AI16" si="75">+AB16/AB$26</f>
        <v>2.2430555555555554</v>
      </c>
      <c r="AI16" s="15">
        <f t="shared" si="75"/>
        <v>1.7337962962962963</v>
      </c>
      <c r="AK16" s="15" t="s">
        <v>294</v>
      </c>
      <c r="AL16" s="172">
        <v>4.497560740377584E-2</v>
      </c>
      <c r="AM16" s="172">
        <v>3.16983194425468E-2</v>
      </c>
      <c r="AN16" s="172">
        <v>4.5200646182779719E-2</v>
      </c>
      <c r="AO16" s="172">
        <v>0.12187457302910236</v>
      </c>
      <c r="AR16" s="15">
        <v>30</v>
      </c>
      <c r="AS16" s="172" t="e">
        <v>#DIV/0!</v>
      </c>
      <c r="AT16" s="172" t="e">
        <v>#DIV/0!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BB16" s="56">
        <v>8</v>
      </c>
      <c r="BC16" s="56">
        <v>32</v>
      </c>
      <c r="BD16" s="56">
        <v>482</v>
      </c>
      <c r="BE16" s="200">
        <f>BC16/BD16</f>
        <v>6.6390041493775934E-2</v>
      </c>
      <c r="BF16" s="33">
        <v>0.09</v>
      </c>
      <c r="BG16" s="33"/>
      <c r="BH16" s="15">
        <f t="shared" si="68"/>
        <v>8.5</v>
      </c>
      <c r="BI16" s="33">
        <f t="shared" si="14"/>
        <v>9.9429028815368192E-2</v>
      </c>
      <c r="BJ16" s="33"/>
      <c r="BK16" s="33"/>
      <c r="BY16" s="56">
        <v>13</v>
      </c>
      <c r="BZ16" s="56">
        <v>520</v>
      </c>
      <c r="CA16" s="56">
        <v>123</v>
      </c>
      <c r="CB16" s="56">
        <v>5</v>
      </c>
      <c r="CC16" s="197">
        <f t="shared" si="6"/>
        <v>0.19129082426127528</v>
      </c>
      <c r="CD16" s="198">
        <v>0.01</v>
      </c>
      <c r="CE16" s="33">
        <v>0.18</v>
      </c>
      <c r="CF16" s="219">
        <f t="shared" si="72"/>
        <v>7.0000000000000001E-3</v>
      </c>
      <c r="CH16" s="15">
        <f t="shared" si="15"/>
        <v>27</v>
      </c>
      <c r="CI16" s="56">
        <v>27</v>
      </c>
      <c r="CJ16" s="56">
        <v>1257</v>
      </c>
      <c r="CK16" s="56">
        <v>756</v>
      </c>
      <c r="CL16" s="56">
        <v>472</v>
      </c>
      <c r="CM16" s="197">
        <v>0.62</v>
      </c>
      <c r="CN16" s="200">
        <f t="shared" si="9"/>
        <v>0.38436482084690554</v>
      </c>
      <c r="CO16" s="201">
        <f t="shared" si="50"/>
        <v>0.4</v>
      </c>
      <c r="CP16" s="202"/>
      <c r="CQ16" s="15">
        <f t="shared" si="16"/>
        <v>24</v>
      </c>
      <c r="CR16" s="56">
        <v>24</v>
      </c>
      <c r="CS16" s="56">
        <v>708</v>
      </c>
      <c r="CT16" s="56">
        <v>2841</v>
      </c>
      <c r="CU16" s="56">
        <v>776</v>
      </c>
      <c r="CV16" s="197">
        <v>0.8</v>
      </c>
      <c r="CW16" s="197">
        <v>0.52</v>
      </c>
      <c r="CX16" s="172">
        <f t="shared" si="33"/>
        <v>0.53</v>
      </c>
      <c r="DA16" s="56">
        <v>4</v>
      </c>
      <c r="DB16" s="198">
        <v>0.80500000000000005</v>
      </c>
      <c r="DC16" s="194"/>
      <c r="DD16" s="194">
        <f t="shared" si="17"/>
        <v>-2.5</v>
      </c>
      <c r="DE16" s="56">
        <v>-4</v>
      </c>
      <c r="DF16" s="56">
        <v>1.054</v>
      </c>
      <c r="DH16" s="45">
        <f t="shared" si="34"/>
        <v>-36</v>
      </c>
      <c r="DI16" s="204">
        <f t="shared" si="18"/>
        <v>0.58187500000000003</v>
      </c>
      <c r="DJ16" s="15">
        <f t="shared" si="19"/>
        <v>-38.5</v>
      </c>
      <c r="DK16" s="15">
        <f t="shared" si="20"/>
        <v>-34.5</v>
      </c>
      <c r="DL16" s="15">
        <f t="shared" si="21"/>
        <v>0.625</v>
      </c>
      <c r="DM16" s="15">
        <f t="shared" ref="DM16:DN16" si="76">VLOOKUP(DJ16,$DD$5:$DF$24,3,FALSE)</f>
        <v>0.54</v>
      </c>
      <c r="DN16" s="15">
        <f t="shared" si="76"/>
        <v>0.60699999999999998</v>
      </c>
      <c r="DX16" s="15">
        <f t="shared" si="4"/>
        <v>13.5</v>
      </c>
      <c r="DY16" s="186">
        <v>12</v>
      </c>
      <c r="DZ16" s="187">
        <v>0.62</v>
      </c>
      <c r="EB16" s="186">
        <v>9.5</v>
      </c>
      <c r="EC16" s="187">
        <v>0.94</v>
      </c>
      <c r="EE16" s="45">
        <f t="shared" si="37"/>
        <v>-30</v>
      </c>
      <c r="EF16" s="204">
        <f t="shared" si="43"/>
        <v>0.28375</v>
      </c>
      <c r="EG16" s="15">
        <f t="shared" si="25"/>
        <v>-30.5</v>
      </c>
      <c r="EH16" s="15">
        <f t="shared" si="26"/>
        <v>-26.5</v>
      </c>
      <c r="EI16" s="15">
        <f t="shared" si="27"/>
        <v>0.125</v>
      </c>
      <c r="EJ16" s="205">
        <f t="shared" ref="EJ16:EK16" si="77">VLOOKUP(EG16,$DX$3:$DZ$19,3,FALSE)</f>
        <v>0.28000000000000003</v>
      </c>
      <c r="EK16" s="205">
        <f t="shared" si="77"/>
        <v>0.31</v>
      </c>
      <c r="EM16" s="195">
        <v>4</v>
      </c>
      <c r="EN16" s="196">
        <v>0.77</v>
      </c>
      <c r="EO16" s="196">
        <v>0.68</v>
      </c>
      <c r="EP16" s="196">
        <v>0.73</v>
      </c>
      <c r="EQ16" s="196">
        <v>0.79</v>
      </c>
      <c r="FH16" s="186" t="s">
        <v>295</v>
      </c>
      <c r="FI16" s="186">
        <v>170</v>
      </c>
      <c r="FJ16" s="187">
        <v>0.5</v>
      </c>
      <c r="FK16" s="187">
        <v>0.88</v>
      </c>
      <c r="FL16" s="187">
        <v>0.88</v>
      </c>
      <c r="FM16" s="186">
        <v>2.0099999999999998</v>
      </c>
      <c r="FN16" s="186">
        <v>8.4</v>
      </c>
      <c r="FP16" s="15">
        <f t="shared" si="30"/>
        <v>19</v>
      </c>
      <c r="FQ16" s="33">
        <f t="shared" si="31"/>
        <v>0.505</v>
      </c>
    </row>
    <row r="17" spans="1:173" ht="14.5" x14ac:dyDescent="0.35">
      <c r="A17" s="34">
        <v>-21</v>
      </c>
      <c r="B17" s="212">
        <v>2.0318021201413427E-3</v>
      </c>
      <c r="G17" s="34">
        <v>11</v>
      </c>
      <c r="H17" s="210">
        <v>3.2480314960629921</v>
      </c>
      <c r="I17" s="210"/>
      <c r="J17" s="15">
        <v>254</v>
      </c>
      <c r="K17" s="15">
        <v>825</v>
      </c>
      <c r="L17" s="43">
        <v>3.2480314960629921</v>
      </c>
      <c r="N17" s="34">
        <v>16</v>
      </c>
      <c r="R17" s="185">
        <v>0.46344681974135654</v>
      </c>
      <c r="S17" s="185">
        <v>0.46344681974135654</v>
      </c>
      <c r="T17" s="6"/>
      <c r="U17" s="180">
        <v>3</v>
      </c>
      <c r="V17" s="181">
        <v>0</v>
      </c>
      <c r="W17" s="181" t="s">
        <v>296</v>
      </c>
      <c r="X17" s="214">
        <v>0.17065828796419619</v>
      </c>
      <c r="Y17" s="214">
        <v>0.2</v>
      </c>
      <c r="Z17" s="182"/>
      <c r="AA17" s="155">
        <v>14</v>
      </c>
      <c r="AB17" s="130">
        <v>1.0229999999999999</v>
      </c>
      <c r="AC17" s="130">
        <v>0.748</v>
      </c>
      <c r="AD17" s="130">
        <v>0.51149999999999995</v>
      </c>
      <c r="AE17" s="130">
        <v>0.374</v>
      </c>
      <c r="AF17" s="143">
        <v>0.29549999999999998</v>
      </c>
      <c r="AG17" s="15">
        <v>0.158</v>
      </c>
      <c r="AH17" s="15">
        <f t="shared" ref="AH17:AI17" si="78">+AB17/AB$26</f>
        <v>2.3680555555555554</v>
      </c>
      <c r="AI17" s="15">
        <f t="shared" si="78"/>
        <v>1.7314814814814814</v>
      </c>
      <c r="AK17" s="15" t="s">
        <v>297</v>
      </c>
      <c r="AL17" s="172">
        <v>4.6366826156299848E-2</v>
      </c>
      <c r="AM17" s="172">
        <v>3.2357256778309418E-2</v>
      </c>
      <c r="AN17" s="172">
        <v>4.3023923444976082E-2</v>
      </c>
      <c r="AO17" s="172">
        <v>0.12174800637958536</v>
      </c>
      <c r="AR17" s="15">
        <v>35</v>
      </c>
      <c r="AS17" s="172">
        <v>0.40065511593828118</v>
      </c>
      <c r="AT17" s="172">
        <v>0.36806243805748268</v>
      </c>
      <c r="AU17" s="15">
        <v>55053</v>
      </c>
      <c r="AV17" s="15">
        <v>11601</v>
      </c>
      <c r="AW17" s="15">
        <v>8072</v>
      </c>
      <c r="AX17" s="15">
        <v>4648</v>
      </c>
      <c r="AY17" s="15">
        <v>2971</v>
      </c>
      <c r="BB17" s="56">
        <v>8.5</v>
      </c>
      <c r="BC17" s="56"/>
      <c r="BD17" s="56"/>
      <c r="BE17" s="200"/>
      <c r="BF17" s="33">
        <f>AVERAGE(BF16,BF18)</f>
        <v>9.9429028815368192E-2</v>
      </c>
      <c r="BG17" s="33"/>
      <c r="BH17" s="15">
        <f t="shared" si="68"/>
        <v>9</v>
      </c>
      <c r="BI17" s="33">
        <f t="shared" si="14"/>
        <v>0.10885805763073639</v>
      </c>
      <c r="BJ17" s="33"/>
      <c r="BK17" s="33"/>
      <c r="BY17" s="56">
        <v>14</v>
      </c>
      <c r="BZ17" s="56">
        <v>820</v>
      </c>
      <c r="CA17" s="56">
        <v>176</v>
      </c>
      <c r="CB17" s="56">
        <v>4</v>
      </c>
      <c r="CC17" s="200">
        <f t="shared" si="6"/>
        <v>0.17670682730923695</v>
      </c>
      <c r="CD17" s="198">
        <v>5.0000000000000001E-3</v>
      </c>
      <c r="CE17" s="33">
        <v>0.19</v>
      </c>
      <c r="CF17" s="219">
        <f t="shared" si="72"/>
        <v>7.2500000000000004E-3</v>
      </c>
      <c r="CH17" s="15">
        <f t="shared" si="15"/>
        <v>28</v>
      </c>
      <c r="CI17" s="56">
        <v>28</v>
      </c>
      <c r="CJ17" s="56">
        <v>1002</v>
      </c>
      <c r="CK17" s="56">
        <v>549</v>
      </c>
      <c r="CL17" s="56">
        <v>367</v>
      </c>
      <c r="CM17" s="197">
        <v>0.65</v>
      </c>
      <c r="CN17" s="200">
        <f t="shared" si="9"/>
        <v>0.40065502183406115</v>
      </c>
      <c r="CO17" s="201">
        <f t="shared" si="50"/>
        <v>0.40500000000000003</v>
      </c>
      <c r="CP17" s="202"/>
      <c r="CQ17" s="15">
        <f t="shared" si="16"/>
        <v>25</v>
      </c>
      <c r="CR17" s="56">
        <v>25</v>
      </c>
      <c r="CS17" s="56">
        <v>662</v>
      </c>
      <c r="CT17" s="56">
        <v>2595</v>
      </c>
      <c r="CU17" s="56">
        <v>702</v>
      </c>
      <c r="CV17" s="197">
        <v>0.8</v>
      </c>
      <c r="CW17" s="197">
        <v>0.51</v>
      </c>
      <c r="CX17" s="172">
        <f t="shared" si="33"/>
        <v>0.54</v>
      </c>
      <c r="DA17" s="56">
        <v>5</v>
      </c>
      <c r="DB17" s="198">
        <v>0.82399999999999995</v>
      </c>
      <c r="DC17" s="194"/>
      <c r="DD17" s="194">
        <f t="shared" si="17"/>
        <v>1.5</v>
      </c>
      <c r="DE17" s="56">
        <v>0</v>
      </c>
      <c r="DF17" s="56">
        <v>1.079</v>
      </c>
      <c r="DH17" s="45">
        <f t="shared" si="34"/>
        <v>-35</v>
      </c>
      <c r="DI17" s="204">
        <f t="shared" si="18"/>
        <v>0.59862499999999996</v>
      </c>
      <c r="DJ17" s="15">
        <f t="shared" si="19"/>
        <v>-38.5</v>
      </c>
      <c r="DK17" s="15">
        <f t="shared" si="20"/>
        <v>-34.5</v>
      </c>
      <c r="DL17" s="15">
        <f t="shared" si="21"/>
        <v>0.875</v>
      </c>
      <c r="DM17" s="15">
        <f t="shared" ref="DM17:DN17" si="79">VLOOKUP(DJ17,$DD$5:$DF$24,3,FALSE)</f>
        <v>0.54</v>
      </c>
      <c r="DN17" s="15">
        <f t="shared" si="79"/>
        <v>0.60699999999999998</v>
      </c>
      <c r="DX17" s="15">
        <f t="shared" si="4"/>
        <v>17.5</v>
      </c>
      <c r="DY17" s="186">
        <v>16</v>
      </c>
      <c r="DZ17" s="187">
        <v>0.64</v>
      </c>
      <c r="EB17" s="186">
        <v>10</v>
      </c>
      <c r="EC17" s="187">
        <v>0.92</v>
      </c>
      <c r="EE17" s="45">
        <f t="shared" si="37"/>
        <v>-29</v>
      </c>
      <c r="EF17" s="204">
        <f t="shared" si="43"/>
        <v>0.29125000000000001</v>
      </c>
      <c r="EG17" s="15">
        <f t="shared" si="25"/>
        <v>-30.5</v>
      </c>
      <c r="EH17" s="15">
        <f t="shared" si="26"/>
        <v>-26.5</v>
      </c>
      <c r="EI17" s="15">
        <f t="shared" si="27"/>
        <v>0.375</v>
      </c>
      <c r="EJ17" s="205">
        <f t="shared" ref="EJ17:EK17" si="80">VLOOKUP(EG17,$DX$3:$DZ$19,3,FALSE)</f>
        <v>0.28000000000000003</v>
      </c>
      <c r="EK17" s="205">
        <f t="shared" si="80"/>
        <v>0.31</v>
      </c>
      <c r="EM17" s="195">
        <v>8</v>
      </c>
      <c r="EN17" s="196">
        <v>0.78</v>
      </c>
      <c r="EO17" s="196">
        <v>0.67</v>
      </c>
      <c r="EP17" s="196">
        <v>0.7</v>
      </c>
      <c r="EQ17" s="196">
        <v>0.76</v>
      </c>
      <c r="FH17" s="186" t="s">
        <v>298</v>
      </c>
      <c r="FI17" s="186">
        <v>220</v>
      </c>
      <c r="FJ17" s="187">
        <v>0.51</v>
      </c>
      <c r="FK17" s="187">
        <v>0.97</v>
      </c>
      <c r="FL17" s="187">
        <v>0.93</v>
      </c>
      <c r="FM17" s="186">
        <v>2.11</v>
      </c>
      <c r="FN17" s="186">
        <v>8.8000000000000007</v>
      </c>
      <c r="FP17" s="15">
        <f t="shared" si="30"/>
        <v>20</v>
      </c>
      <c r="FQ17" s="33">
        <f t="shared" si="31"/>
        <v>0.5</v>
      </c>
    </row>
    <row r="18" spans="1:173" ht="14.5" x14ac:dyDescent="0.35">
      <c r="A18" s="34">
        <v>-20</v>
      </c>
      <c r="B18" s="212">
        <v>5.4021608643457387E-3</v>
      </c>
      <c r="G18" s="34">
        <v>12</v>
      </c>
      <c r="H18" s="210">
        <v>3.4382022471910112</v>
      </c>
      <c r="I18" s="210"/>
      <c r="J18" s="15">
        <v>89</v>
      </c>
      <c r="K18" s="15">
        <v>306</v>
      </c>
      <c r="L18" s="43">
        <v>3.4382022471910112</v>
      </c>
      <c r="N18" s="34">
        <v>17</v>
      </c>
      <c r="O18" s="6">
        <v>15522</v>
      </c>
      <c r="P18" s="6">
        <v>8580</v>
      </c>
      <c r="Q18" s="6">
        <v>8645</v>
      </c>
      <c r="R18" s="185">
        <v>0.55695142378559459</v>
      </c>
      <c r="S18" s="185">
        <v>0.55695142378559459</v>
      </c>
      <c r="T18" s="6"/>
      <c r="U18" s="180">
        <v>3</v>
      </c>
      <c r="V18" s="181">
        <v>1</v>
      </c>
      <c r="W18" s="181" t="s">
        <v>299</v>
      </c>
      <c r="X18" s="214">
        <v>0.12326029019840094</v>
      </c>
      <c r="Y18" s="214">
        <v>0</v>
      </c>
      <c r="Z18" s="182"/>
      <c r="AA18" s="155">
        <v>15</v>
      </c>
      <c r="AB18" s="130">
        <v>1.0960000000000001</v>
      </c>
      <c r="AC18" s="130">
        <v>0.76</v>
      </c>
      <c r="AD18" s="130">
        <v>0.54800000000000004</v>
      </c>
      <c r="AE18" s="130">
        <v>0.38</v>
      </c>
      <c r="AF18" s="143">
        <v>0.33200000000000007</v>
      </c>
      <c r="AG18" s="15">
        <v>0.16400000000000001</v>
      </c>
      <c r="AH18" s="15">
        <f t="shared" ref="AH18:AI18" si="81">+AB18/AB$26</f>
        <v>2.5370370370370372</v>
      </c>
      <c r="AI18" s="15">
        <f t="shared" si="81"/>
        <v>1.7592592592592593</v>
      </c>
      <c r="AK18" s="15" t="s">
        <v>300</v>
      </c>
      <c r="AL18" s="172">
        <v>4.607539610271353E-2</v>
      </c>
      <c r="AM18" s="172">
        <v>3.535077601732127E-2</v>
      </c>
      <c r="AN18" s="172">
        <v>4.386976668892531E-2</v>
      </c>
      <c r="AO18" s="172">
        <v>0.12529593880896012</v>
      </c>
      <c r="AR18" s="15">
        <v>40</v>
      </c>
      <c r="AS18" s="172" t="e">
        <v>#DIV/0!</v>
      </c>
      <c r="AT18" s="172" t="e">
        <v>#DIV/0!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BB18" s="56">
        <v>9</v>
      </c>
      <c r="BC18" s="56">
        <v>102</v>
      </c>
      <c r="BD18" s="56">
        <v>937</v>
      </c>
      <c r="BE18" s="200">
        <f t="shared" ref="BE18:BE42" si="82">BC18/BD18</f>
        <v>0.10885805763073639</v>
      </c>
      <c r="BF18" s="33">
        <f t="shared" ref="BF18:BF33" si="83">BE18</f>
        <v>0.10885805763073639</v>
      </c>
      <c r="BG18" s="33"/>
      <c r="BH18" s="15">
        <f t="shared" si="68"/>
        <v>9.5</v>
      </c>
      <c r="BI18" s="33">
        <f t="shared" si="14"/>
        <v>0.11969501004022291</v>
      </c>
      <c r="BJ18" s="33"/>
      <c r="BK18" s="33"/>
      <c r="BY18" s="56">
        <v>15</v>
      </c>
      <c r="BZ18" s="56">
        <v>1105</v>
      </c>
      <c r="CA18" s="56">
        <v>285</v>
      </c>
      <c r="CB18" s="56">
        <v>8</v>
      </c>
      <c r="CC18" s="200">
        <f t="shared" si="6"/>
        <v>0.20503597122302158</v>
      </c>
      <c r="CD18" s="198">
        <v>7.0000000000000001E-3</v>
      </c>
      <c r="CE18" s="33">
        <v>0.2</v>
      </c>
      <c r="CF18" s="219">
        <f t="shared" si="72"/>
        <v>7.5000000000000006E-3</v>
      </c>
      <c r="CH18" s="15">
        <f t="shared" si="15"/>
        <v>29</v>
      </c>
      <c r="CI18" s="56">
        <v>29</v>
      </c>
      <c r="CJ18" s="56">
        <v>483</v>
      </c>
      <c r="CK18" s="56">
        <v>269</v>
      </c>
      <c r="CL18" s="56">
        <v>173</v>
      </c>
      <c r="CM18" s="197">
        <v>0.64</v>
      </c>
      <c r="CN18" s="200">
        <f t="shared" si="9"/>
        <v>0.39140271493212669</v>
      </c>
      <c r="CO18" s="201">
        <f t="shared" si="50"/>
        <v>0.41000000000000003</v>
      </c>
      <c r="CP18" s="202"/>
      <c r="CQ18" s="15">
        <f t="shared" si="16"/>
        <v>26</v>
      </c>
      <c r="CR18" s="56">
        <v>26</v>
      </c>
      <c r="CS18" s="56">
        <v>437</v>
      </c>
      <c r="CT18" s="56">
        <v>1907</v>
      </c>
      <c r="CU18" s="56">
        <v>513</v>
      </c>
      <c r="CV18" s="197">
        <v>0.81</v>
      </c>
      <c r="CW18" s="197">
        <v>0.54</v>
      </c>
      <c r="CX18" s="172">
        <f t="shared" ref="CX18:CX21" si="84">CX17+0.5%</f>
        <v>0.54500000000000004</v>
      </c>
      <c r="DA18" s="56">
        <v>6</v>
      </c>
      <c r="DB18" s="198">
        <v>0.84</v>
      </c>
      <c r="DC18" s="194"/>
      <c r="DD18" s="194">
        <f t="shared" si="17"/>
        <v>5.5</v>
      </c>
      <c r="DE18" s="56">
        <v>4</v>
      </c>
      <c r="DF18" s="56">
        <v>1.0820000000000001</v>
      </c>
      <c r="DH18" s="45">
        <f t="shared" si="34"/>
        <v>-34</v>
      </c>
      <c r="DI18" s="204">
        <f t="shared" si="18"/>
        <v>0.61537500000000001</v>
      </c>
      <c r="DJ18" s="15">
        <f t="shared" si="19"/>
        <v>-34.5</v>
      </c>
      <c r="DK18" s="15">
        <f t="shared" si="20"/>
        <v>-30.5</v>
      </c>
      <c r="DL18" s="15">
        <f t="shared" si="21"/>
        <v>0.125</v>
      </c>
      <c r="DM18" s="15">
        <f t="shared" ref="DM18:DN18" si="85">VLOOKUP(DJ18,$DD$5:$DF$24,3,FALSE)</f>
        <v>0.60699999999999998</v>
      </c>
      <c r="DN18" s="15">
        <f t="shared" si="85"/>
        <v>0.67400000000000004</v>
      </c>
      <c r="DX18" s="15">
        <f t="shared" si="4"/>
        <v>21.5</v>
      </c>
      <c r="DY18" s="186">
        <v>20</v>
      </c>
      <c r="DZ18" s="187">
        <v>0.66</v>
      </c>
      <c r="EB18" s="186">
        <v>10.5</v>
      </c>
      <c r="EC18" s="187">
        <v>0.91</v>
      </c>
      <c r="EE18" s="45">
        <f t="shared" si="37"/>
        <v>-28</v>
      </c>
      <c r="EF18" s="204">
        <f t="shared" si="43"/>
        <v>0.29875000000000002</v>
      </c>
      <c r="EG18" s="15">
        <f t="shared" si="25"/>
        <v>-30.5</v>
      </c>
      <c r="EH18" s="15">
        <f t="shared" si="26"/>
        <v>-26.5</v>
      </c>
      <c r="EI18" s="15">
        <f t="shared" si="27"/>
        <v>0.625</v>
      </c>
      <c r="EJ18" s="205">
        <f t="shared" ref="EJ18:EK18" si="86">VLOOKUP(EG18,$DX$3:$DZ$19,3,FALSE)</f>
        <v>0.28000000000000003</v>
      </c>
      <c r="EK18" s="205">
        <f t="shared" si="86"/>
        <v>0.31</v>
      </c>
      <c r="EM18" s="186">
        <v>12</v>
      </c>
      <c r="EN18" s="187">
        <v>0.76</v>
      </c>
      <c r="EO18" s="187">
        <v>0.78</v>
      </c>
      <c r="EP18" s="187">
        <v>0.78</v>
      </c>
      <c r="EQ18" s="211"/>
      <c r="FH18" s="186" t="s">
        <v>301</v>
      </c>
      <c r="FI18" s="186">
        <v>220</v>
      </c>
      <c r="FJ18" s="187">
        <v>0.49</v>
      </c>
      <c r="FK18" s="187">
        <v>0.97</v>
      </c>
      <c r="FL18" s="187">
        <v>1</v>
      </c>
      <c r="FM18" s="186">
        <v>2.15</v>
      </c>
      <c r="FN18" s="186">
        <v>8.8000000000000007</v>
      </c>
      <c r="FP18" s="15">
        <f t="shared" si="30"/>
        <v>21</v>
      </c>
      <c r="FQ18" s="33">
        <f t="shared" si="31"/>
        <v>0.495</v>
      </c>
    </row>
    <row r="19" spans="1:173" ht="14.5" x14ac:dyDescent="0.35">
      <c r="A19" s="34">
        <v>-19</v>
      </c>
      <c r="B19" s="212">
        <v>9.4317027859017674E-3</v>
      </c>
      <c r="G19" s="34">
        <v>13</v>
      </c>
      <c r="H19" s="210">
        <v>3.5869565217391304</v>
      </c>
      <c r="I19" s="210"/>
      <c r="J19" s="15">
        <v>46</v>
      </c>
      <c r="K19" s="15">
        <v>165</v>
      </c>
      <c r="L19" s="43">
        <v>3.5869565217391304</v>
      </c>
      <c r="N19" s="34">
        <v>18</v>
      </c>
      <c r="O19" s="6">
        <v>16420</v>
      </c>
      <c r="P19" s="6">
        <v>8803</v>
      </c>
      <c r="Q19" s="6">
        <v>9770</v>
      </c>
      <c r="R19" s="185">
        <v>0.59500609013398298</v>
      </c>
      <c r="S19" s="185">
        <v>0.59500609013398298</v>
      </c>
      <c r="T19" s="6"/>
      <c r="U19" s="180">
        <v>3</v>
      </c>
      <c r="V19" s="181">
        <v>2</v>
      </c>
      <c r="W19" s="181" t="s">
        <v>302</v>
      </c>
      <c r="X19" s="214">
        <v>5.9610263238403037E-2</v>
      </c>
      <c r="Y19" s="214">
        <v>0</v>
      </c>
      <c r="Z19" s="182"/>
      <c r="AA19" s="155">
        <v>16</v>
      </c>
      <c r="AB19" s="130">
        <v>1.1359999999999999</v>
      </c>
      <c r="AC19" s="130">
        <v>0.77700000000000002</v>
      </c>
      <c r="AD19" s="130">
        <v>0.56799999999999995</v>
      </c>
      <c r="AE19" s="130">
        <v>0.38850000000000001</v>
      </c>
      <c r="AF19" s="143">
        <v>0.35199999999999998</v>
      </c>
      <c r="AG19" s="15">
        <v>0.17250000000000001</v>
      </c>
      <c r="AH19" s="15">
        <f t="shared" ref="AH19:AI19" si="87">+AB19/AB$26</f>
        <v>2.6296296296296293</v>
      </c>
      <c r="AI19" s="15">
        <f t="shared" si="87"/>
        <v>1.7986111111111112</v>
      </c>
      <c r="AK19" s="15" t="s">
        <v>303</v>
      </c>
      <c r="AL19" s="172">
        <v>4.3600530431203995E-2</v>
      </c>
      <c r="AM19" s="172">
        <v>3.5301111161918704E-2</v>
      </c>
      <c r="AN19" s="172">
        <v>4.2937491426219769E-2</v>
      </c>
      <c r="AO19" s="172">
        <v>0.12183913301934246</v>
      </c>
      <c r="AR19" s="15">
        <v>45</v>
      </c>
      <c r="AS19" s="172">
        <v>0.40790813964255951</v>
      </c>
      <c r="AT19" s="172">
        <v>0.35764136162939753</v>
      </c>
      <c r="AU19" s="15">
        <v>49245</v>
      </c>
      <c r="AV19" s="15">
        <v>10799</v>
      </c>
      <c r="AW19" s="15">
        <v>7021</v>
      </c>
      <c r="AX19" s="15">
        <v>4405</v>
      </c>
      <c r="AY19" s="15">
        <v>2511</v>
      </c>
      <c r="BB19" s="56">
        <v>10</v>
      </c>
      <c r="BC19" s="56">
        <v>292</v>
      </c>
      <c r="BD19" s="56">
        <v>2237</v>
      </c>
      <c r="BE19" s="200">
        <f t="shared" si="82"/>
        <v>0.13053196244970944</v>
      </c>
      <c r="BF19" s="33">
        <f t="shared" si="83"/>
        <v>0.13053196244970944</v>
      </c>
      <c r="BG19" s="33"/>
      <c r="BH19" s="15">
        <f t="shared" si="68"/>
        <v>10</v>
      </c>
      <c r="BI19" s="33">
        <f t="shared" si="14"/>
        <v>0.13053196244970944</v>
      </c>
      <c r="BJ19" s="33"/>
      <c r="BK19" s="33"/>
      <c r="BY19" s="56">
        <v>16</v>
      </c>
      <c r="BZ19" s="56">
        <v>1804</v>
      </c>
      <c r="CA19" s="56">
        <v>448</v>
      </c>
      <c r="CB19" s="56">
        <v>14</v>
      </c>
      <c r="CC19" s="200">
        <f t="shared" si="6"/>
        <v>0.19893428063943161</v>
      </c>
      <c r="CD19" s="198">
        <v>8.0000000000000002E-3</v>
      </c>
      <c r="CE19" s="33">
        <f t="shared" ref="CE19:CE23" si="88">CE18+0.75%</f>
        <v>0.20750000000000002</v>
      </c>
      <c r="CF19" s="219">
        <f t="shared" si="72"/>
        <v>7.7500000000000008E-3</v>
      </c>
      <c r="CH19" s="15">
        <v>30</v>
      </c>
      <c r="CI19" s="56" t="s">
        <v>304</v>
      </c>
      <c r="CJ19" s="56">
        <v>423</v>
      </c>
      <c r="CK19" s="56">
        <v>206</v>
      </c>
      <c r="CL19" s="56">
        <v>140</v>
      </c>
      <c r="CM19" s="197">
        <v>0.67</v>
      </c>
      <c r="CN19" s="200">
        <f t="shared" si="9"/>
        <v>0.40462427745664742</v>
      </c>
      <c r="CO19" s="201">
        <f t="shared" si="50"/>
        <v>0.41500000000000004</v>
      </c>
      <c r="CP19" s="202"/>
      <c r="CQ19" s="15">
        <f t="shared" si="16"/>
        <v>27</v>
      </c>
      <c r="CR19" s="56">
        <v>27</v>
      </c>
      <c r="CS19" s="56">
        <v>296</v>
      </c>
      <c r="CT19" s="56">
        <v>1244</v>
      </c>
      <c r="CU19" s="56">
        <v>363</v>
      </c>
      <c r="CV19" s="197">
        <v>0.81</v>
      </c>
      <c r="CW19" s="197">
        <v>0.55000000000000004</v>
      </c>
      <c r="CX19" s="172">
        <f t="shared" si="84"/>
        <v>0.55000000000000004</v>
      </c>
      <c r="DA19" s="56">
        <v>7</v>
      </c>
      <c r="DB19" s="198">
        <v>0.85</v>
      </c>
      <c r="DC19" s="194"/>
      <c r="DD19" s="194">
        <f t="shared" si="17"/>
        <v>9.5</v>
      </c>
      <c r="DE19" s="56">
        <v>8</v>
      </c>
      <c r="DF19" s="56">
        <v>1.085</v>
      </c>
      <c r="DH19" s="45">
        <f t="shared" si="34"/>
        <v>-33</v>
      </c>
      <c r="DI19" s="204">
        <f t="shared" si="18"/>
        <v>0.63212500000000005</v>
      </c>
      <c r="DJ19" s="15">
        <f t="shared" si="19"/>
        <v>-34.5</v>
      </c>
      <c r="DK19" s="15">
        <f t="shared" si="20"/>
        <v>-30.5</v>
      </c>
      <c r="DL19" s="15">
        <f t="shared" si="21"/>
        <v>0.375</v>
      </c>
      <c r="DM19" s="15">
        <f t="shared" ref="DM19:DN19" si="89">VLOOKUP(DJ19,$DD$5:$DF$24,3,FALSE)</f>
        <v>0.60699999999999998</v>
      </c>
      <c r="DN19" s="15">
        <f t="shared" si="89"/>
        <v>0.67400000000000004</v>
      </c>
      <c r="DX19" s="15">
        <f t="shared" si="4"/>
        <v>25.5</v>
      </c>
      <c r="DY19" s="186">
        <v>24</v>
      </c>
      <c r="DZ19" s="187">
        <v>0.68</v>
      </c>
      <c r="EB19" s="186">
        <v>11</v>
      </c>
      <c r="EC19" s="187">
        <v>0.89</v>
      </c>
      <c r="EE19" s="45">
        <f t="shared" si="37"/>
        <v>-27</v>
      </c>
      <c r="EF19" s="204">
        <f t="shared" si="43"/>
        <v>0.30625000000000002</v>
      </c>
      <c r="EG19" s="15">
        <f t="shared" si="25"/>
        <v>-30.5</v>
      </c>
      <c r="EH19" s="15">
        <f t="shared" si="26"/>
        <v>-26.5</v>
      </c>
      <c r="EI19" s="15">
        <f t="shared" si="27"/>
        <v>0.875</v>
      </c>
      <c r="EJ19" s="205">
        <f t="shared" ref="EJ19:EK19" si="90">VLOOKUP(EG19,$DX$3:$DZ$19,3,FALSE)</f>
        <v>0.28000000000000003</v>
      </c>
      <c r="EK19" s="205">
        <f t="shared" si="90"/>
        <v>0.31</v>
      </c>
      <c r="FP19" s="15">
        <f t="shared" si="30"/>
        <v>22</v>
      </c>
      <c r="FQ19" s="33">
        <f t="shared" si="31"/>
        <v>0.49</v>
      </c>
    </row>
    <row r="20" spans="1:173" ht="14.5" x14ac:dyDescent="0.35">
      <c r="A20" s="34">
        <v>-18</v>
      </c>
      <c r="B20" s="212">
        <v>2.1504676488270872E-2</v>
      </c>
      <c r="G20" s="34">
        <v>14</v>
      </c>
      <c r="H20" s="210">
        <v>3.7369565217391303</v>
      </c>
      <c r="I20" s="210"/>
      <c r="J20" s="15">
        <v>14</v>
      </c>
      <c r="K20" s="15">
        <v>48</v>
      </c>
      <c r="L20" s="43">
        <v>3.4285714285714284</v>
      </c>
      <c r="N20" s="34">
        <v>19</v>
      </c>
      <c r="O20" s="6">
        <v>17555</v>
      </c>
      <c r="P20" s="6">
        <v>9245</v>
      </c>
      <c r="Q20" s="6">
        <v>10714</v>
      </c>
      <c r="R20" s="185">
        <v>0.61031045286243235</v>
      </c>
      <c r="S20" s="185">
        <v>0.61031045286243235</v>
      </c>
      <c r="T20" s="6"/>
      <c r="U20" s="180">
        <v>3</v>
      </c>
      <c r="V20" s="181">
        <v>3</v>
      </c>
      <c r="W20" s="181" t="s">
        <v>305</v>
      </c>
      <c r="X20" s="214">
        <v>3.4463176002035488E-2</v>
      </c>
      <c r="Y20" s="214">
        <v>0</v>
      </c>
      <c r="Z20" s="182"/>
      <c r="AA20" s="155">
        <v>17</v>
      </c>
      <c r="AB20" s="130">
        <v>1.228</v>
      </c>
      <c r="AC20" s="130">
        <v>0.77500000000000002</v>
      </c>
      <c r="AD20" s="130">
        <v>0.61399999999999999</v>
      </c>
      <c r="AE20" s="130">
        <v>0.38750000000000001</v>
      </c>
      <c r="AF20" s="143">
        <v>0.39800000000000002</v>
      </c>
      <c r="AG20" s="15">
        <v>0.17150000000000001</v>
      </c>
      <c r="AH20" s="15">
        <f t="shared" ref="AH20:AI20" si="91">+AB20/AB$26</f>
        <v>2.8425925925925926</v>
      </c>
      <c r="AI20" s="15">
        <f t="shared" si="91"/>
        <v>1.7939814814814816</v>
      </c>
      <c r="AK20" s="15" t="s">
        <v>306</v>
      </c>
      <c r="AL20" s="172">
        <v>4.4510210121337671E-2</v>
      </c>
      <c r="AM20" s="172">
        <v>3.6608464042616161E-2</v>
      </c>
      <c r="AN20" s="172">
        <v>4.1195620005918913E-2</v>
      </c>
      <c r="AO20" s="172">
        <v>0.12231429416987274</v>
      </c>
      <c r="AR20" s="15">
        <v>50</v>
      </c>
      <c r="AS20" s="172">
        <v>0.44280895430849432</v>
      </c>
      <c r="AT20" s="172">
        <v>0.34340614222368204</v>
      </c>
      <c r="AU20" s="15">
        <v>43563</v>
      </c>
      <c r="AV20" s="15">
        <v>9783</v>
      </c>
      <c r="AW20" s="15">
        <v>6089</v>
      </c>
      <c r="AX20" s="15">
        <v>4332</v>
      </c>
      <c r="AY20" s="15">
        <v>2091</v>
      </c>
      <c r="BB20" s="56">
        <v>11</v>
      </c>
      <c r="BC20" s="56">
        <v>590</v>
      </c>
      <c r="BD20" s="56">
        <v>3778</v>
      </c>
      <c r="BE20" s="200">
        <f t="shared" si="82"/>
        <v>0.15616728427739546</v>
      </c>
      <c r="BF20" s="33">
        <f t="shared" si="83"/>
        <v>0.15616728427739546</v>
      </c>
      <c r="BG20" s="33"/>
      <c r="BH20" s="15">
        <f t="shared" si="68"/>
        <v>10.5</v>
      </c>
      <c r="BI20" s="33">
        <f t="shared" si="14"/>
        <v>0.14334962336355245</v>
      </c>
      <c r="BJ20" s="33"/>
      <c r="BK20" s="33"/>
      <c r="BY20" s="56">
        <v>17</v>
      </c>
      <c r="BZ20" s="56">
        <v>2962</v>
      </c>
      <c r="CA20" s="56">
        <v>757</v>
      </c>
      <c r="CB20" s="56">
        <v>28</v>
      </c>
      <c r="CC20" s="200">
        <f t="shared" si="6"/>
        <v>0.20354934122075827</v>
      </c>
      <c r="CD20" s="198">
        <v>8.9999999999999993E-3</v>
      </c>
      <c r="CE20" s="33">
        <f t="shared" si="88"/>
        <v>0.21500000000000002</v>
      </c>
      <c r="CF20" s="219">
        <f t="shared" si="72"/>
        <v>8.0000000000000002E-3</v>
      </c>
      <c r="CQ20" s="15">
        <f t="shared" si="16"/>
        <v>28</v>
      </c>
      <c r="CR20" s="56">
        <v>28</v>
      </c>
      <c r="CS20" s="56">
        <v>166</v>
      </c>
      <c r="CT20" s="56">
        <v>691</v>
      </c>
      <c r="CU20" s="56">
        <v>192</v>
      </c>
      <c r="CV20" s="197">
        <v>0.81</v>
      </c>
      <c r="CW20" s="197">
        <v>0.54</v>
      </c>
      <c r="CX20" s="172">
        <f t="shared" si="84"/>
        <v>0.55500000000000005</v>
      </c>
      <c r="DA20" s="56">
        <v>8</v>
      </c>
      <c r="DB20" s="198">
        <v>0.85499999999999998</v>
      </c>
      <c r="DC20" s="194"/>
      <c r="DD20" s="194">
        <f t="shared" si="17"/>
        <v>13.5</v>
      </c>
      <c r="DE20" s="56">
        <v>12</v>
      </c>
      <c r="DF20" s="56">
        <v>1.0880000000000001</v>
      </c>
      <c r="DH20" s="45">
        <f t="shared" si="34"/>
        <v>-32</v>
      </c>
      <c r="DI20" s="204">
        <f t="shared" si="18"/>
        <v>0.64887499999999998</v>
      </c>
      <c r="DJ20" s="15">
        <f t="shared" si="19"/>
        <v>-34.5</v>
      </c>
      <c r="DK20" s="15">
        <f t="shared" si="20"/>
        <v>-30.5</v>
      </c>
      <c r="DL20" s="15">
        <f t="shared" si="21"/>
        <v>0.625</v>
      </c>
      <c r="DM20" s="15">
        <f t="shared" ref="DM20:DN20" si="92">VLOOKUP(DJ20,$DD$5:$DF$24,3,FALSE)</f>
        <v>0.60699999999999998</v>
      </c>
      <c r="DN20" s="15">
        <f t="shared" si="92"/>
        <v>0.67400000000000004</v>
      </c>
      <c r="EB20" s="186">
        <v>11.5</v>
      </c>
      <c r="EC20" s="187">
        <v>0.88</v>
      </c>
      <c r="EE20" s="45">
        <f t="shared" si="37"/>
        <v>-26</v>
      </c>
      <c r="EF20" s="204">
        <f t="shared" si="43"/>
        <v>0.31374999999999997</v>
      </c>
      <c r="EG20" s="15">
        <f t="shared" si="25"/>
        <v>-26.5</v>
      </c>
      <c r="EH20" s="15">
        <f t="shared" si="26"/>
        <v>-22.5</v>
      </c>
      <c r="EI20" s="15">
        <f t="shared" si="27"/>
        <v>0.125</v>
      </c>
      <c r="EJ20" s="205">
        <f t="shared" ref="EJ20:EK20" si="93">VLOOKUP(EG20,$DX$3:$DZ$19,3,FALSE)</f>
        <v>0.31</v>
      </c>
      <c r="EK20" s="205">
        <f t="shared" si="93"/>
        <v>0.34</v>
      </c>
    </row>
    <row r="21" spans="1:173" ht="15.75" customHeight="1" x14ac:dyDescent="0.35">
      <c r="A21" s="34">
        <v>-17</v>
      </c>
      <c r="B21" s="212">
        <v>3.1710669204402304E-2</v>
      </c>
      <c r="G21" s="34">
        <v>15</v>
      </c>
      <c r="H21" s="210">
        <v>3.8869565217391302</v>
      </c>
      <c r="I21" s="210"/>
      <c r="J21" s="15">
        <v>12</v>
      </c>
      <c r="K21" s="15">
        <v>43</v>
      </c>
      <c r="L21" s="43">
        <v>3.5833333333333335</v>
      </c>
      <c r="N21" s="34">
        <v>20</v>
      </c>
      <c r="O21" s="6">
        <v>14542</v>
      </c>
      <c r="P21" s="6">
        <v>7499</v>
      </c>
      <c r="Q21" s="6">
        <v>9152</v>
      </c>
      <c r="R21" s="185">
        <v>0.62934947049924361</v>
      </c>
      <c r="S21" s="185">
        <v>0.62934947049924361</v>
      </c>
      <c r="T21" s="6"/>
      <c r="U21" s="180"/>
      <c r="V21" s="181"/>
      <c r="W21" s="181"/>
      <c r="X21" s="214"/>
      <c r="Y21" s="214"/>
      <c r="Z21" s="182"/>
      <c r="AA21" s="155">
        <v>18</v>
      </c>
      <c r="AB21" s="130">
        <v>1.347</v>
      </c>
      <c r="AC21" s="130">
        <v>0.77700000000000002</v>
      </c>
      <c r="AD21" s="130">
        <v>0.67349999999999999</v>
      </c>
      <c r="AE21" s="130">
        <v>0.38850000000000001</v>
      </c>
      <c r="AF21" s="143">
        <v>0.45750000000000002</v>
      </c>
      <c r="AG21" s="15">
        <v>0.17250000000000001</v>
      </c>
      <c r="AH21" s="15">
        <f t="shared" ref="AH21:AI21" si="94">+AB21/AB$26</f>
        <v>3.1180555555555554</v>
      </c>
      <c r="AI21" s="15">
        <f t="shared" si="94"/>
        <v>1.7986111111111112</v>
      </c>
      <c r="AK21" s="15" t="s">
        <v>307</v>
      </c>
      <c r="AL21" s="172">
        <v>4.5777481547310477E-2</v>
      </c>
      <c r="AM21" s="172">
        <v>3.7088054506405982E-2</v>
      </c>
      <c r="AN21" s="172">
        <v>4.1689501098521313E-2</v>
      </c>
      <c r="AO21" s="172">
        <v>0.12455503715223779</v>
      </c>
      <c r="AR21" s="15">
        <v>55</v>
      </c>
      <c r="AS21" s="172">
        <v>0.45833333333333331</v>
      </c>
      <c r="AT21" s="172">
        <v>0.33393141945773525</v>
      </c>
      <c r="AU21" s="15">
        <v>37515</v>
      </c>
      <c r="AV21" s="15">
        <v>8424</v>
      </c>
      <c r="AW21" s="15">
        <v>5016</v>
      </c>
      <c r="AX21" s="15">
        <v>3861</v>
      </c>
      <c r="AY21" s="15">
        <v>1675</v>
      </c>
      <c r="BB21" s="56">
        <v>12</v>
      </c>
      <c r="BC21" s="56">
        <v>1084</v>
      </c>
      <c r="BD21" s="56">
        <v>5698</v>
      </c>
      <c r="BE21" s="200">
        <f t="shared" si="82"/>
        <v>0.19024219024219025</v>
      </c>
      <c r="BF21" s="33">
        <f t="shared" si="83"/>
        <v>0.19024219024219025</v>
      </c>
      <c r="BG21" s="33"/>
      <c r="BH21" s="15">
        <f t="shared" si="68"/>
        <v>11</v>
      </c>
      <c r="BI21" s="33">
        <f t="shared" si="14"/>
        <v>0.15616728427739546</v>
      </c>
      <c r="BJ21" s="33"/>
      <c r="BK21" s="33"/>
      <c r="BY21" s="56">
        <v>18</v>
      </c>
      <c r="BZ21" s="56">
        <v>4779</v>
      </c>
      <c r="CA21" s="56">
        <v>1311</v>
      </c>
      <c r="CB21" s="56">
        <v>33</v>
      </c>
      <c r="CC21" s="200">
        <f t="shared" si="6"/>
        <v>0.21527093596059113</v>
      </c>
      <c r="CD21" s="198">
        <v>7.0000000000000001E-3</v>
      </c>
      <c r="CE21" s="33">
        <f t="shared" si="88"/>
        <v>0.22250000000000003</v>
      </c>
      <c r="CF21" s="219">
        <f t="shared" si="72"/>
        <v>8.2500000000000004E-3</v>
      </c>
      <c r="CQ21" s="15">
        <v>29</v>
      </c>
      <c r="CR21" s="56" t="s">
        <v>308</v>
      </c>
      <c r="CS21" s="56">
        <v>160</v>
      </c>
      <c r="CT21" s="56">
        <v>747</v>
      </c>
      <c r="CU21" s="56">
        <v>216</v>
      </c>
      <c r="CV21" s="197">
        <v>0.82</v>
      </c>
      <c r="CW21" s="197">
        <v>0.56999999999999995</v>
      </c>
      <c r="CX21" s="172">
        <f t="shared" si="84"/>
        <v>0.56000000000000005</v>
      </c>
      <c r="DA21" s="56">
        <v>9</v>
      </c>
      <c r="DB21" s="198">
        <v>0.85799999999999998</v>
      </c>
      <c r="DC21" s="194"/>
      <c r="DD21" s="194">
        <f t="shared" si="17"/>
        <v>17.5</v>
      </c>
      <c r="DE21" s="56">
        <v>16</v>
      </c>
      <c r="DF21" s="56">
        <v>1.091</v>
      </c>
      <c r="DH21" s="45">
        <f t="shared" si="34"/>
        <v>-31</v>
      </c>
      <c r="DI21" s="204">
        <f t="shared" si="18"/>
        <v>0.66562500000000002</v>
      </c>
      <c r="DJ21" s="15">
        <f t="shared" si="19"/>
        <v>-34.5</v>
      </c>
      <c r="DK21" s="15">
        <f t="shared" si="20"/>
        <v>-30.5</v>
      </c>
      <c r="DL21" s="15">
        <f t="shared" si="21"/>
        <v>0.875</v>
      </c>
      <c r="DM21" s="15">
        <f t="shared" ref="DM21:DN21" si="95">VLOOKUP(DJ21,$DD$5:$DF$24,3,FALSE)</f>
        <v>0.60699999999999998</v>
      </c>
      <c r="DN21" s="15">
        <f t="shared" si="95"/>
        <v>0.67400000000000004</v>
      </c>
      <c r="EB21" s="186">
        <v>12</v>
      </c>
      <c r="EC21" s="187">
        <v>0.86</v>
      </c>
      <c r="EE21" s="45">
        <f t="shared" si="37"/>
        <v>-25</v>
      </c>
      <c r="EF21" s="204">
        <f t="shared" si="43"/>
        <v>0.32125000000000004</v>
      </c>
      <c r="EG21" s="15">
        <f t="shared" si="25"/>
        <v>-26.5</v>
      </c>
      <c r="EH21" s="15">
        <f t="shared" si="26"/>
        <v>-22.5</v>
      </c>
      <c r="EI21" s="15">
        <f t="shared" si="27"/>
        <v>0.375</v>
      </c>
      <c r="EJ21" s="205">
        <f t="shared" ref="EJ21:EK21" si="96">VLOOKUP(EG21,$DX$3:$DZ$19,3,FALSE)</f>
        <v>0.31</v>
      </c>
      <c r="EK21" s="205">
        <f t="shared" si="96"/>
        <v>0.34</v>
      </c>
    </row>
    <row r="22" spans="1:173" ht="15.75" customHeight="1" x14ac:dyDescent="0.35">
      <c r="A22" s="34">
        <v>-16</v>
      </c>
      <c r="B22" s="212">
        <v>4.6530571922185814E-2</v>
      </c>
      <c r="G22" s="34">
        <v>16</v>
      </c>
      <c r="H22" s="210">
        <v>4.0369565217391301</v>
      </c>
      <c r="I22" s="210"/>
      <c r="J22" s="15">
        <v>4</v>
      </c>
      <c r="K22" s="15">
        <v>15</v>
      </c>
      <c r="L22" s="43">
        <v>3.75</v>
      </c>
      <c r="N22" s="34">
        <v>21</v>
      </c>
      <c r="O22" s="6">
        <v>9805</v>
      </c>
      <c r="P22" s="6">
        <v>4881</v>
      </c>
      <c r="Q22" s="6">
        <v>6362</v>
      </c>
      <c r="R22" s="185">
        <v>0.64885262621111672</v>
      </c>
      <c r="S22" s="185">
        <v>0.64885262621111672</v>
      </c>
      <c r="T22" s="6"/>
      <c r="U22" s="180"/>
      <c r="V22" s="181"/>
      <c r="W22" s="181"/>
      <c r="X22" s="181"/>
      <c r="Y22" s="181"/>
      <c r="Z22" s="182"/>
      <c r="AA22" s="155">
        <v>19</v>
      </c>
      <c r="AB22" s="130">
        <v>1.4370000000000001</v>
      </c>
      <c r="AC22" s="130">
        <v>0.77600000000000002</v>
      </c>
      <c r="AD22" s="130">
        <v>0.71850000000000003</v>
      </c>
      <c r="AE22" s="130">
        <v>0.38800000000000001</v>
      </c>
      <c r="AF22" s="143">
        <v>0.50250000000000006</v>
      </c>
      <c r="AG22" s="15">
        <v>0.17200000000000001</v>
      </c>
      <c r="AH22" s="15">
        <f t="shared" ref="AH22:AI22" si="97">+AB22/AB$26</f>
        <v>3.3263888888888888</v>
      </c>
      <c r="AI22" s="15">
        <f t="shared" si="97"/>
        <v>1.7962962962962963</v>
      </c>
      <c r="AK22" s="15" t="s">
        <v>309</v>
      </c>
      <c r="AL22" s="172">
        <v>4.4367901756788966E-2</v>
      </c>
      <c r="AM22" s="172">
        <v>3.6230205490259272E-2</v>
      </c>
      <c r="AN22" s="172">
        <v>4.3965045505970662E-2</v>
      </c>
      <c r="AO22" s="172">
        <v>0.12456315275301891</v>
      </c>
      <c r="AR22" s="15">
        <v>60</v>
      </c>
      <c r="AS22" s="172">
        <v>0.4792699414150518</v>
      </c>
      <c r="AT22" s="172">
        <v>0.32567760342368046</v>
      </c>
      <c r="AU22" s="15">
        <v>57683</v>
      </c>
      <c r="AV22" s="15">
        <v>13314</v>
      </c>
      <c r="AW22" s="15">
        <v>7010</v>
      </c>
      <c r="AX22" s="15">
        <v>6381</v>
      </c>
      <c r="AY22" s="15">
        <v>2283</v>
      </c>
      <c r="BB22" s="56">
        <v>13</v>
      </c>
      <c r="BC22" s="56">
        <v>2080</v>
      </c>
      <c r="BD22" s="56">
        <v>9460</v>
      </c>
      <c r="BE22" s="200">
        <f t="shared" si="82"/>
        <v>0.21987315010570824</v>
      </c>
      <c r="BF22" s="33">
        <f t="shared" si="83"/>
        <v>0.21987315010570824</v>
      </c>
      <c r="BG22" s="33"/>
      <c r="BH22" s="15">
        <f t="shared" si="68"/>
        <v>11.5</v>
      </c>
      <c r="BI22" s="33">
        <f t="shared" si="14"/>
        <v>0.17320473725979285</v>
      </c>
      <c r="BJ22" s="33"/>
      <c r="BK22" s="33"/>
      <c r="BY22" s="56">
        <v>19</v>
      </c>
      <c r="BZ22" s="56">
        <v>7267</v>
      </c>
      <c r="CA22" s="56">
        <v>2094</v>
      </c>
      <c r="CB22" s="56">
        <v>56</v>
      </c>
      <c r="CC22" s="200">
        <f t="shared" si="6"/>
        <v>0.22369404978100629</v>
      </c>
      <c r="CD22" s="198">
        <v>8.0000000000000002E-3</v>
      </c>
      <c r="CE22" s="33">
        <f t="shared" si="88"/>
        <v>0.23000000000000004</v>
      </c>
      <c r="CF22" s="219">
        <f t="shared" si="72"/>
        <v>8.5000000000000006E-3</v>
      </c>
      <c r="DA22" s="56">
        <v>10</v>
      </c>
      <c r="DB22" s="198">
        <v>0.86</v>
      </c>
      <c r="DC22" s="194"/>
      <c r="DD22" s="194">
        <f t="shared" si="17"/>
        <v>21.5</v>
      </c>
      <c r="DE22" s="56">
        <v>20</v>
      </c>
      <c r="DF22" s="56">
        <v>1.0940000000000001</v>
      </c>
      <c r="DH22" s="45">
        <f t="shared" si="34"/>
        <v>-30</v>
      </c>
      <c r="DI22" s="204">
        <f t="shared" si="18"/>
        <v>0.68237499999999995</v>
      </c>
      <c r="DJ22" s="15">
        <f t="shared" si="19"/>
        <v>-30.5</v>
      </c>
      <c r="DK22" s="15">
        <f t="shared" si="20"/>
        <v>-26.5</v>
      </c>
      <c r="DL22" s="15">
        <f t="shared" si="21"/>
        <v>0.125</v>
      </c>
      <c r="DM22" s="15">
        <f t="shared" ref="DM22:DN22" si="98">VLOOKUP(DJ22,$DD$5:$DF$24,3,FALSE)</f>
        <v>0.67400000000000004</v>
      </c>
      <c r="DN22" s="15">
        <f t="shared" si="98"/>
        <v>0.74099999999999999</v>
      </c>
      <c r="EB22" s="186">
        <v>12.5</v>
      </c>
      <c r="EC22" s="187">
        <v>0.85</v>
      </c>
      <c r="EE22" s="45">
        <f t="shared" si="37"/>
        <v>-24</v>
      </c>
      <c r="EF22" s="204">
        <f t="shared" si="43"/>
        <v>0.32874999999999999</v>
      </c>
      <c r="EG22" s="15">
        <f t="shared" si="25"/>
        <v>-26.5</v>
      </c>
      <c r="EH22" s="15">
        <f t="shared" si="26"/>
        <v>-22.5</v>
      </c>
      <c r="EI22" s="15">
        <f t="shared" si="27"/>
        <v>0.625</v>
      </c>
      <c r="EJ22" s="205">
        <f t="shared" ref="EJ22:EK22" si="99">VLOOKUP(EG22,$DX$3:$DZ$19,3,FALSE)</f>
        <v>0.31</v>
      </c>
      <c r="EK22" s="205">
        <f t="shared" si="99"/>
        <v>0.34</v>
      </c>
    </row>
    <row r="23" spans="1:173" ht="15.75" customHeight="1" x14ac:dyDescent="0.35">
      <c r="A23" s="34">
        <v>-15</v>
      </c>
      <c r="B23" s="212">
        <v>5.9288056993736224E-2</v>
      </c>
      <c r="G23" s="34">
        <v>17</v>
      </c>
      <c r="H23" s="210">
        <v>4.1869565217391305</v>
      </c>
      <c r="I23" s="210"/>
      <c r="J23" s="15">
        <v>2</v>
      </c>
      <c r="K23" s="15">
        <v>10</v>
      </c>
      <c r="L23" s="43">
        <v>5</v>
      </c>
      <c r="N23" s="34">
        <v>22</v>
      </c>
      <c r="O23" s="6">
        <v>4813</v>
      </c>
      <c r="P23" s="6">
        <v>2368</v>
      </c>
      <c r="Q23" s="6">
        <v>3188</v>
      </c>
      <c r="R23" s="185">
        <v>0.66237274049449413</v>
      </c>
      <c r="S23" s="185">
        <v>0.66237274049449413</v>
      </c>
      <c r="T23" s="6"/>
      <c r="U23" s="180"/>
      <c r="V23" s="181"/>
      <c r="W23" s="181"/>
      <c r="X23" s="181"/>
      <c r="Y23" s="181"/>
      <c r="Z23" s="182"/>
      <c r="AA23" s="155">
        <v>20</v>
      </c>
      <c r="AB23" s="130">
        <v>1.5589999999999999</v>
      </c>
      <c r="AC23" s="130">
        <v>0.82099999999999995</v>
      </c>
      <c r="AD23" s="130">
        <v>0.77949999999999997</v>
      </c>
      <c r="AE23" s="130">
        <v>0.41049999999999998</v>
      </c>
      <c r="AF23" s="143">
        <v>0.5635</v>
      </c>
      <c r="AG23" s="15">
        <v>0.19449999999999998</v>
      </c>
      <c r="AH23" s="15">
        <f t="shared" ref="AH23:AI23" si="100">+AB23/AB$26</f>
        <v>3.6087962962962963</v>
      </c>
      <c r="AI23" s="15">
        <f t="shared" si="100"/>
        <v>1.9004629629629628</v>
      </c>
      <c r="AK23" s="15" t="s">
        <v>310</v>
      </c>
      <c r="AL23" s="172">
        <v>4.2702486607499791E-2</v>
      </c>
      <c r="AM23" s="172">
        <v>3.7048053090269442E-2</v>
      </c>
      <c r="AN23" s="172">
        <v>4.1819780922683292E-2</v>
      </c>
      <c r="AO23" s="172">
        <v>0.12157032062045253</v>
      </c>
      <c r="AR23" s="15">
        <v>65</v>
      </c>
      <c r="AS23" s="172">
        <v>0.49869983041266253</v>
      </c>
      <c r="AT23" s="172">
        <v>0.31974994211623059</v>
      </c>
      <c r="AU23" s="15">
        <v>38408</v>
      </c>
      <c r="AV23" s="15">
        <v>8845</v>
      </c>
      <c r="AW23" s="15">
        <v>4319</v>
      </c>
      <c r="AX23" s="15">
        <v>4411</v>
      </c>
      <c r="AY23" s="15">
        <v>1381</v>
      </c>
      <c r="BB23" s="56">
        <v>14</v>
      </c>
      <c r="BC23" s="56">
        <v>3252</v>
      </c>
      <c r="BD23" s="56">
        <v>13053</v>
      </c>
      <c r="BE23" s="200">
        <f t="shared" si="82"/>
        <v>0.24913812916570904</v>
      </c>
      <c r="BF23" s="33">
        <f t="shared" si="83"/>
        <v>0.24913812916570904</v>
      </c>
      <c r="BG23" s="33"/>
      <c r="BH23" s="15">
        <f t="shared" si="68"/>
        <v>12</v>
      </c>
      <c r="BI23" s="33">
        <f t="shared" si="14"/>
        <v>0.19024219024219025</v>
      </c>
      <c r="BJ23" s="33"/>
      <c r="BK23" s="33"/>
      <c r="BY23" s="56">
        <v>20</v>
      </c>
      <c r="BZ23" s="56">
        <v>13018</v>
      </c>
      <c r="CA23" s="56">
        <v>4085</v>
      </c>
      <c r="CB23" s="56">
        <v>119</v>
      </c>
      <c r="CC23" s="200">
        <f t="shared" si="6"/>
        <v>0.23884698590890488</v>
      </c>
      <c r="CD23" s="198">
        <v>8.9999999999999993E-3</v>
      </c>
      <c r="CE23" s="33">
        <f t="shared" si="88"/>
        <v>0.23750000000000004</v>
      </c>
      <c r="CF23" s="219">
        <f t="shared" si="72"/>
        <v>8.7500000000000008E-3</v>
      </c>
      <c r="DA23" s="194"/>
      <c r="DB23" s="194"/>
      <c r="DC23" s="194"/>
      <c r="DD23" s="194">
        <v>25.5</v>
      </c>
      <c r="DE23" s="56">
        <v>24</v>
      </c>
      <c r="DF23" s="56">
        <v>1.097</v>
      </c>
      <c r="DH23" s="45">
        <f t="shared" si="34"/>
        <v>-29</v>
      </c>
      <c r="DI23" s="204">
        <f t="shared" si="18"/>
        <v>0.699125</v>
      </c>
      <c r="DJ23" s="15">
        <f t="shared" si="19"/>
        <v>-30.5</v>
      </c>
      <c r="DK23" s="15">
        <f t="shared" si="20"/>
        <v>-26.5</v>
      </c>
      <c r="DL23" s="15">
        <f t="shared" si="21"/>
        <v>0.375</v>
      </c>
      <c r="DM23" s="15">
        <f t="shared" ref="DM23:DN23" si="101">VLOOKUP(DJ23,$DD$5:$DF$24,3,FALSE)</f>
        <v>0.67400000000000004</v>
      </c>
      <c r="DN23" s="15">
        <f t="shared" si="101"/>
        <v>0.74099999999999999</v>
      </c>
      <c r="EB23" s="186">
        <v>13</v>
      </c>
      <c r="EC23" s="187">
        <v>0.83</v>
      </c>
      <c r="EE23" s="45">
        <f t="shared" si="37"/>
        <v>-23</v>
      </c>
      <c r="EF23" s="204">
        <f t="shared" si="43"/>
        <v>0.33625000000000005</v>
      </c>
      <c r="EG23" s="15">
        <f t="shared" si="25"/>
        <v>-26.5</v>
      </c>
      <c r="EH23" s="15">
        <f t="shared" si="26"/>
        <v>-22.5</v>
      </c>
      <c r="EI23" s="15">
        <f t="shared" si="27"/>
        <v>0.875</v>
      </c>
      <c r="EJ23" s="205">
        <f t="shared" ref="EJ23:EK23" si="102">VLOOKUP(EG23,$DX$3:$DZ$19,3,FALSE)</f>
        <v>0.31</v>
      </c>
      <c r="EK23" s="205">
        <f t="shared" si="102"/>
        <v>0.34</v>
      </c>
    </row>
    <row r="24" spans="1:173" ht="15.75" customHeight="1" x14ac:dyDescent="0.35">
      <c r="A24" s="34">
        <v>-14</v>
      </c>
      <c r="B24" s="212">
        <v>7.0644118947262108E-2</v>
      </c>
      <c r="G24" s="34">
        <v>18</v>
      </c>
      <c r="H24" s="210">
        <v>4.3369565217391308</v>
      </c>
      <c r="I24" s="210"/>
      <c r="J24" s="15">
        <v>2</v>
      </c>
      <c r="K24" s="15">
        <v>9</v>
      </c>
      <c r="L24" s="43">
        <v>4.5</v>
      </c>
      <c r="N24" s="34">
        <v>23</v>
      </c>
      <c r="O24" s="6">
        <v>2275</v>
      </c>
      <c r="P24" s="6">
        <v>1076</v>
      </c>
      <c r="Q24" s="6">
        <v>1574</v>
      </c>
      <c r="R24" s="185">
        <v>0.67237274049449414</v>
      </c>
      <c r="S24" s="185">
        <v>0.6918681318681319</v>
      </c>
      <c r="T24" s="6"/>
      <c r="U24" s="181"/>
      <c r="V24" s="181"/>
      <c r="W24" s="181"/>
      <c r="X24" s="181"/>
      <c r="Y24" s="181"/>
      <c r="Z24" s="182"/>
      <c r="AA24" s="155">
        <v>21</v>
      </c>
      <c r="AB24" s="130">
        <v>1.7509999999999999</v>
      </c>
      <c r="AC24" s="130">
        <v>0.86399999999999999</v>
      </c>
      <c r="AD24" s="130">
        <v>0.87549999999999994</v>
      </c>
      <c r="AE24" s="130">
        <v>0.432</v>
      </c>
      <c r="AF24" s="143">
        <v>0.65949999999999998</v>
      </c>
      <c r="AG24" s="15">
        <v>0.216</v>
      </c>
      <c r="AH24" s="15">
        <f t="shared" ref="AH24:AI24" si="103">+AB24/AB$26</f>
        <v>4.0532407407407405</v>
      </c>
      <c r="AI24" s="15">
        <f t="shared" si="103"/>
        <v>2</v>
      </c>
      <c r="AK24" s="15" t="s">
        <v>311</v>
      </c>
      <c r="AL24" s="172">
        <v>4.4703687896176153E-2</v>
      </c>
      <c r="AM24" s="172">
        <v>3.8089818371508502E-2</v>
      </c>
      <c r="AN24" s="172">
        <v>4.1883624982216525E-2</v>
      </c>
      <c r="AO24" s="172">
        <v>0.12467713124990118</v>
      </c>
      <c r="AR24" s="15">
        <v>70</v>
      </c>
      <c r="AS24" s="172">
        <v>0.54115437158469948</v>
      </c>
      <c r="AT24" s="172">
        <v>0.31285598047192842</v>
      </c>
      <c r="AU24" s="15">
        <v>24559</v>
      </c>
      <c r="AV24" s="15">
        <v>5856</v>
      </c>
      <c r="AW24" s="15">
        <v>2458</v>
      </c>
      <c r="AX24" s="15">
        <v>3169</v>
      </c>
      <c r="AY24" s="15">
        <v>769</v>
      </c>
      <c r="BB24" s="56">
        <v>15</v>
      </c>
      <c r="BC24" s="56">
        <v>5556</v>
      </c>
      <c r="BD24" s="56">
        <v>19356</v>
      </c>
      <c r="BE24" s="200">
        <f t="shared" si="82"/>
        <v>0.28704277743335399</v>
      </c>
      <c r="BF24" s="33">
        <f t="shared" si="83"/>
        <v>0.28704277743335399</v>
      </c>
      <c r="BG24" s="33"/>
      <c r="BH24" s="15">
        <f t="shared" si="68"/>
        <v>12.5</v>
      </c>
      <c r="BI24" s="33">
        <f t="shared" si="14"/>
        <v>0.20505767017394924</v>
      </c>
      <c r="BJ24" s="33"/>
      <c r="BK24" s="33"/>
      <c r="BY24" s="56">
        <v>21</v>
      </c>
      <c r="BZ24" s="56">
        <v>13823</v>
      </c>
      <c r="CA24" s="56">
        <v>4415</v>
      </c>
      <c r="CB24" s="56">
        <v>128</v>
      </c>
      <c r="CC24" s="200">
        <f t="shared" si="6"/>
        <v>0.24207698212523304</v>
      </c>
      <c r="CD24" s="198">
        <v>8.9999999999999993E-3</v>
      </c>
      <c r="CE24" s="33">
        <f t="shared" ref="CE24:CE32" si="104">CE23+0.5%</f>
        <v>0.24250000000000005</v>
      </c>
      <c r="CF24" s="219">
        <f t="shared" si="72"/>
        <v>9.0000000000000011E-3</v>
      </c>
      <c r="DA24" s="194"/>
      <c r="DB24" s="194"/>
      <c r="DC24" s="194"/>
      <c r="DD24" s="194">
        <v>29.5</v>
      </c>
      <c r="DE24" s="56" t="s">
        <v>312</v>
      </c>
      <c r="DF24" s="56">
        <v>1.1000000000000001</v>
      </c>
      <c r="DH24" s="45">
        <f t="shared" si="34"/>
        <v>-28</v>
      </c>
      <c r="DI24" s="204">
        <f t="shared" si="18"/>
        <v>0.71587500000000004</v>
      </c>
      <c r="DJ24" s="15">
        <f t="shared" si="19"/>
        <v>-30.5</v>
      </c>
      <c r="DK24" s="15">
        <f t="shared" si="20"/>
        <v>-26.5</v>
      </c>
      <c r="DL24" s="15">
        <f t="shared" si="21"/>
        <v>0.625</v>
      </c>
      <c r="DM24" s="15">
        <f t="shared" ref="DM24:DN24" si="105">VLOOKUP(DJ24,$DD$5:$DF$24,3,FALSE)</f>
        <v>0.67400000000000004</v>
      </c>
      <c r="DN24" s="15">
        <f t="shared" si="105"/>
        <v>0.74099999999999999</v>
      </c>
      <c r="EE24" s="45">
        <f t="shared" si="37"/>
        <v>-22</v>
      </c>
      <c r="EF24" s="204">
        <f t="shared" si="43"/>
        <v>0.34500000000000003</v>
      </c>
      <c r="EG24" s="15">
        <f t="shared" si="25"/>
        <v>-22.5</v>
      </c>
      <c r="EH24" s="15">
        <f t="shared" si="26"/>
        <v>-18.5</v>
      </c>
      <c r="EI24" s="15">
        <f t="shared" si="27"/>
        <v>0.125</v>
      </c>
      <c r="EJ24" s="205">
        <f t="shared" ref="EJ24:EK24" si="106">VLOOKUP(EG24,$DX$3:$DZ$19,3,FALSE)</f>
        <v>0.34</v>
      </c>
      <c r="EK24" s="205">
        <f t="shared" si="106"/>
        <v>0.38</v>
      </c>
    </row>
    <row r="25" spans="1:173" ht="15.75" customHeight="1" x14ac:dyDescent="0.35">
      <c r="A25" s="34">
        <v>-13</v>
      </c>
      <c r="B25" s="212">
        <v>8.3940646088850393E-2</v>
      </c>
      <c r="G25" s="220" t="s">
        <v>119</v>
      </c>
      <c r="H25" s="220"/>
      <c r="I25" s="220"/>
      <c r="J25" s="221">
        <v>17996</v>
      </c>
      <c r="K25" s="221">
        <v>28874</v>
      </c>
      <c r="L25" s="43">
        <v>1.6044676594798843</v>
      </c>
      <c r="N25" s="34">
        <v>24</v>
      </c>
      <c r="O25" s="6">
        <v>1305</v>
      </c>
      <c r="P25" s="6">
        <v>618</v>
      </c>
      <c r="Q25" s="6">
        <v>893</v>
      </c>
      <c r="R25" s="185">
        <v>0.68237274049449415</v>
      </c>
      <c r="S25" s="185">
        <v>0.68429118773946362</v>
      </c>
      <c r="T25" s="6"/>
      <c r="U25" s="181"/>
      <c r="V25" s="181"/>
      <c r="W25" s="181"/>
      <c r="X25" s="181"/>
      <c r="Y25" s="181"/>
      <c r="Z25" s="182"/>
      <c r="AA25" s="155">
        <v>22</v>
      </c>
      <c r="AB25" s="130">
        <v>1.919</v>
      </c>
      <c r="AC25" s="130">
        <v>0.93400000000000005</v>
      </c>
      <c r="AD25" s="130">
        <v>0.95950000000000002</v>
      </c>
      <c r="AE25" s="130">
        <v>0.46700000000000003</v>
      </c>
      <c r="AF25" s="143">
        <v>0.74350000000000005</v>
      </c>
      <c r="AG25" s="15">
        <v>0.251</v>
      </c>
      <c r="AH25" s="15">
        <f t="shared" ref="AH25:AI25" si="107">+AB25/AB$26</f>
        <v>4.4421296296296298</v>
      </c>
      <c r="AI25" s="15">
        <f t="shared" si="107"/>
        <v>2.1620370370370372</v>
      </c>
      <c r="AK25" s="15" t="s">
        <v>313</v>
      </c>
      <c r="AL25" s="172">
        <v>4.2455479890806225E-2</v>
      </c>
      <c r="AM25" s="172">
        <v>3.7685644174197543E-2</v>
      </c>
      <c r="AN25" s="172">
        <v>4.1509396773462354E-2</v>
      </c>
      <c r="AO25" s="172">
        <v>0.12165052083846611</v>
      </c>
      <c r="AR25" s="15">
        <v>75</v>
      </c>
      <c r="AS25" s="172">
        <v>0.5730148753404567</v>
      </c>
      <c r="AT25" s="172">
        <v>0.28329809725158561</v>
      </c>
      <c r="AU25" s="15">
        <v>20429</v>
      </c>
      <c r="AV25" s="15">
        <v>4773</v>
      </c>
      <c r="AW25" s="15">
        <v>1892</v>
      </c>
      <c r="AX25" s="15">
        <v>2735</v>
      </c>
      <c r="AY25" s="15">
        <v>536</v>
      </c>
      <c r="BB25" s="56">
        <v>16</v>
      </c>
      <c r="BC25" s="56">
        <v>7451</v>
      </c>
      <c r="BD25" s="56">
        <v>23524</v>
      </c>
      <c r="BE25" s="200">
        <f t="shared" si="82"/>
        <v>0.31674035028056452</v>
      </c>
      <c r="BF25" s="33">
        <f t="shared" si="83"/>
        <v>0.31674035028056452</v>
      </c>
      <c r="BG25" s="33"/>
      <c r="BH25" s="15">
        <f t="shared" si="68"/>
        <v>13</v>
      </c>
      <c r="BI25" s="33">
        <f t="shared" si="14"/>
        <v>0.21987315010570824</v>
      </c>
      <c r="BJ25" s="33"/>
      <c r="BK25" s="33"/>
      <c r="BY25" s="56">
        <v>22</v>
      </c>
      <c r="BZ25" s="56">
        <v>12611</v>
      </c>
      <c r="CA25" s="56">
        <v>4135</v>
      </c>
      <c r="CB25" s="56">
        <v>111</v>
      </c>
      <c r="CC25" s="200">
        <f t="shared" si="6"/>
        <v>0.24692463871969425</v>
      </c>
      <c r="CD25" s="198">
        <v>8.9999999999999993E-3</v>
      </c>
      <c r="CE25" s="33">
        <f t="shared" si="104"/>
        <v>0.24750000000000005</v>
      </c>
      <c r="CF25" s="219">
        <f t="shared" si="72"/>
        <v>9.2500000000000013E-3</v>
      </c>
      <c r="DA25" s="194"/>
      <c r="DB25" s="194"/>
      <c r="DC25" s="194"/>
      <c r="DD25" s="194"/>
      <c r="DE25" s="194"/>
      <c r="DF25" s="194"/>
      <c r="DH25" s="45">
        <f t="shared" si="34"/>
        <v>-27</v>
      </c>
      <c r="DI25" s="204">
        <f t="shared" si="18"/>
        <v>0.73262500000000008</v>
      </c>
      <c r="DJ25" s="15">
        <f t="shared" si="19"/>
        <v>-30.5</v>
      </c>
      <c r="DK25" s="15">
        <f t="shared" si="20"/>
        <v>-26.5</v>
      </c>
      <c r="DL25" s="15">
        <f t="shared" si="21"/>
        <v>0.875</v>
      </c>
      <c r="DM25" s="15">
        <f t="shared" ref="DM25:DN25" si="108">VLOOKUP(DJ25,$DD$5:$DF$24,3,FALSE)</f>
        <v>0.67400000000000004</v>
      </c>
      <c r="DN25" s="15">
        <f t="shared" si="108"/>
        <v>0.74099999999999999</v>
      </c>
      <c r="EE25" s="45">
        <f t="shared" si="37"/>
        <v>-21</v>
      </c>
      <c r="EF25" s="204">
        <f t="shared" si="43"/>
        <v>0.35500000000000004</v>
      </c>
      <c r="EG25" s="15">
        <f t="shared" si="25"/>
        <v>-22.5</v>
      </c>
      <c r="EH25" s="15">
        <f t="shared" si="26"/>
        <v>-18.5</v>
      </c>
      <c r="EI25" s="15">
        <f t="shared" si="27"/>
        <v>0.375</v>
      </c>
      <c r="EJ25" s="205">
        <f t="shared" ref="EJ25:EK25" si="109">VLOOKUP(EG25,$DX$3:$DZ$19,3,FALSE)</f>
        <v>0.34</v>
      </c>
      <c r="EK25" s="205">
        <f t="shared" si="109"/>
        <v>0.38</v>
      </c>
    </row>
    <row r="26" spans="1:173" ht="15.75" customHeight="1" x14ac:dyDescent="0.35">
      <c r="A26" s="34">
        <v>-12</v>
      </c>
      <c r="B26" s="212">
        <v>0.10123322341138422</v>
      </c>
      <c r="G26" s="34">
        <v>0</v>
      </c>
      <c r="H26" s="15">
        <v>0</v>
      </c>
      <c r="N26" s="34">
        <v>25</v>
      </c>
      <c r="O26" s="6">
        <v>424</v>
      </c>
      <c r="P26" s="6">
        <v>194</v>
      </c>
      <c r="Q26" s="6">
        <v>289</v>
      </c>
      <c r="R26" s="185">
        <v>0.69099999999999995</v>
      </c>
      <c r="S26" s="185">
        <v>0.68160377358490565</v>
      </c>
      <c r="T26" s="6"/>
      <c r="U26" s="181"/>
      <c r="V26" s="181"/>
      <c r="W26" s="181"/>
      <c r="X26" s="181"/>
      <c r="Y26" s="181"/>
      <c r="Z26" s="182"/>
      <c r="AA26" s="155"/>
      <c r="AB26" s="130">
        <v>0.432</v>
      </c>
      <c r="AC26" s="130">
        <v>0.432</v>
      </c>
      <c r="AD26" s="130">
        <v>0.216</v>
      </c>
      <c r="AE26" s="130">
        <v>0.216</v>
      </c>
      <c r="AF26" s="143">
        <v>0</v>
      </c>
      <c r="AG26" s="15">
        <v>0</v>
      </c>
      <c r="AH26" s="15">
        <f t="shared" ref="AH26:AI26" si="110">+AB26/AB$26</f>
        <v>1</v>
      </c>
      <c r="AI26" s="15">
        <f t="shared" si="110"/>
        <v>1</v>
      </c>
      <c r="AK26" s="15" t="s">
        <v>314</v>
      </c>
      <c r="AL26" s="172">
        <v>4.3043531704918599E-2</v>
      </c>
      <c r="AM26" s="172">
        <v>3.8140727342968014E-2</v>
      </c>
      <c r="AN26" s="172">
        <v>4.1680861151597089E-2</v>
      </c>
      <c r="AO26" s="172">
        <v>0.1228651201994837</v>
      </c>
      <c r="AR26" s="15">
        <v>80</v>
      </c>
      <c r="AS26" s="172">
        <v>0.61827458256029688</v>
      </c>
      <c r="AT26" s="172">
        <v>0.27157001414427157</v>
      </c>
      <c r="AU26" s="15">
        <v>9193</v>
      </c>
      <c r="AV26" s="15">
        <v>2156</v>
      </c>
      <c r="AW26" s="15">
        <v>707</v>
      </c>
      <c r="AX26" s="15">
        <v>1333</v>
      </c>
      <c r="AY26" s="15">
        <v>192</v>
      </c>
      <c r="BB26" s="56">
        <v>17</v>
      </c>
      <c r="BC26" s="56">
        <v>9626</v>
      </c>
      <c r="BD26" s="56">
        <v>28489</v>
      </c>
      <c r="BE26" s="200">
        <f t="shared" si="82"/>
        <v>0.33788479764119483</v>
      </c>
      <c r="BF26" s="33">
        <f t="shared" si="83"/>
        <v>0.33788479764119483</v>
      </c>
      <c r="BG26" s="33"/>
      <c r="BH26" s="15">
        <f t="shared" si="68"/>
        <v>13.5</v>
      </c>
      <c r="BI26" s="33">
        <f t="shared" si="14"/>
        <v>0.23450563963570864</v>
      </c>
      <c r="BJ26" s="33"/>
      <c r="BK26" s="33"/>
      <c r="BY26" s="56">
        <v>23</v>
      </c>
      <c r="BZ26" s="56">
        <v>7732</v>
      </c>
      <c r="CA26" s="56">
        <v>2650</v>
      </c>
      <c r="CB26" s="56">
        <v>66</v>
      </c>
      <c r="CC26" s="200">
        <f t="shared" si="6"/>
        <v>0.25524947023694855</v>
      </c>
      <c r="CD26" s="198">
        <v>8.0000000000000002E-3</v>
      </c>
      <c r="CE26" s="33">
        <f t="shared" si="104"/>
        <v>0.25250000000000006</v>
      </c>
      <c r="CF26" s="219">
        <f t="shared" si="72"/>
        <v>9.5000000000000015E-3</v>
      </c>
      <c r="DA26" s="194"/>
      <c r="DB26" s="194"/>
      <c r="DC26" s="194"/>
      <c r="DD26" s="194"/>
      <c r="DE26" s="194"/>
      <c r="DF26" s="194"/>
      <c r="DH26" s="45">
        <f t="shared" si="34"/>
        <v>-26</v>
      </c>
      <c r="DI26" s="204">
        <f t="shared" si="18"/>
        <v>0.74912500000000004</v>
      </c>
      <c r="DJ26" s="15">
        <f t="shared" si="19"/>
        <v>-26.5</v>
      </c>
      <c r="DK26" s="15">
        <f t="shared" si="20"/>
        <v>-22.5</v>
      </c>
      <c r="DL26" s="15">
        <f t="shared" si="21"/>
        <v>0.125</v>
      </c>
      <c r="DM26" s="15">
        <f t="shared" ref="DM26:DN26" si="111">VLOOKUP(DJ26,$DD$5:$DF$24,3,FALSE)</f>
        <v>0.74099999999999999</v>
      </c>
      <c r="DN26" s="15">
        <f t="shared" si="111"/>
        <v>0.80600000000000005</v>
      </c>
      <c r="EE26" s="45">
        <f t="shared" si="37"/>
        <v>-20</v>
      </c>
      <c r="EF26" s="204">
        <f t="shared" si="43"/>
        <v>0.36499999999999999</v>
      </c>
      <c r="EG26" s="15">
        <f t="shared" si="25"/>
        <v>-22.5</v>
      </c>
      <c r="EH26" s="15">
        <f t="shared" si="26"/>
        <v>-18.5</v>
      </c>
      <c r="EI26" s="15">
        <f t="shared" si="27"/>
        <v>0.625</v>
      </c>
      <c r="EJ26" s="205">
        <f t="shared" ref="EJ26:EK26" si="112">VLOOKUP(EG26,$DX$3:$DZ$19,3,FALSE)</f>
        <v>0.34</v>
      </c>
      <c r="EK26" s="205">
        <f t="shared" si="112"/>
        <v>0.38</v>
      </c>
    </row>
    <row r="27" spans="1:173" ht="15.75" customHeight="1" x14ac:dyDescent="0.35">
      <c r="A27" s="34">
        <v>-11</v>
      </c>
      <c r="B27" s="212">
        <v>0.11607791602294137</v>
      </c>
      <c r="N27" s="34">
        <v>26</v>
      </c>
      <c r="O27" s="6">
        <v>193</v>
      </c>
      <c r="P27" s="6">
        <v>78</v>
      </c>
      <c r="Q27" s="6">
        <v>132</v>
      </c>
      <c r="R27" s="185">
        <v>0.7</v>
      </c>
      <c r="S27" s="185">
        <v>0.68393782383419688</v>
      </c>
      <c r="T27" s="6"/>
      <c r="V27" s="207" t="s">
        <v>315</v>
      </c>
      <c r="W27" s="207"/>
      <c r="X27" s="181"/>
      <c r="Y27" s="181"/>
      <c r="Z27" s="182"/>
      <c r="AA27" s="155"/>
      <c r="AB27" s="130"/>
      <c r="AC27" s="130"/>
      <c r="AD27" s="130"/>
      <c r="AE27" s="130"/>
      <c r="AF27" s="143"/>
      <c r="AK27" s="15" t="s">
        <v>316</v>
      </c>
      <c r="AL27" s="172">
        <v>4.241271722934313E-2</v>
      </c>
      <c r="AM27" s="172">
        <v>3.6650119779704116E-2</v>
      </c>
      <c r="AN27" s="172">
        <v>4.1194339482848029E-2</v>
      </c>
      <c r="AO27" s="172">
        <v>0.12025717649189527</v>
      </c>
      <c r="AR27" s="15">
        <v>85</v>
      </c>
      <c r="AS27" s="172">
        <v>0.67468719923002884</v>
      </c>
      <c r="AT27" s="172">
        <v>0.31071428571428572</v>
      </c>
      <c r="AU27" s="15">
        <v>4648</v>
      </c>
      <c r="AV27" s="15">
        <v>1039</v>
      </c>
      <c r="AW27" s="15">
        <v>280</v>
      </c>
      <c r="AX27" s="15">
        <v>701</v>
      </c>
      <c r="AY27" s="15">
        <v>87</v>
      </c>
      <c r="BB27" s="56">
        <v>18</v>
      </c>
      <c r="BC27" s="56">
        <v>11627</v>
      </c>
      <c r="BD27" s="56">
        <v>33050</v>
      </c>
      <c r="BE27" s="200">
        <f t="shared" si="82"/>
        <v>0.35180030257186079</v>
      </c>
      <c r="BF27" s="33">
        <f t="shared" si="83"/>
        <v>0.35180030257186079</v>
      </c>
      <c r="BG27" s="33"/>
      <c r="BH27" s="15">
        <f t="shared" si="68"/>
        <v>14</v>
      </c>
      <c r="BI27" s="33">
        <f t="shared" si="14"/>
        <v>0.24913812916570904</v>
      </c>
      <c r="BJ27" s="33"/>
      <c r="BK27" s="33"/>
      <c r="BY27" s="56">
        <v>24</v>
      </c>
      <c r="BZ27" s="56">
        <v>4198</v>
      </c>
      <c r="CA27" s="56">
        <v>1408</v>
      </c>
      <c r="CB27" s="56">
        <v>48</v>
      </c>
      <c r="CC27" s="200">
        <f t="shared" si="6"/>
        <v>0.25115947199429184</v>
      </c>
      <c r="CD27" s="198">
        <v>1.0999999999999999E-2</v>
      </c>
      <c r="CE27" s="33">
        <f t="shared" si="104"/>
        <v>0.25750000000000006</v>
      </c>
      <c r="CF27" s="219">
        <f t="shared" si="72"/>
        <v>9.7500000000000017E-3</v>
      </c>
      <c r="DA27" s="194"/>
      <c r="DB27" s="194"/>
      <c r="DC27" s="194"/>
      <c r="DD27" s="194"/>
      <c r="DE27" s="194"/>
      <c r="DF27" s="194"/>
      <c r="DH27" s="45">
        <f t="shared" si="34"/>
        <v>-25</v>
      </c>
      <c r="DI27" s="204">
        <f t="shared" si="18"/>
        <v>0.76537500000000003</v>
      </c>
      <c r="DJ27" s="15">
        <f t="shared" si="19"/>
        <v>-26.5</v>
      </c>
      <c r="DK27" s="15">
        <f t="shared" si="20"/>
        <v>-22.5</v>
      </c>
      <c r="DL27" s="15">
        <f t="shared" si="21"/>
        <v>0.375</v>
      </c>
      <c r="DM27" s="15">
        <f t="shared" ref="DM27:DN27" si="113">VLOOKUP(DJ27,$DD$5:$DF$24,3,FALSE)</f>
        <v>0.74099999999999999</v>
      </c>
      <c r="DN27" s="15">
        <f t="shared" si="113"/>
        <v>0.80600000000000005</v>
      </c>
      <c r="EE27" s="45">
        <f t="shared" si="37"/>
        <v>-19</v>
      </c>
      <c r="EF27" s="204">
        <f t="shared" si="43"/>
        <v>0.375</v>
      </c>
      <c r="EG27" s="15">
        <f t="shared" si="25"/>
        <v>-22.5</v>
      </c>
      <c r="EH27" s="15">
        <f t="shared" si="26"/>
        <v>-18.5</v>
      </c>
      <c r="EI27" s="15">
        <f t="shared" si="27"/>
        <v>0.875</v>
      </c>
      <c r="EJ27" s="205">
        <f t="shared" ref="EJ27:EK27" si="114">VLOOKUP(EG27,$DX$3:$DZ$19,3,FALSE)</f>
        <v>0.34</v>
      </c>
      <c r="EK27" s="205">
        <f t="shared" si="114"/>
        <v>0.38</v>
      </c>
    </row>
    <row r="28" spans="1:173" ht="15.75" customHeight="1" x14ac:dyDescent="0.35">
      <c r="A28" s="34">
        <v>-10</v>
      </c>
      <c r="B28" s="212">
        <v>0.13077917653275817</v>
      </c>
      <c r="N28" s="34">
        <v>27</v>
      </c>
      <c r="O28" s="6">
        <v>59</v>
      </c>
      <c r="P28" s="6">
        <v>23</v>
      </c>
      <c r="Q28" s="6">
        <v>38</v>
      </c>
      <c r="R28" s="185">
        <f t="shared" ref="R28:R29" si="115">R27+0.9%</f>
        <v>0.70899999999999996</v>
      </c>
      <c r="S28" s="185">
        <v>0.64406779661016944</v>
      </c>
      <c r="T28" s="6"/>
      <c r="V28" s="222">
        <v>1</v>
      </c>
      <c r="W28" s="222"/>
      <c r="X28" s="181"/>
      <c r="Y28" s="181"/>
      <c r="Z28" s="182"/>
      <c r="AA28" s="155"/>
      <c r="AB28" s="130"/>
      <c r="AC28" s="130"/>
      <c r="AD28" s="130"/>
      <c r="AE28" s="130"/>
      <c r="AF28" s="143"/>
      <c r="AK28" s="15" t="s">
        <v>317</v>
      </c>
      <c r="AL28" s="172">
        <v>3.936773039069489E-2</v>
      </c>
      <c r="AM28" s="172">
        <v>3.754575278583628E-2</v>
      </c>
      <c r="AN28" s="172">
        <v>3.9671393324837989E-2</v>
      </c>
      <c r="AO28" s="172">
        <v>0.11658487650136916</v>
      </c>
      <c r="AR28" s="15">
        <v>90</v>
      </c>
      <c r="AS28" s="172">
        <v>0.69086021505376349</v>
      </c>
      <c r="AT28" s="172">
        <v>0.42391304347826086</v>
      </c>
      <c r="AU28" s="15">
        <v>1795</v>
      </c>
      <c r="AV28" s="15">
        <v>372</v>
      </c>
      <c r="AW28" s="15">
        <v>92</v>
      </c>
      <c r="AX28" s="15">
        <v>257</v>
      </c>
      <c r="AY28" s="15">
        <v>39</v>
      </c>
      <c r="BB28" s="56">
        <v>19</v>
      </c>
      <c r="BC28" s="56">
        <v>10724</v>
      </c>
      <c r="BD28" s="56">
        <v>29146</v>
      </c>
      <c r="BE28" s="200">
        <f t="shared" si="82"/>
        <v>0.36794071227612707</v>
      </c>
      <c r="BF28" s="33">
        <f t="shared" si="83"/>
        <v>0.36794071227612707</v>
      </c>
      <c r="BG28" s="33"/>
      <c r="BH28" s="15">
        <f t="shared" si="68"/>
        <v>14.5</v>
      </c>
      <c r="BI28" s="33">
        <f t="shared" si="14"/>
        <v>0.26809045329953152</v>
      </c>
      <c r="BJ28" s="33"/>
      <c r="BK28" s="33"/>
      <c r="BY28" s="56">
        <v>25</v>
      </c>
      <c r="BZ28" s="56">
        <v>2109</v>
      </c>
      <c r="CA28" s="56">
        <v>792</v>
      </c>
      <c r="CB28" s="56">
        <v>22</v>
      </c>
      <c r="CC28" s="200">
        <f t="shared" si="6"/>
        <v>0.2730093071354705</v>
      </c>
      <c r="CD28" s="198">
        <v>0.01</v>
      </c>
      <c r="CE28" s="33">
        <f t="shared" si="104"/>
        <v>0.26250000000000007</v>
      </c>
      <c r="CF28" s="219">
        <f t="shared" si="72"/>
        <v>1.0000000000000002E-2</v>
      </c>
      <c r="DA28" s="194"/>
      <c r="DB28" s="194"/>
      <c r="DC28" s="194"/>
      <c r="DD28" s="194"/>
      <c r="DE28" s="194"/>
      <c r="DF28" s="194"/>
      <c r="DH28" s="45">
        <f t="shared" si="34"/>
        <v>-24</v>
      </c>
      <c r="DI28" s="204">
        <f t="shared" si="18"/>
        <v>0.78162500000000001</v>
      </c>
      <c r="DJ28" s="15">
        <f t="shared" si="19"/>
        <v>-26.5</v>
      </c>
      <c r="DK28" s="15">
        <f t="shared" si="20"/>
        <v>-22.5</v>
      </c>
      <c r="DL28" s="15">
        <f t="shared" si="21"/>
        <v>0.625</v>
      </c>
      <c r="DM28" s="15">
        <f t="shared" ref="DM28:DN28" si="116">VLOOKUP(DJ28,$DD$5:$DF$24,3,FALSE)</f>
        <v>0.74099999999999999</v>
      </c>
      <c r="DN28" s="15">
        <f t="shared" si="116"/>
        <v>0.80600000000000005</v>
      </c>
      <c r="EE28" s="45">
        <f t="shared" si="37"/>
        <v>-18</v>
      </c>
      <c r="EF28" s="204">
        <f t="shared" si="43"/>
        <v>0.38375000000000004</v>
      </c>
      <c r="EG28" s="15">
        <f t="shared" si="25"/>
        <v>-18.5</v>
      </c>
      <c r="EH28" s="15">
        <f t="shared" si="26"/>
        <v>-14.5</v>
      </c>
      <c r="EI28" s="15">
        <f t="shared" si="27"/>
        <v>0.125</v>
      </c>
      <c r="EJ28" s="205">
        <f t="shared" ref="EJ28:EK28" si="117">VLOOKUP(EG28,$DX$3:$DZ$19,3,FALSE)</f>
        <v>0.38</v>
      </c>
      <c r="EK28" s="205">
        <f t="shared" si="117"/>
        <v>0.41</v>
      </c>
    </row>
    <row r="29" spans="1:173" ht="15.75" customHeight="1" x14ac:dyDescent="0.35">
      <c r="A29" s="34">
        <v>-9</v>
      </c>
      <c r="B29" s="212">
        <v>0.14676666615035097</v>
      </c>
      <c r="N29" s="34">
        <v>28</v>
      </c>
      <c r="O29" s="6">
        <v>47</v>
      </c>
      <c r="P29" s="6">
        <v>14</v>
      </c>
      <c r="Q29" s="6">
        <v>38</v>
      </c>
      <c r="R29" s="185">
        <f t="shared" si="115"/>
        <v>0.71799999999999997</v>
      </c>
      <c r="S29" s="185">
        <v>0.80851063829787229</v>
      </c>
      <c r="T29" s="6"/>
      <c r="U29" s="15">
        <v>1</v>
      </c>
      <c r="V29" s="34">
        <v>0</v>
      </c>
      <c r="W29" s="212">
        <v>9.3016255267910894E-2</v>
      </c>
      <c r="X29" s="181"/>
      <c r="Y29" s="181"/>
      <c r="Z29" s="182"/>
      <c r="AA29" s="155"/>
      <c r="AB29" s="130"/>
      <c r="AC29" s="130"/>
      <c r="AD29" s="130"/>
      <c r="AE29" s="130"/>
      <c r="AF29" s="143"/>
      <c r="AK29" s="15" t="s">
        <v>318</v>
      </c>
      <c r="AL29" s="172">
        <v>4.1766499165602287E-2</v>
      </c>
      <c r="AM29" s="172">
        <v>3.7589849249042059E-2</v>
      </c>
      <c r="AN29" s="172">
        <v>4.0237546964004348E-2</v>
      </c>
      <c r="AO29" s="172">
        <v>0.11959389537864869</v>
      </c>
      <c r="BB29" s="56">
        <v>20</v>
      </c>
      <c r="BC29" s="56">
        <v>10031</v>
      </c>
      <c r="BD29" s="56">
        <v>26315</v>
      </c>
      <c r="BE29" s="200">
        <f t="shared" si="82"/>
        <v>0.38118943568307051</v>
      </c>
      <c r="BF29" s="33">
        <f t="shared" si="83"/>
        <v>0.38118943568307051</v>
      </c>
      <c r="BG29" s="33"/>
      <c r="BH29" s="15">
        <f t="shared" si="68"/>
        <v>15</v>
      </c>
      <c r="BI29" s="33">
        <f t="shared" si="14"/>
        <v>0.28704277743335399</v>
      </c>
      <c r="BJ29" s="33"/>
      <c r="BK29" s="33"/>
      <c r="BY29" s="56">
        <v>26</v>
      </c>
      <c r="BZ29" s="56">
        <v>611</v>
      </c>
      <c r="CA29" s="56">
        <v>219</v>
      </c>
      <c r="CB29" s="56">
        <v>9</v>
      </c>
      <c r="CC29" s="200">
        <f t="shared" si="6"/>
        <v>0.26385542168674697</v>
      </c>
      <c r="CD29" s="198">
        <v>1.4999999999999999E-2</v>
      </c>
      <c r="CE29" s="33">
        <f t="shared" si="104"/>
        <v>0.26750000000000007</v>
      </c>
      <c r="CF29" s="219">
        <f t="shared" si="72"/>
        <v>1.0250000000000002E-2</v>
      </c>
      <c r="DA29" s="194"/>
      <c r="DB29" s="194"/>
      <c r="DC29" s="194"/>
      <c r="DD29" s="194"/>
      <c r="DE29" s="194"/>
      <c r="DF29" s="194"/>
      <c r="DH29" s="45">
        <f t="shared" si="34"/>
        <v>-23</v>
      </c>
      <c r="DI29" s="204">
        <f t="shared" si="18"/>
        <v>0.797875</v>
      </c>
      <c r="DJ29" s="15">
        <f t="shared" si="19"/>
        <v>-26.5</v>
      </c>
      <c r="DK29" s="15">
        <f t="shared" si="20"/>
        <v>-22.5</v>
      </c>
      <c r="DL29" s="15">
        <f t="shared" si="21"/>
        <v>0.875</v>
      </c>
      <c r="DM29" s="15">
        <f t="shared" ref="DM29:DN29" si="118">VLOOKUP(DJ29,$DD$5:$DF$24,3,FALSE)</f>
        <v>0.74099999999999999</v>
      </c>
      <c r="DN29" s="15">
        <f t="shared" si="118"/>
        <v>0.80600000000000005</v>
      </c>
      <c r="EE29" s="45">
        <f t="shared" si="37"/>
        <v>-17</v>
      </c>
      <c r="EF29" s="204">
        <f t="shared" si="43"/>
        <v>0.39124999999999999</v>
      </c>
      <c r="EG29" s="15">
        <f t="shared" si="25"/>
        <v>-18.5</v>
      </c>
      <c r="EH29" s="15">
        <f t="shared" si="26"/>
        <v>-14.5</v>
      </c>
      <c r="EI29" s="15">
        <f t="shared" si="27"/>
        <v>0.375</v>
      </c>
      <c r="EJ29" s="205">
        <f t="shared" ref="EJ29:EK29" si="119">VLOOKUP(EG29,$DX$3:$DZ$19,3,FALSE)</f>
        <v>0.38</v>
      </c>
      <c r="EK29" s="205">
        <f t="shared" si="119"/>
        <v>0.41</v>
      </c>
    </row>
    <row r="30" spans="1:173" ht="15.75" customHeight="1" x14ac:dyDescent="0.35">
      <c r="A30" s="34">
        <v>-8</v>
      </c>
      <c r="B30" s="212">
        <v>0.16178956431804925</v>
      </c>
      <c r="P30" s="6" t="s">
        <v>170</v>
      </c>
      <c r="Q30" s="6">
        <v>32</v>
      </c>
      <c r="R30" s="6"/>
      <c r="S30" s="185">
        <v>0.8</v>
      </c>
      <c r="T30" s="6"/>
      <c r="U30" s="15">
        <v>1</v>
      </c>
      <c r="V30" s="34">
        <v>1</v>
      </c>
      <c r="W30" s="212">
        <v>6.7182266705362814E-2</v>
      </c>
      <c r="X30" s="181"/>
      <c r="Y30" s="181"/>
      <c r="Z30" s="182"/>
      <c r="AA30" s="155"/>
      <c r="AB30" s="130"/>
      <c r="AC30" s="130"/>
      <c r="AD30" s="130"/>
      <c r="AE30" s="130"/>
      <c r="AF30" s="143"/>
      <c r="AK30" s="15" t="s">
        <v>319</v>
      </c>
      <c r="AL30" s="172">
        <v>3.9736092367671297E-2</v>
      </c>
      <c r="AM30" s="172">
        <v>3.5687509371719876E-2</v>
      </c>
      <c r="AN30" s="172">
        <v>4.1535462588094145E-2</v>
      </c>
      <c r="AO30" s="172">
        <v>0.11695906432748532</v>
      </c>
      <c r="BB30" s="56">
        <v>21</v>
      </c>
      <c r="BC30" s="56">
        <v>8908</v>
      </c>
      <c r="BD30" s="56">
        <v>22806</v>
      </c>
      <c r="BE30" s="200">
        <f t="shared" si="82"/>
        <v>0.39059896518460052</v>
      </c>
      <c r="BF30" s="33">
        <f t="shared" si="83"/>
        <v>0.39059896518460052</v>
      </c>
      <c r="BG30" s="33"/>
      <c r="BH30" s="15">
        <f t="shared" si="68"/>
        <v>15.5</v>
      </c>
      <c r="BI30" s="33">
        <f t="shared" si="14"/>
        <v>0.30189156385695926</v>
      </c>
      <c r="BJ30" s="33"/>
      <c r="BK30" s="33"/>
      <c r="BY30" s="56">
        <v>27</v>
      </c>
      <c r="BZ30" s="56">
        <v>222</v>
      </c>
      <c r="CA30" s="56">
        <v>87</v>
      </c>
      <c r="CB30" s="56">
        <v>2</v>
      </c>
      <c r="CC30" s="200">
        <f t="shared" si="6"/>
        <v>0.28155339805825241</v>
      </c>
      <c r="CD30" s="198">
        <v>8.9999999999999993E-3</v>
      </c>
      <c r="CE30" s="33">
        <f t="shared" si="104"/>
        <v>0.27250000000000008</v>
      </c>
      <c r="CF30" s="219">
        <f t="shared" si="72"/>
        <v>1.0500000000000002E-2</v>
      </c>
      <c r="DA30" s="194"/>
      <c r="DB30" s="194"/>
      <c r="DC30" s="194"/>
      <c r="DD30" s="194"/>
      <c r="DE30" s="194"/>
      <c r="DF30" s="194"/>
      <c r="DH30" s="45">
        <f t="shared" si="34"/>
        <v>-22</v>
      </c>
      <c r="DI30" s="204">
        <f t="shared" si="18"/>
        <v>0.81787500000000002</v>
      </c>
      <c r="DJ30" s="15">
        <f t="shared" si="19"/>
        <v>-22.5</v>
      </c>
      <c r="DK30" s="15">
        <f t="shared" si="20"/>
        <v>-18.5</v>
      </c>
      <c r="DL30" s="15">
        <f t="shared" si="21"/>
        <v>0.125</v>
      </c>
      <c r="DM30" s="15">
        <f t="shared" ref="DM30:DN30" si="120">VLOOKUP(DJ30,$DD$5:$DF$24,3,FALSE)</f>
        <v>0.80600000000000005</v>
      </c>
      <c r="DN30" s="15">
        <f t="shared" si="120"/>
        <v>0.90100000000000002</v>
      </c>
      <c r="EE30" s="45">
        <f t="shared" si="37"/>
        <v>-16</v>
      </c>
      <c r="EF30" s="204">
        <f t="shared" si="43"/>
        <v>0.39874999999999999</v>
      </c>
      <c r="EG30" s="15">
        <f t="shared" si="25"/>
        <v>-18.5</v>
      </c>
      <c r="EH30" s="15">
        <f t="shared" si="26"/>
        <v>-14.5</v>
      </c>
      <c r="EI30" s="15">
        <f t="shared" si="27"/>
        <v>0.625</v>
      </c>
      <c r="EJ30" s="205">
        <f t="shared" ref="EJ30:EK30" si="121">VLOOKUP(EG30,$DX$3:$DZ$19,3,FALSE)</f>
        <v>0.38</v>
      </c>
      <c r="EK30" s="205">
        <f t="shared" si="121"/>
        <v>0.41</v>
      </c>
    </row>
    <row r="31" spans="1:173" ht="15.75" customHeight="1" x14ac:dyDescent="0.35">
      <c r="A31" s="34">
        <v>-7</v>
      </c>
      <c r="B31" s="212">
        <v>0.17641470718226163</v>
      </c>
      <c r="P31" s="6" t="s">
        <v>172</v>
      </c>
      <c r="Q31" s="6"/>
      <c r="R31" s="6"/>
      <c r="S31" s="6"/>
      <c r="T31" s="6"/>
      <c r="U31" s="15">
        <v>1</v>
      </c>
      <c r="V31" s="34">
        <v>2</v>
      </c>
      <c r="W31" s="212">
        <v>3.2490209108003792E-2</v>
      </c>
      <c r="X31" s="181"/>
      <c r="Y31" s="181"/>
      <c r="Z31" s="182"/>
      <c r="AA31" s="155"/>
      <c r="AB31" s="130"/>
      <c r="AC31" s="130"/>
      <c r="AD31" s="130"/>
      <c r="AE31" s="130"/>
      <c r="AF31" s="143"/>
      <c r="BB31" s="56">
        <v>22</v>
      </c>
      <c r="BC31" s="56">
        <v>8461</v>
      </c>
      <c r="BD31" s="56">
        <v>20792</v>
      </c>
      <c r="BE31" s="200">
        <f t="shared" si="82"/>
        <v>0.40693535975375145</v>
      </c>
      <c r="BF31" s="33">
        <f t="shared" si="83"/>
        <v>0.40693535975375145</v>
      </c>
      <c r="BG31" s="33"/>
      <c r="BH31" s="15">
        <f t="shared" si="68"/>
        <v>16</v>
      </c>
      <c r="BI31" s="33">
        <f t="shared" si="14"/>
        <v>0.31674035028056452</v>
      </c>
      <c r="BJ31" s="33"/>
      <c r="BK31" s="33"/>
      <c r="BY31" s="56">
        <v>28</v>
      </c>
      <c r="BZ31" s="56">
        <v>35</v>
      </c>
      <c r="CA31" s="56">
        <v>11</v>
      </c>
      <c r="CB31" s="56">
        <v>0</v>
      </c>
      <c r="CC31" s="200">
        <f t="shared" si="6"/>
        <v>0.2391304347826087</v>
      </c>
      <c r="CD31" s="198">
        <v>0</v>
      </c>
      <c r="CE31" s="33">
        <f t="shared" si="104"/>
        <v>0.27750000000000008</v>
      </c>
      <c r="CF31" s="219">
        <f t="shared" si="72"/>
        <v>1.0750000000000003E-2</v>
      </c>
      <c r="DA31" s="194"/>
      <c r="DB31" s="194"/>
      <c r="DC31" s="194"/>
      <c r="DD31" s="194"/>
      <c r="DE31" s="194"/>
      <c r="DF31" s="194"/>
      <c r="DH31" s="45">
        <f t="shared" si="34"/>
        <v>-21</v>
      </c>
      <c r="DI31" s="204">
        <f t="shared" si="18"/>
        <v>0.84162500000000007</v>
      </c>
      <c r="DJ31" s="15">
        <f t="shared" si="19"/>
        <v>-22.5</v>
      </c>
      <c r="DK31" s="15">
        <f t="shared" si="20"/>
        <v>-18.5</v>
      </c>
      <c r="DL31" s="15">
        <f t="shared" si="21"/>
        <v>0.375</v>
      </c>
      <c r="DM31" s="15">
        <f t="shared" ref="DM31:DN31" si="122">VLOOKUP(DJ31,$DD$5:$DF$24,3,FALSE)</f>
        <v>0.80600000000000005</v>
      </c>
      <c r="DN31" s="15">
        <f t="shared" si="122"/>
        <v>0.90100000000000002</v>
      </c>
      <c r="EE31" s="45">
        <f t="shared" si="37"/>
        <v>-15</v>
      </c>
      <c r="EF31" s="204">
        <f t="shared" si="43"/>
        <v>0.40624999999999994</v>
      </c>
      <c r="EG31" s="15">
        <f t="shared" si="25"/>
        <v>-18.5</v>
      </c>
      <c r="EH31" s="15">
        <f t="shared" si="26"/>
        <v>-14.5</v>
      </c>
      <c r="EI31" s="15">
        <f t="shared" si="27"/>
        <v>0.875</v>
      </c>
      <c r="EJ31" s="205">
        <f t="shared" ref="EJ31:EK31" si="123">VLOOKUP(EG31,$DX$3:$DZ$19,3,FALSE)</f>
        <v>0.38</v>
      </c>
      <c r="EK31" s="205">
        <f t="shared" si="123"/>
        <v>0.41</v>
      </c>
    </row>
    <row r="32" spans="1:173" ht="15.75" customHeight="1" x14ac:dyDescent="0.35">
      <c r="A32" s="34">
        <v>-6</v>
      </c>
      <c r="B32" s="212">
        <v>0.19284541574487776</v>
      </c>
      <c r="T32" s="6"/>
      <c r="U32" s="15">
        <v>1</v>
      </c>
      <c r="V32" s="34">
        <v>3</v>
      </c>
      <c r="W32" s="212">
        <v>1.878394313331451E-2</v>
      </c>
      <c r="X32" s="181"/>
      <c r="Y32" s="181"/>
      <c r="Z32" s="182"/>
      <c r="AA32" s="155"/>
      <c r="AB32" s="130"/>
      <c r="AC32" s="130"/>
      <c r="AD32" s="130"/>
      <c r="AE32" s="130"/>
      <c r="AF32" s="143"/>
      <c r="BB32" s="56">
        <v>23</v>
      </c>
      <c r="BC32" s="56">
        <v>6592</v>
      </c>
      <c r="BD32" s="56">
        <v>15835</v>
      </c>
      <c r="BE32" s="200">
        <f t="shared" si="82"/>
        <v>0.41629302178718031</v>
      </c>
      <c r="BF32" s="33">
        <f t="shared" si="83"/>
        <v>0.41629302178718031</v>
      </c>
      <c r="BG32" s="33"/>
      <c r="BH32" s="15">
        <f t="shared" si="68"/>
        <v>16.5</v>
      </c>
      <c r="BI32" s="33">
        <f t="shared" si="14"/>
        <v>0.32731257396087965</v>
      </c>
      <c r="BJ32" s="33"/>
      <c r="BK32" s="33"/>
      <c r="BY32" s="56">
        <v>29</v>
      </c>
      <c r="BZ32" s="56">
        <v>22</v>
      </c>
      <c r="CA32" s="56">
        <v>11</v>
      </c>
      <c r="CB32" s="56">
        <v>0</v>
      </c>
      <c r="CC32" s="200">
        <f t="shared" si="6"/>
        <v>0.33333333333333331</v>
      </c>
      <c r="CD32" s="198">
        <v>0</v>
      </c>
      <c r="CE32" s="33">
        <f t="shared" si="104"/>
        <v>0.28250000000000008</v>
      </c>
      <c r="CF32" s="219">
        <f t="shared" si="72"/>
        <v>1.1000000000000003E-2</v>
      </c>
      <c r="DA32" s="194"/>
      <c r="DB32" s="194"/>
      <c r="DC32" s="194"/>
      <c r="DD32" s="194"/>
      <c r="DE32" s="194"/>
      <c r="DF32" s="194"/>
      <c r="DH32" s="45">
        <f t="shared" si="34"/>
        <v>-20</v>
      </c>
      <c r="DI32" s="204">
        <f t="shared" si="18"/>
        <v>0.86537500000000001</v>
      </c>
      <c r="DJ32" s="15">
        <f t="shared" si="19"/>
        <v>-22.5</v>
      </c>
      <c r="DK32" s="15">
        <f t="shared" si="20"/>
        <v>-18.5</v>
      </c>
      <c r="DL32" s="15">
        <f t="shared" si="21"/>
        <v>0.625</v>
      </c>
      <c r="DM32" s="15">
        <f t="shared" ref="DM32:DN32" si="124">VLOOKUP(DJ32,$DD$5:$DF$24,3,FALSE)</f>
        <v>0.80600000000000005</v>
      </c>
      <c r="DN32" s="15">
        <f t="shared" si="124"/>
        <v>0.90100000000000002</v>
      </c>
      <c r="EE32" s="45">
        <f t="shared" si="37"/>
        <v>-14</v>
      </c>
      <c r="EF32" s="204">
        <f t="shared" si="43"/>
        <v>0.41499999999999998</v>
      </c>
      <c r="EG32" s="15">
        <f t="shared" si="25"/>
        <v>-14.5</v>
      </c>
      <c r="EH32" s="15">
        <f t="shared" si="26"/>
        <v>-10.5</v>
      </c>
      <c r="EI32" s="15">
        <f t="shared" si="27"/>
        <v>0.125</v>
      </c>
      <c r="EJ32" s="205">
        <f t="shared" ref="EJ32:EK32" si="125">VLOOKUP(EG32,$DX$3:$DZ$19,3,FALSE)</f>
        <v>0.41</v>
      </c>
      <c r="EK32" s="205">
        <f t="shared" si="125"/>
        <v>0.45</v>
      </c>
    </row>
    <row r="33" spans="1:141" ht="15.75" customHeight="1" x14ac:dyDescent="0.35">
      <c r="A33" s="34">
        <v>-5</v>
      </c>
      <c r="B33" s="212">
        <v>0.20908269159007031</v>
      </c>
      <c r="T33" s="6"/>
      <c r="V33" s="222">
        <v>2</v>
      </c>
      <c r="W33" s="222"/>
      <c r="X33" s="181"/>
      <c r="Y33" s="181"/>
      <c r="Z33" s="182"/>
      <c r="AA33" s="155"/>
      <c r="AB33" s="130"/>
      <c r="AC33" s="130"/>
      <c r="AD33" s="130"/>
      <c r="AE33" s="130"/>
      <c r="AF33" s="143"/>
      <c r="BB33" s="56">
        <v>24</v>
      </c>
      <c r="BC33" s="56">
        <v>4998</v>
      </c>
      <c r="BD33" s="56">
        <v>11733</v>
      </c>
      <c r="BE33" s="200">
        <f t="shared" si="82"/>
        <v>0.42597801073894143</v>
      </c>
      <c r="BF33" s="33">
        <f t="shared" si="83"/>
        <v>0.42597801073894143</v>
      </c>
      <c r="BG33" s="33"/>
      <c r="BH33" s="15">
        <f t="shared" si="68"/>
        <v>17</v>
      </c>
      <c r="BI33" s="33">
        <f t="shared" si="14"/>
        <v>0.33788479764119483</v>
      </c>
      <c r="BJ33" s="33"/>
      <c r="BK33" s="33"/>
      <c r="DA33" s="194"/>
      <c r="DB33" s="194"/>
      <c r="DC33" s="194"/>
      <c r="DD33" s="194"/>
      <c r="DE33" s="194"/>
      <c r="DF33" s="194"/>
      <c r="DH33" s="45">
        <f t="shared" si="34"/>
        <v>-19</v>
      </c>
      <c r="DI33" s="204">
        <f t="shared" si="18"/>
        <v>0.88912500000000005</v>
      </c>
      <c r="DJ33" s="15">
        <f t="shared" si="19"/>
        <v>-22.5</v>
      </c>
      <c r="DK33" s="15">
        <f t="shared" si="20"/>
        <v>-18.5</v>
      </c>
      <c r="DL33" s="15">
        <f t="shared" si="21"/>
        <v>0.875</v>
      </c>
      <c r="DM33" s="15">
        <f t="shared" ref="DM33:DN33" si="126">VLOOKUP(DJ33,$DD$5:$DF$24,3,FALSE)</f>
        <v>0.80600000000000005</v>
      </c>
      <c r="DN33" s="15">
        <f t="shared" si="126"/>
        <v>0.90100000000000002</v>
      </c>
      <c r="EE33" s="45">
        <f t="shared" si="37"/>
        <v>-13</v>
      </c>
      <c r="EF33" s="204">
        <f t="shared" si="43"/>
        <v>0.42499999999999999</v>
      </c>
      <c r="EG33" s="15">
        <f t="shared" si="25"/>
        <v>-14.5</v>
      </c>
      <c r="EH33" s="15">
        <f t="shared" si="26"/>
        <v>-10.5</v>
      </c>
      <c r="EI33" s="15">
        <f t="shared" si="27"/>
        <v>0.375</v>
      </c>
      <c r="EJ33" s="205">
        <f t="shared" ref="EJ33:EK33" si="127">VLOOKUP(EG33,$DX$3:$DZ$19,3,FALSE)</f>
        <v>0.41</v>
      </c>
      <c r="EK33" s="205">
        <f t="shared" si="127"/>
        <v>0.45</v>
      </c>
    </row>
    <row r="34" spans="1:141" ht="15.75" customHeight="1" x14ac:dyDescent="0.35">
      <c r="A34" s="34">
        <v>-4</v>
      </c>
      <c r="B34" s="212">
        <v>0.22487442650527542</v>
      </c>
      <c r="T34" s="6"/>
      <c r="U34" s="15">
        <v>2</v>
      </c>
      <c r="V34" s="34">
        <v>0</v>
      </c>
      <c r="W34" s="212">
        <v>0.13652663037135696</v>
      </c>
      <c r="X34" s="181"/>
      <c r="Y34" s="223"/>
      <c r="Z34" s="182"/>
      <c r="AA34" s="155"/>
      <c r="AB34" s="130"/>
      <c r="AC34" s="130"/>
      <c r="AD34" s="130"/>
      <c r="AE34" s="130"/>
      <c r="AF34" s="143"/>
      <c r="BB34" s="56">
        <v>25</v>
      </c>
      <c r="BC34" s="56">
        <v>3564</v>
      </c>
      <c r="BD34" s="56">
        <v>8343</v>
      </c>
      <c r="BE34" s="200">
        <f t="shared" si="82"/>
        <v>0.42718446601941745</v>
      </c>
      <c r="BF34" s="33">
        <v>0.43099999999999999</v>
      </c>
      <c r="BG34" s="33"/>
      <c r="BH34" s="15">
        <f t="shared" si="68"/>
        <v>17.5</v>
      </c>
      <c r="BI34" s="33">
        <f t="shared" si="14"/>
        <v>0.34484255010652781</v>
      </c>
      <c r="BJ34" s="33"/>
      <c r="BK34" s="33"/>
      <c r="DA34" s="194"/>
      <c r="DB34" s="194"/>
      <c r="DC34" s="194"/>
      <c r="DD34" s="194"/>
      <c r="DE34" s="194"/>
      <c r="DF34" s="194"/>
      <c r="DH34" s="45">
        <f t="shared" si="34"/>
        <v>-18</v>
      </c>
      <c r="DI34" s="204">
        <f t="shared" si="18"/>
        <v>0.90275000000000005</v>
      </c>
      <c r="DJ34" s="15">
        <f t="shared" si="19"/>
        <v>-18.5</v>
      </c>
      <c r="DK34" s="15">
        <f t="shared" si="20"/>
        <v>-14.5</v>
      </c>
      <c r="DL34" s="15">
        <f t="shared" si="21"/>
        <v>0.125</v>
      </c>
      <c r="DM34" s="15">
        <f t="shared" ref="DM34:DN34" si="128">VLOOKUP(DJ34,$DD$5:$DF$24,3,FALSE)</f>
        <v>0.90100000000000002</v>
      </c>
      <c r="DN34" s="15">
        <f t="shared" si="128"/>
        <v>0.91500000000000004</v>
      </c>
      <c r="EE34" s="45">
        <f t="shared" si="37"/>
        <v>-12</v>
      </c>
      <c r="EF34" s="204">
        <f t="shared" si="43"/>
        <v>0.435</v>
      </c>
      <c r="EG34" s="15">
        <f t="shared" si="25"/>
        <v>-14.5</v>
      </c>
      <c r="EH34" s="15">
        <f t="shared" si="26"/>
        <v>-10.5</v>
      </c>
      <c r="EI34" s="15">
        <f t="shared" si="27"/>
        <v>0.625</v>
      </c>
      <c r="EJ34" s="205">
        <f t="shared" ref="EJ34:EK34" si="129">VLOOKUP(EG34,$DX$3:$DZ$19,3,FALSE)</f>
        <v>0.41</v>
      </c>
      <c r="EK34" s="205">
        <f t="shared" si="129"/>
        <v>0.45</v>
      </c>
    </row>
    <row r="35" spans="1:141" ht="15.75" customHeight="1" x14ac:dyDescent="0.35">
      <c r="A35" s="34">
        <v>-3</v>
      </c>
      <c r="B35" s="212">
        <v>0.24271270190947175</v>
      </c>
      <c r="T35" s="6"/>
      <c r="U35" s="15">
        <v>2</v>
      </c>
      <c r="V35" s="34">
        <v>1</v>
      </c>
      <c r="W35" s="212">
        <v>9.8608232158720763E-2</v>
      </c>
      <c r="X35" s="181"/>
      <c r="Y35" s="223"/>
      <c r="Z35" s="182"/>
      <c r="AA35" s="155"/>
      <c r="AB35" s="130"/>
      <c r="AC35" s="130"/>
      <c r="AD35" s="130"/>
      <c r="AE35" s="130"/>
      <c r="AF35" s="143"/>
      <c r="BB35" s="56">
        <v>26</v>
      </c>
      <c r="BC35" s="56">
        <v>1876</v>
      </c>
      <c r="BD35" s="56">
        <v>4315</v>
      </c>
      <c r="BE35" s="200">
        <f t="shared" si="82"/>
        <v>0.4347624565469293</v>
      </c>
      <c r="BF35" s="33">
        <f t="shared" ref="BF35:BF42" si="130">BF34+0.5%</f>
        <v>0.436</v>
      </c>
      <c r="BG35" s="33"/>
      <c r="BH35" s="15">
        <f t="shared" si="68"/>
        <v>18</v>
      </c>
      <c r="BI35" s="33">
        <f t="shared" si="14"/>
        <v>0.35180030257186079</v>
      </c>
      <c r="BJ35" s="33"/>
      <c r="BK35" s="33"/>
      <c r="DA35" s="194"/>
      <c r="DB35" s="194"/>
      <c r="DC35" s="194"/>
      <c r="DD35" s="194"/>
      <c r="DE35" s="194"/>
      <c r="DF35" s="194"/>
      <c r="DH35" s="45">
        <f t="shared" si="34"/>
        <v>-17</v>
      </c>
      <c r="DI35" s="204">
        <f t="shared" si="18"/>
        <v>0.90625</v>
      </c>
      <c r="DJ35" s="15">
        <f t="shared" si="19"/>
        <v>-18.5</v>
      </c>
      <c r="DK35" s="15">
        <f t="shared" si="20"/>
        <v>-14.5</v>
      </c>
      <c r="DL35" s="15">
        <f t="shared" si="21"/>
        <v>0.375</v>
      </c>
      <c r="DM35" s="15">
        <f t="shared" ref="DM35:DN35" si="131">VLOOKUP(DJ35,$DD$5:$DF$24,3,FALSE)</f>
        <v>0.90100000000000002</v>
      </c>
      <c r="DN35" s="15">
        <f t="shared" si="131"/>
        <v>0.91500000000000004</v>
      </c>
      <c r="EE35" s="45">
        <f t="shared" si="37"/>
        <v>-11</v>
      </c>
      <c r="EF35" s="204">
        <f t="shared" si="43"/>
        <v>0.44500000000000001</v>
      </c>
      <c r="EG35" s="15">
        <f t="shared" si="25"/>
        <v>-14.5</v>
      </c>
      <c r="EH35" s="15">
        <f t="shared" si="26"/>
        <v>-10.5</v>
      </c>
      <c r="EI35" s="15">
        <f t="shared" si="27"/>
        <v>0.875</v>
      </c>
      <c r="EJ35" s="205">
        <f t="shared" ref="EJ35:EK35" si="132">VLOOKUP(EG35,$DX$3:$DZ$19,3,FALSE)</f>
        <v>0.41</v>
      </c>
      <c r="EK35" s="205">
        <f t="shared" si="132"/>
        <v>0.45</v>
      </c>
    </row>
    <row r="36" spans="1:141" ht="15.75" customHeight="1" x14ac:dyDescent="0.35">
      <c r="A36" s="34">
        <v>-2</v>
      </c>
      <c r="B36" s="212">
        <v>0.27522935779816515</v>
      </c>
      <c r="T36" s="6"/>
      <c r="U36" s="15">
        <v>2</v>
      </c>
      <c r="V36" s="34">
        <v>2</v>
      </c>
      <c r="W36" s="212">
        <v>4.7688210590722431E-2</v>
      </c>
      <c r="X36" s="181"/>
      <c r="Y36" s="223"/>
      <c r="Z36" s="182"/>
      <c r="AA36" s="155"/>
      <c r="AB36" s="130"/>
      <c r="AC36" s="130"/>
      <c r="AD36" s="130"/>
      <c r="AE36" s="130"/>
      <c r="AF36" s="143"/>
      <c r="BB36" s="56">
        <v>27</v>
      </c>
      <c r="BC36" s="56">
        <v>1265</v>
      </c>
      <c r="BD36" s="56">
        <v>2895</v>
      </c>
      <c r="BE36" s="200">
        <f t="shared" si="82"/>
        <v>0.4369602763385147</v>
      </c>
      <c r="BF36" s="33">
        <f t="shared" si="130"/>
        <v>0.441</v>
      </c>
      <c r="BG36" s="33"/>
      <c r="BH36" s="15">
        <f t="shared" si="68"/>
        <v>18.5</v>
      </c>
      <c r="BI36" s="33">
        <f t="shared" si="14"/>
        <v>0.35987050742399396</v>
      </c>
      <c r="BJ36" s="33"/>
      <c r="BK36" s="33"/>
      <c r="DA36" s="194"/>
      <c r="DB36" s="194"/>
      <c r="DC36" s="194"/>
      <c r="DD36" s="194"/>
      <c r="DE36" s="194"/>
      <c r="DF36" s="194"/>
      <c r="DH36" s="45">
        <f t="shared" si="34"/>
        <v>-16</v>
      </c>
      <c r="DI36" s="204">
        <f t="shared" si="18"/>
        <v>0.90975000000000006</v>
      </c>
      <c r="DJ36" s="15">
        <f t="shared" si="19"/>
        <v>-18.5</v>
      </c>
      <c r="DK36" s="15">
        <f t="shared" si="20"/>
        <v>-14.5</v>
      </c>
      <c r="DL36" s="15">
        <f t="shared" si="21"/>
        <v>0.625</v>
      </c>
      <c r="DM36" s="15">
        <f t="shared" ref="DM36:DN36" si="133">VLOOKUP(DJ36,$DD$5:$DF$24,3,FALSE)</f>
        <v>0.90100000000000002</v>
      </c>
      <c r="DN36" s="15">
        <f t="shared" si="133"/>
        <v>0.91500000000000004</v>
      </c>
      <c r="EE36" s="45">
        <f t="shared" si="37"/>
        <v>-10</v>
      </c>
      <c r="EF36" s="204">
        <f t="shared" si="43"/>
        <v>0.45499999999999996</v>
      </c>
      <c r="EG36" s="15">
        <f t="shared" si="25"/>
        <v>-10.5</v>
      </c>
      <c r="EH36" s="15">
        <f t="shared" si="26"/>
        <v>-6.5</v>
      </c>
      <c r="EI36" s="15">
        <f t="shared" si="27"/>
        <v>0.125</v>
      </c>
      <c r="EJ36" s="205">
        <f t="shared" ref="EJ36:EK36" si="134">VLOOKUP(EG36,$DX$3:$DZ$19,3,FALSE)</f>
        <v>0.45</v>
      </c>
      <c r="EK36" s="205">
        <f t="shared" si="134"/>
        <v>0.49</v>
      </c>
    </row>
    <row r="37" spans="1:141" ht="15.75" customHeight="1" x14ac:dyDescent="0.35">
      <c r="A37" s="34">
        <v>-1</v>
      </c>
      <c r="B37" s="212">
        <v>0.36633663366336633</v>
      </c>
      <c r="T37" s="6"/>
      <c r="U37" s="15">
        <v>2</v>
      </c>
      <c r="V37" s="34">
        <v>3</v>
      </c>
      <c r="W37" s="212">
        <v>2.757054080162839E-2</v>
      </c>
      <c r="X37" s="181"/>
      <c r="Y37" s="223"/>
      <c r="Z37" s="182"/>
      <c r="AA37" s="155"/>
      <c r="AB37" s="130"/>
      <c r="AC37" s="130"/>
      <c r="AD37" s="130"/>
      <c r="AE37" s="130"/>
      <c r="AF37" s="143"/>
      <c r="BB37" s="56">
        <v>28</v>
      </c>
      <c r="BC37" s="56">
        <v>493</v>
      </c>
      <c r="BD37" s="56">
        <v>1144</v>
      </c>
      <c r="BE37" s="200">
        <f t="shared" si="82"/>
        <v>0.43094405594405594</v>
      </c>
      <c r="BF37" s="33">
        <f t="shared" si="130"/>
        <v>0.44600000000000001</v>
      </c>
      <c r="BG37" s="33"/>
      <c r="BH37" s="15">
        <f t="shared" si="68"/>
        <v>19</v>
      </c>
      <c r="BI37" s="33">
        <f t="shared" si="14"/>
        <v>0.36794071227612707</v>
      </c>
      <c r="BJ37" s="33"/>
      <c r="BK37" s="33"/>
      <c r="DH37" s="45">
        <f t="shared" si="34"/>
        <v>-15</v>
      </c>
      <c r="DI37" s="204">
        <f t="shared" si="18"/>
        <v>0.91325000000000001</v>
      </c>
      <c r="DJ37" s="15">
        <f t="shared" si="19"/>
        <v>-18.5</v>
      </c>
      <c r="DK37" s="15">
        <f t="shared" si="20"/>
        <v>-14.5</v>
      </c>
      <c r="DL37" s="15">
        <f t="shared" si="21"/>
        <v>0.875</v>
      </c>
      <c r="DM37" s="15">
        <f t="shared" ref="DM37:DN37" si="135">VLOOKUP(DJ37,$DD$5:$DF$24,3,FALSE)</f>
        <v>0.90100000000000002</v>
      </c>
      <c r="DN37" s="15">
        <f t="shared" si="135"/>
        <v>0.91500000000000004</v>
      </c>
      <c r="EE37" s="45">
        <f t="shared" si="37"/>
        <v>-9</v>
      </c>
      <c r="EF37" s="204">
        <f t="shared" si="43"/>
        <v>0.46499999999999997</v>
      </c>
      <c r="EG37" s="15">
        <f t="shared" si="25"/>
        <v>-10.5</v>
      </c>
      <c r="EH37" s="15">
        <f t="shared" si="26"/>
        <v>-6.5</v>
      </c>
      <c r="EI37" s="15">
        <f t="shared" si="27"/>
        <v>0.375</v>
      </c>
      <c r="EJ37" s="205">
        <f t="shared" ref="EJ37:EK37" si="136">VLOOKUP(EG37,$DX$3:$DZ$19,3,FALSE)</f>
        <v>0.45</v>
      </c>
      <c r="EK37" s="205">
        <f t="shared" si="136"/>
        <v>0.49</v>
      </c>
    </row>
    <row r="38" spans="1:141" ht="15.75" customHeight="1" x14ac:dyDescent="0.35">
      <c r="A38" s="34">
        <v>0</v>
      </c>
      <c r="B38" s="212">
        <v>0.45217636286800961</v>
      </c>
      <c r="T38" s="6"/>
      <c r="V38" s="222">
        <v>3</v>
      </c>
      <c r="W38" s="222"/>
      <c r="X38" s="181"/>
      <c r="Y38" s="223"/>
      <c r="Z38" s="182"/>
      <c r="AA38" s="155"/>
      <c r="AB38" s="130"/>
      <c r="AC38" s="130"/>
      <c r="AD38" s="130"/>
      <c r="AE38" s="130"/>
      <c r="AF38" s="143"/>
      <c r="BB38" s="56">
        <v>29</v>
      </c>
      <c r="BC38" s="56">
        <v>216</v>
      </c>
      <c r="BD38" s="56">
        <v>479</v>
      </c>
      <c r="BE38" s="200">
        <f t="shared" si="82"/>
        <v>0.45093945720250522</v>
      </c>
      <c r="BF38" s="33">
        <f t="shared" si="130"/>
        <v>0.45100000000000001</v>
      </c>
      <c r="BG38" s="33"/>
      <c r="BH38" s="15">
        <f t="shared" si="68"/>
        <v>19.5</v>
      </c>
      <c r="BI38" s="33">
        <f t="shared" si="14"/>
        <v>0.37456507397959882</v>
      </c>
      <c r="BJ38" s="33"/>
      <c r="BK38" s="33"/>
      <c r="DH38" s="45">
        <f t="shared" si="34"/>
        <v>-14</v>
      </c>
      <c r="DI38" s="204">
        <f t="shared" si="18"/>
        <v>0.92275000000000007</v>
      </c>
      <c r="DJ38" s="15">
        <f t="shared" si="19"/>
        <v>-14.5</v>
      </c>
      <c r="DK38" s="15">
        <f t="shared" si="20"/>
        <v>-10.5</v>
      </c>
      <c r="DL38" s="15">
        <f t="shared" si="21"/>
        <v>0.125</v>
      </c>
      <c r="DM38" s="15">
        <f t="shared" ref="DM38:DN38" si="137">VLOOKUP(DJ38,$DD$5:$DF$24,3,FALSE)</f>
        <v>0.91500000000000004</v>
      </c>
      <c r="DN38" s="15">
        <f t="shared" si="137"/>
        <v>0.97699999999999998</v>
      </c>
      <c r="EE38" s="45">
        <f t="shared" si="37"/>
        <v>-8</v>
      </c>
      <c r="EF38" s="204">
        <f t="shared" si="43"/>
        <v>0.47500000000000003</v>
      </c>
      <c r="EG38" s="15">
        <f t="shared" si="25"/>
        <v>-10.5</v>
      </c>
      <c r="EH38" s="15">
        <f t="shared" si="26"/>
        <v>-6.5</v>
      </c>
      <c r="EI38" s="15">
        <f t="shared" si="27"/>
        <v>0.625</v>
      </c>
      <c r="EJ38" s="205">
        <f t="shared" ref="EJ38:EK38" si="138">VLOOKUP(EG38,$DX$3:$DZ$19,3,FALSE)</f>
        <v>0.45</v>
      </c>
      <c r="EK38" s="205">
        <f t="shared" si="138"/>
        <v>0.49</v>
      </c>
    </row>
    <row r="39" spans="1:141" ht="15.75" customHeight="1" x14ac:dyDescent="0.35">
      <c r="A39" s="34">
        <v>1</v>
      </c>
      <c r="B39" s="212">
        <v>0.52500000000000002</v>
      </c>
      <c r="U39" s="15">
        <v>3</v>
      </c>
      <c r="V39" s="34">
        <v>0</v>
      </c>
      <c r="W39" s="212">
        <v>0.17065828796419619</v>
      </c>
      <c r="X39" s="224"/>
      <c r="Y39" s="225"/>
      <c r="Z39" s="226"/>
      <c r="AA39" s="227"/>
      <c r="AB39" s="170"/>
      <c r="AC39" s="170"/>
      <c r="AD39" s="170"/>
      <c r="AE39" s="170"/>
      <c r="AF39" s="228"/>
      <c r="BB39" s="56">
        <v>30</v>
      </c>
      <c r="BC39" s="56">
        <v>84</v>
      </c>
      <c r="BD39" s="56">
        <v>179</v>
      </c>
      <c r="BE39" s="200">
        <f t="shared" si="82"/>
        <v>0.46927374301675978</v>
      </c>
      <c r="BF39" s="33">
        <f t="shared" si="130"/>
        <v>0.45600000000000002</v>
      </c>
      <c r="BG39" s="33"/>
      <c r="BH39" s="15">
        <f t="shared" si="68"/>
        <v>20</v>
      </c>
      <c r="BI39" s="33">
        <f t="shared" si="14"/>
        <v>0.38118943568307051</v>
      </c>
      <c r="BJ39" s="33"/>
      <c r="BK39" s="33"/>
      <c r="DH39" s="45">
        <f t="shared" si="34"/>
        <v>-13</v>
      </c>
      <c r="DI39" s="204">
        <f t="shared" si="18"/>
        <v>0.93825000000000003</v>
      </c>
      <c r="DJ39" s="15">
        <f t="shared" si="19"/>
        <v>-14.5</v>
      </c>
      <c r="DK39" s="15">
        <f t="shared" si="20"/>
        <v>-10.5</v>
      </c>
      <c r="DL39" s="15">
        <f t="shared" si="21"/>
        <v>0.375</v>
      </c>
      <c r="DM39" s="15">
        <f t="shared" ref="DM39:DN39" si="139">VLOOKUP(DJ39,$DD$5:$DF$24,3,FALSE)</f>
        <v>0.91500000000000004</v>
      </c>
      <c r="DN39" s="15">
        <f t="shared" si="139"/>
        <v>0.97699999999999998</v>
      </c>
      <c r="EE39" s="45">
        <f t="shared" si="37"/>
        <v>-7</v>
      </c>
      <c r="EF39" s="204">
        <f t="shared" si="43"/>
        <v>0.48499999999999999</v>
      </c>
      <c r="EG39" s="15">
        <f t="shared" si="25"/>
        <v>-10.5</v>
      </c>
      <c r="EH39" s="15">
        <f t="shared" si="26"/>
        <v>-6.5</v>
      </c>
      <c r="EI39" s="15">
        <f t="shared" si="27"/>
        <v>0.875</v>
      </c>
      <c r="EJ39" s="205">
        <f t="shared" ref="EJ39:EK39" si="140">VLOOKUP(EG39,$DX$3:$DZ$19,3,FALSE)</f>
        <v>0.45</v>
      </c>
      <c r="EK39" s="205">
        <f t="shared" si="140"/>
        <v>0.49</v>
      </c>
    </row>
    <row r="40" spans="1:141" ht="15.75" customHeight="1" x14ac:dyDescent="0.35">
      <c r="A40" s="34">
        <v>2</v>
      </c>
      <c r="B40" s="212">
        <v>0.5780491294452631</v>
      </c>
      <c r="U40" s="15">
        <v>3</v>
      </c>
      <c r="V40" s="34">
        <v>1</v>
      </c>
      <c r="W40" s="212">
        <v>0.12326029019840094</v>
      </c>
      <c r="BB40" s="56">
        <v>31</v>
      </c>
      <c r="BC40" s="56">
        <v>39</v>
      </c>
      <c r="BD40" s="56">
        <v>84</v>
      </c>
      <c r="BE40" s="200">
        <f t="shared" si="82"/>
        <v>0.4642857142857143</v>
      </c>
      <c r="BF40" s="33">
        <f t="shared" si="130"/>
        <v>0.46100000000000002</v>
      </c>
      <c r="BG40" s="33"/>
      <c r="BH40" s="15">
        <f t="shared" si="68"/>
        <v>20.5</v>
      </c>
      <c r="BI40" s="33">
        <f t="shared" si="14"/>
        <v>0.38589420043383549</v>
      </c>
      <c r="BJ40" s="33"/>
      <c r="BK40" s="33"/>
      <c r="DH40" s="45">
        <f t="shared" si="34"/>
        <v>-12</v>
      </c>
      <c r="DI40" s="204">
        <f t="shared" si="18"/>
        <v>0.95374999999999999</v>
      </c>
      <c r="DJ40" s="15">
        <f t="shared" si="19"/>
        <v>-14.5</v>
      </c>
      <c r="DK40" s="15">
        <f t="shared" si="20"/>
        <v>-10.5</v>
      </c>
      <c r="DL40" s="15">
        <f t="shared" si="21"/>
        <v>0.625</v>
      </c>
      <c r="DM40" s="15">
        <f t="shared" ref="DM40:DN40" si="141">VLOOKUP(DJ40,$DD$5:$DF$24,3,FALSE)</f>
        <v>0.91500000000000004</v>
      </c>
      <c r="DN40" s="15">
        <f t="shared" si="141"/>
        <v>0.97699999999999998</v>
      </c>
      <c r="EE40" s="45">
        <f t="shared" si="37"/>
        <v>-6</v>
      </c>
      <c r="EF40" s="204">
        <f t="shared" si="43"/>
        <v>0.49374999999999997</v>
      </c>
      <c r="EG40" s="15">
        <f t="shared" si="25"/>
        <v>-6.5</v>
      </c>
      <c r="EH40" s="15">
        <f t="shared" si="26"/>
        <v>-2.5</v>
      </c>
      <c r="EI40" s="15">
        <f t="shared" si="27"/>
        <v>0.125</v>
      </c>
      <c r="EJ40" s="205">
        <f t="shared" ref="EJ40:EK40" si="142">VLOOKUP(EG40,$DX$3:$DZ$19,3,FALSE)</f>
        <v>0.49</v>
      </c>
      <c r="EK40" s="205">
        <f t="shared" si="142"/>
        <v>0.52</v>
      </c>
    </row>
    <row r="41" spans="1:141" ht="15.75" customHeight="1" x14ac:dyDescent="0.35">
      <c r="A41" s="34">
        <v>3</v>
      </c>
      <c r="B41" s="212">
        <v>0.60194804652930678</v>
      </c>
      <c r="U41" s="15">
        <v>3</v>
      </c>
      <c r="V41" s="34">
        <v>2</v>
      </c>
      <c r="W41" s="212">
        <v>5.9610263238403037E-2</v>
      </c>
      <c r="BB41" s="56">
        <v>32</v>
      </c>
      <c r="BC41" s="56">
        <v>6</v>
      </c>
      <c r="BD41" s="56">
        <v>14</v>
      </c>
      <c r="BE41" s="200">
        <f t="shared" si="82"/>
        <v>0.42857142857142855</v>
      </c>
      <c r="BF41" s="33">
        <f t="shared" si="130"/>
        <v>0.46600000000000003</v>
      </c>
      <c r="BG41" s="33"/>
      <c r="BH41" s="15">
        <f t="shared" si="68"/>
        <v>21</v>
      </c>
      <c r="BI41" s="33">
        <f t="shared" si="14"/>
        <v>0.39059896518460052</v>
      </c>
      <c r="BJ41" s="33"/>
      <c r="BK41" s="33"/>
      <c r="DH41" s="45">
        <f t="shared" si="34"/>
        <v>-11</v>
      </c>
      <c r="DI41" s="204">
        <f t="shared" si="18"/>
        <v>0.96924999999999994</v>
      </c>
      <c r="DJ41" s="15">
        <f t="shared" si="19"/>
        <v>-14.5</v>
      </c>
      <c r="DK41" s="15">
        <f t="shared" si="20"/>
        <v>-10.5</v>
      </c>
      <c r="DL41" s="15">
        <f t="shared" si="21"/>
        <v>0.875</v>
      </c>
      <c r="DM41" s="15">
        <f t="shared" ref="DM41:DN41" si="143">VLOOKUP(DJ41,$DD$5:$DF$24,3,FALSE)</f>
        <v>0.91500000000000004</v>
      </c>
      <c r="DN41" s="15">
        <f t="shared" si="143"/>
        <v>0.97699999999999998</v>
      </c>
      <c r="EE41" s="45">
        <f t="shared" si="37"/>
        <v>-5</v>
      </c>
      <c r="EF41" s="204">
        <f t="shared" si="43"/>
        <v>0.50124999999999997</v>
      </c>
      <c r="EG41" s="15">
        <f t="shared" si="25"/>
        <v>-6.5</v>
      </c>
      <c r="EH41" s="15">
        <f t="shared" si="26"/>
        <v>-2.5</v>
      </c>
      <c r="EI41" s="15">
        <f t="shared" si="27"/>
        <v>0.375</v>
      </c>
      <c r="EJ41" s="205">
        <f t="shared" ref="EJ41:EK41" si="144">VLOOKUP(EG41,$DX$3:$DZ$19,3,FALSE)</f>
        <v>0.49</v>
      </c>
      <c r="EK41" s="205">
        <f t="shared" si="144"/>
        <v>0.52</v>
      </c>
    </row>
    <row r="42" spans="1:141" ht="15.75" customHeight="1" x14ac:dyDescent="0.35">
      <c r="A42" s="34">
        <v>4</v>
      </c>
      <c r="B42" s="212">
        <v>0.6285753765383737</v>
      </c>
      <c r="U42" s="15">
        <v>3</v>
      </c>
      <c r="V42" s="34">
        <v>3</v>
      </c>
      <c r="W42" s="212">
        <v>3.4463176002035488E-2</v>
      </c>
      <c r="BB42" s="56">
        <v>33</v>
      </c>
      <c r="BC42" s="56">
        <v>3</v>
      </c>
      <c r="BD42" s="56">
        <v>5</v>
      </c>
      <c r="BE42" s="200">
        <f t="shared" si="82"/>
        <v>0.6</v>
      </c>
      <c r="BF42" s="33">
        <f t="shared" si="130"/>
        <v>0.47100000000000003</v>
      </c>
      <c r="BG42" s="33"/>
      <c r="BH42" s="15">
        <f t="shared" si="68"/>
        <v>21.5</v>
      </c>
      <c r="BI42" s="33">
        <f t="shared" si="14"/>
        <v>0.39876716246917598</v>
      </c>
      <c r="BJ42" s="33"/>
      <c r="BK42" s="33"/>
      <c r="DH42" s="45">
        <f t="shared" si="34"/>
        <v>-10</v>
      </c>
      <c r="DI42" s="204">
        <f t="shared" si="18"/>
        <v>0.98424999999999996</v>
      </c>
      <c r="DJ42" s="15">
        <f t="shared" si="19"/>
        <v>-10.5</v>
      </c>
      <c r="DK42" s="15">
        <f t="shared" si="20"/>
        <v>-6.5</v>
      </c>
      <c r="DL42" s="15">
        <f t="shared" si="21"/>
        <v>0.125</v>
      </c>
      <c r="DM42" s="15">
        <f t="shared" ref="DM42:DN42" si="145">VLOOKUP(DJ42,$DD$5:$DF$24,3,FALSE)</f>
        <v>0.97699999999999998</v>
      </c>
      <c r="DN42" s="15">
        <f t="shared" si="145"/>
        <v>1.0349999999999999</v>
      </c>
      <c r="EE42" s="45">
        <f t="shared" si="37"/>
        <v>-4</v>
      </c>
      <c r="EF42" s="204">
        <f t="shared" si="43"/>
        <v>0.50875000000000004</v>
      </c>
      <c r="EG42" s="15">
        <f t="shared" si="25"/>
        <v>-6.5</v>
      </c>
      <c r="EH42" s="15">
        <f t="shared" si="26"/>
        <v>-2.5</v>
      </c>
      <c r="EI42" s="15">
        <f t="shared" si="27"/>
        <v>0.625</v>
      </c>
      <c r="EJ42" s="205">
        <f t="shared" ref="EJ42:EK42" si="146">VLOOKUP(EG42,$DX$3:$DZ$19,3,FALSE)</f>
        <v>0.49</v>
      </c>
      <c r="EK42" s="205">
        <f t="shared" si="146"/>
        <v>0.52</v>
      </c>
    </row>
    <row r="43" spans="1:141" ht="15.75" customHeight="1" x14ac:dyDescent="0.35">
      <c r="A43" s="34">
        <v>5</v>
      </c>
      <c r="B43" s="212">
        <v>0.65108668822364757</v>
      </c>
      <c r="BB43" s="15">
        <f t="shared" ref="BB43:BB49" si="147">BB42+1</f>
        <v>34</v>
      </c>
      <c r="BF43" s="33">
        <f t="shared" ref="BF43:BF49" si="148">BF42+0.25%</f>
        <v>0.47350000000000003</v>
      </c>
      <c r="BG43" s="33"/>
      <c r="BH43" s="15">
        <f t="shared" si="68"/>
        <v>22</v>
      </c>
      <c r="BI43" s="33">
        <f t="shared" si="14"/>
        <v>0.40693535975375145</v>
      </c>
      <c r="BJ43" s="33"/>
      <c r="BK43" s="33"/>
      <c r="DH43" s="45">
        <f t="shared" si="34"/>
        <v>-9</v>
      </c>
      <c r="DI43" s="204">
        <f t="shared" si="18"/>
        <v>0.99874999999999992</v>
      </c>
      <c r="DJ43" s="15">
        <f t="shared" si="19"/>
        <v>-10.5</v>
      </c>
      <c r="DK43" s="15">
        <f t="shared" si="20"/>
        <v>-6.5</v>
      </c>
      <c r="DL43" s="15">
        <f t="shared" si="21"/>
        <v>0.375</v>
      </c>
      <c r="DM43" s="15">
        <f t="shared" ref="DM43:DN43" si="149">VLOOKUP(DJ43,$DD$5:$DF$24,3,FALSE)</f>
        <v>0.97699999999999998</v>
      </c>
      <c r="DN43" s="15">
        <f t="shared" si="149"/>
        <v>1.0349999999999999</v>
      </c>
      <c r="EE43" s="45">
        <f t="shared" si="37"/>
        <v>-3</v>
      </c>
      <c r="EF43" s="204">
        <f t="shared" si="43"/>
        <v>0.51624999999999999</v>
      </c>
      <c r="EG43" s="15">
        <f t="shared" si="25"/>
        <v>-6.5</v>
      </c>
      <c r="EH43" s="15">
        <f t="shared" si="26"/>
        <v>-2.5</v>
      </c>
      <c r="EI43" s="15">
        <f t="shared" si="27"/>
        <v>0.875</v>
      </c>
      <c r="EJ43" s="205">
        <f t="shared" ref="EJ43:EK43" si="150">VLOOKUP(EG43,$DX$3:$DZ$19,3,FALSE)</f>
        <v>0.49</v>
      </c>
      <c r="EK43" s="205">
        <f t="shared" si="150"/>
        <v>0.52</v>
      </c>
    </row>
    <row r="44" spans="1:141" ht="15.75" customHeight="1" x14ac:dyDescent="0.35">
      <c r="A44" s="34">
        <v>6</v>
      </c>
      <c r="B44" s="212">
        <v>0.67941353699608387</v>
      </c>
      <c r="BB44" s="15">
        <f t="shared" si="147"/>
        <v>35</v>
      </c>
      <c r="BF44" s="33">
        <f t="shared" si="148"/>
        <v>0.47600000000000003</v>
      </c>
      <c r="BG44" s="33"/>
      <c r="BH44" s="15">
        <f t="shared" si="68"/>
        <v>22.5</v>
      </c>
      <c r="BI44" s="33">
        <f t="shared" si="14"/>
        <v>0.4116141907704659</v>
      </c>
      <c r="BJ44" s="33"/>
      <c r="BK44" s="33"/>
      <c r="DH44" s="45">
        <f t="shared" si="34"/>
        <v>-8</v>
      </c>
      <c r="DI44" s="204">
        <f t="shared" si="18"/>
        <v>1.01325</v>
      </c>
      <c r="DJ44" s="15">
        <f t="shared" si="19"/>
        <v>-10.5</v>
      </c>
      <c r="DK44" s="15">
        <f t="shared" si="20"/>
        <v>-6.5</v>
      </c>
      <c r="DL44" s="15">
        <f t="shared" si="21"/>
        <v>0.625</v>
      </c>
      <c r="DM44" s="15">
        <f t="shared" ref="DM44:DN44" si="151">VLOOKUP(DJ44,$DD$5:$DF$24,3,FALSE)</f>
        <v>0.97699999999999998</v>
      </c>
      <c r="DN44" s="15">
        <f t="shared" si="151"/>
        <v>1.0349999999999999</v>
      </c>
      <c r="EE44" s="45">
        <f t="shared" si="37"/>
        <v>-2</v>
      </c>
      <c r="EF44" s="204">
        <f t="shared" si="43"/>
        <v>0.52500000000000002</v>
      </c>
      <c r="EG44" s="15">
        <f t="shared" si="25"/>
        <v>-2.5</v>
      </c>
      <c r="EH44" s="15">
        <f t="shared" si="26"/>
        <v>1.5</v>
      </c>
      <c r="EI44" s="15">
        <f t="shared" si="27"/>
        <v>0.125</v>
      </c>
      <c r="EJ44" s="205">
        <f t="shared" ref="EJ44:EK44" si="152">VLOOKUP(EG44,$DX$3:$DZ$19,3,FALSE)</f>
        <v>0.52</v>
      </c>
      <c r="EK44" s="205">
        <f t="shared" si="152"/>
        <v>0.56000000000000005</v>
      </c>
    </row>
    <row r="45" spans="1:141" ht="15.75" customHeight="1" x14ac:dyDescent="0.35">
      <c r="A45" s="34">
        <v>7</v>
      </c>
      <c r="B45" s="212">
        <v>0.70046000663996677</v>
      </c>
      <c r="BB45" s="15">
        <f t="shared" si="147"/>
        <v>36</v>
      </c>
      <c r="BF45" s="33">
        <f t="shared" si="148"/>
        <v>0.47850000000000004</v>
      </c>
      <c r="BG45" s="33"/>
      <c r="BH45" s="15">
        <f t="shared" si="68"/>
        <v>23</v>
      </c>
      <c r="BI45" s="33">
        <f t="shared" si="14"/>
        <v>0.41629302178718031</v>
      </c>
      <c r="BJ45" s="33"/>
      <c r="BK45" s="33"/>
      <c r="DH45" s="45">
        <f t="shared" si="34"/>
        <v>-7</v>
      </c>
      <c r="DI45" s="204">
        <f t="shared" si="18"/>
        <v>1.0277499999999999</v>
      </c>
      <c r="DJ45" s="15">
        <f t="shared" si="19"/>
        <v>-10.5</v>
      </c>
      <c r="DK45" s="15">
        <f t="shared" si="20"/>
        <v>-6.5</v>
      </c>
      <c r="DL45" s="15">
        <f t="shared" si="21"/>
        <v>0.875</v>
      </c>
      <c r="DM45" s="15">
        <f t="shared" ref="DM45:DN45" si="153">VLOOKUP(DJ45,$DD$5:$DF$24,3,FALSE)</f>
        <v>0.97699999999999998</v>
      </c>
      <c r="DN45" s="15">
        <f t="shared" si="153"/>
        <v>1.0349999999999999</v>
      </c>
      <c r="EE45" s="45">
        <f t="shared" si="37"/>
        <v>-1</v>
      </c>
      <c r="EF45" s="204">
        <f t="shared" si="43"/>
        <v>0.53500000000000003</v>
      </c>
      <c r="EG45" s="15">
        <f t="shared" si="25"/>
        <v>-2.5</v>
      </c>
      <c r="EH45" s="15">
        <f t="shared" si="26"/>
        <v>1.5</v>
      </c>
      <c r="EI45" s="15">
        <f t="shared" si="27"/>
        <v>0.375</v>
      </c>
      <c r="EJ45" s="205">
        <f t="shared" ref="EJ45:EK45" si="154">VLOOKUP(EG45,$DX$3:$DZ$19,3,FALSE)</f>
        <v>0.52</v>
      </c>
      <c r="EK45" s="205">
        <f t="shared" si="154"/>
        <v>0.56000000000000005</v>
      </c>
    </row>
    <row r="46" spans="1:141" ht="15.75" customHeight="1" x14ac:dyDescent="0.35">
      <c r="A46" s="34">
        <v>8</v>
      </c>
      <c r="B46" s="212">
        <v>0.72692043890453595</v>
      </c>
      <c r="BB46" s="15">
        <f t="shared" si="147"/>
        <v>37</v>
      </c>
      <c r="BF46" s="33">
        <f t="shared" si="148"/>
        <v>0.48100000000000004</v>
      </c>
      <c r="BG46" s="33"/>
      <c r="BH46" s="15">
        <f t="shared" si="68"/>
        <v>23.5</v>
      </c>
      <c r="BI46" s="33">
        <f t="shared" si="14"/>
        <v>0.42113551626306089</v>
      </c>
      <c r="BJ46" s="33"/>
      <c r="BK46" s="33"/>
      <c r="DH46" s="45">
        <f t="shared" si="34"/>
        <v>-6</v>
      </c>
      <c r="DI46" s="204">
        <f t="shared" si="18"/>
        <v>1.0373749999999999</v>
      </c>
      <c r="DJ46" s="15">
        <f t="shared" si="19"/>
        <v>-6.5</v>
      </c>
      <c r="DK46" s="15">
        <f t="shared" si="20"/>
        <v>-2.5</v>
      </c>
      <c r="DL46" s="15">
        <f t="shared" si="21"/>
        <v>0.125</v>
      </c>
      <c r="DM46" s="15">
        <f t="shared" ref="DM46:DN46" si="155">VLOOKUP(DJ46,$DD$5:$DF$24,3,FALSE)</f>
        <v>1.0349999999999999</v>
      </c>
      <c r="DN46" s="15">
        <f t="shared" si="155"/>
        <v>1.054</v>
      </c>
      <c r="EE46" s="45">
        <f t="shared" si="37"/>
        <v>0</v>
      </c>
      <c r="EF46" s="204">
        <f t="shared" si="43"/>
        <v>0.54500000000000004</v>
      </c>
      <c r="EG46" s="15">
        <f t="shared" si="25"/>
        <v>-2.5</v>
      </c>
      <c r="EH46" s="15">
        <f t="shared" si="26"/>
        <v>1.5</v>
      </c>
      <c r="EI46" s="15">
        <f t="shared" si="27"/>
        <v>0.625</v>
      </c>
      <c r="EJ46" s="205">
        <f t="shared" ref="EJ46:EK46" si="156">VLOOKUP(EG46,$DX$3:$DZ$19,3,FALSE)</f>
        <v>0.52</v>
      </c>
      <c r="EK46" s="205">
        <f t="shared" si="156"/>
        <v>0.56000000000000005</v>
      </c>
    </row>
    <row r="47" spans="1:141" ht="15.75" customHeight="1" x14ac:dyDescent="0.35">
      <c r="A47" s="34">
        <v>9</v>
      </c>
      <c r="B47" s="212">
        <v>0.75257204263497679</v>
      </c>
      <c r="BB47" s="15">
        <f t="shared" si="147"/>
        <v>38</v>
      </c>
      <c r="BF47" s="33">
        <f t="shared" si="148"/>
        <v>0.48350000000000004</v>
      </c>
      <c r="BG47" s="33"/>
      <c r="BH47" s="15">
        <f t="shared" si="68"/>
        <v>24</v>
      </c>
      <c r="BI47" s="33">
        <f t="shared" si="14"/>
        <v>0.42597801073894143</v>
      </c>
      <c r="BJ47" s="33"/>
      <c r="BK47" s="33"/>
      <c r="DH47" s="45">
        <f t="shared" si="34"/>
        <v>-5</v>
      </c>
      <c r="DI47" s="204">
        <f t="shared" si="18"/>
        <v>1.042125</v>
      </c>
      <c r="DJ47" s="15">
        <f t="shared" si="19"/>
        <v>-6.5</v>
      </c>
      <c r="DK47" s="15">
        <f t="shared" si="20"/>
        <v>-2.5</v>
      </c>
      <c r="DL47" s="15">
        <f t="shared" si="21"/>
        <v>0.375</v>
      </c>
      <c r="DM47" s="15">
        <f t="shared" ref="DM47:DN47" si="157">VLOOKUP(DJ47,$DD$5:$DF$24,3,FALSE)</f>
        <v>1.0349999999999999</v>
      </c>
      <c r="DN47" s="15">
        <f t="shared" si="157"/>
        <v>1.054</v>
      </c>
      <c r="EE47" s="45">
        <f t="shared" si="37"/>
        <v>1</v>
      </c>
      <c r="EF47" s="204">
        <f t="shared" si="43"/>
        <v>0.55500000000000005</v>
      </c>
      <c r="EG47" s="15">
        <f t="shared" si="25"/>
        <v>-2.5</v>
      </c>
      <c r="EH47" s="15">
        <f t="shared" si="26"/>
        <v>1.5</v>
      </c>
      <c r="EI47" s="15">
        <f t="shared" si="27"/>
        <v>0.875</v>
      </c>
      <c r="EJ47" s="205">
        <f t="shared" ref="EJ47:EK47" si="158">VLOOKUP(EG47,$DX$3:$DZ$19,3,FALSE)</f>
        <v>0.52</v>
      </c>
      <c r="EK47" s="205">
        <f t="shared" si="158"/>
        <v>0.56000000000000005</v>
      </c>
    </row>
    <row r="48" spans="1:141" ht="15.75" customHeight="1" x14ac:dyDescent="0.35">
      <c r="A48" s="34">
        <v>10</v>
      </c>
      <c r="B48" s="212">
        <v>0.77105558461728863</v>
      </c>
      <c r="BB48" s="15">
        <f t="shared" si="147"/>
        <v>39</v>
      </c>
      <c r="BF48" s="33">
        <f t="shared" si="148"/>
        <v>0.48600000000000004</v>
      </c>
      <c r="BG48" s="33"/>
      <c r="BH48" s="15">
        <f t="shared" si="68"/>
        <v>24.5</v>
      </c>
      <c r="BI48" s="33">
        <f t="shared" si="14"/>
        <v>0.42848900536947071</v>
      </c>
      <c r="BJ48" s="33"/>
      <c r="BK48" s="33"/>
      <c r="DH48" s="45">
        <f t="shared" si="34"/>
        <v>-4</v>
      </c>
      <c r="DI48" s="204">
        <f t="shared" si="18"/>
        <v>1.046875</v>
      </c>
      <c r="DJ48" s="15">
        <f t="shared" si="19"/>
        <v>-6.5</v>
      </c>
      <c r="DK48" s="15">
        <f t="shared" si="20"/>
        <v>-2.5</v>
      </c>
      <c r="DL48" s="15">
        <f t="shared" si="21"/>
        <v>0.625</v>
      </c>
      <c r="DM48" s="15">
        <f t="shared" ref="DM48:DN48" si="159">VLOOKUP(DJ48,$DD$5:$DF$24,3,FALSE)</f>
        <v>1.0349999999999999</v>
      </c>
      <c r="DN48" s="15">
        <f t="shared" si="159"/>
        <v>1.054</v>
      </c>
      <c r="EE48" s="45">
        <f t="shared" si="37"/>
        <v>2</v>
      </c>
      <c r="EF48" s="204">
        <f t="shared" si="43"/>
        <v>0.5625</v>
      </c>
      <c r="EG48" s="15">
        <f t="shared" si="25"/>
        <v>1.5</v>
      </c>
      <c r="EH48" s="15">
        <f t="shared" si="26"/>
        <v>5.5</v>
      </c>
      <c r="EI48" s="15">
        <f t="shared" si="27"/>
        <v>0.125</v>
      </c>
      <c r="EJ48" s="205">
        <f t="shared" ref="EJ48:EK48" si="160">VLOOKUP(EG48,$DX$3:$DZ$19,3,FALSE)</f>
        <v>0.56000000000000005</v>
      </c>
      <c r="EK48" s="205">
        <f t="shared" si="160"/>
        <v>0.57999999999999996</v>
      </c>
    </row>
    <row r="49" spans="1:141" ht="15.75" customHeight="1" x14ac:dyDescent="0.35">
      <c r="A49" s="34">
        <v>11</v>
      </c>
      <c r="B49" s="212">
        <v>0.79090685393651949</v>
      </c>
      <c r="BB49" s="15">
        <f t="shared" si="147"/>
        <v>40</v>
      </c>
      <c r="BF49" s="33">
        <f t="shared" si="148"/>
        <v>0.48850000000000005</v>
      </c>
      <c r="BG49" s="33"/>
      <c r="BH49" s="15">
        <f t="shared" si="68"/>
        <v>25</v>
      </c>
      <c r="BI49" s="33">
        <f t="shared" si="14"/>
        <v>0.43099999999999999</v>
      </c>
      <c r="BJ49" s="33"/>
      <c r="BK49" s="33"/>
      <c r="DH49" s="45">
        <f t="shared" si="34"/>
        <v>-3</v>
      </c>
      <c r="DI49" s="204">
        <f t="shared" si="18"/>
        <v>1.051625</v>
      </c>
      <c r="DJ49" s="15">
        <f t="shared" si="19"/>
        <v>-6.5</v>
      </c>
      <c r="DK49" s="15">
        <f t="shared" si="20"/>
        <v>-2.5</v>
      </c>
      <c r="DL49" s="15">
        <f t="shared" si="21"/>
        <v>0.875</v>
      </c>
      <c r="DM49" s="15">
        <f t="shared" ref="DM49:DN49" si="161">VLOOKUP(DJ49,$DD$5:$DF$24,3,FALSE)</f>
        <v>1.0349999999999999</v>
      </c>
      <c r="DN49" s="15">
        <f t="shared" si="161"/>
        <v>1.054</v>
      </c>
      <c r="EE49" s="45">
        <f t="shared" si="37"/>
        <v>3</v>
      </c>
      <c r="EF49" s="204">
        <f t="shared" si="43"/>
        <v>0.5675</v>
      </c>
      <c r="EG49" s="15">
        <f t="shared" si="25"/>
        <v>1.5</v>
      </c>
      <c r="EH49" s="15">
        <f t="shared" si="26"/>
        <v>5.5</v>
      </c>
      <c r="EI49" s="15">
        <f t="shared" si="27"/>
        <v>0.375</v>
      </c>
      <c r="EJ49" s="205">
        <f t="shared" ref="EJ49:EK49" si="162">VLOOKUP(EG49,$DX$3:$DZ$19,3,FALSE)</f>
        <v>0.56000000000000005</v>
      </c>
      <c r="EK49" s="205">
        <f t="shared" si="162"/>
        <v>0.57999999999999996</v>
      </c>
    </row>
    <row r="50" spans="1:141" ht="15.75" customHeight="1" x14ac:dyDescent="0.35">
      <c r="A50" s="34">
        <v>12</v>
      </c>
      <c r="B50" s="212">
        <v>0.81129979910483352</v>
      </c>
      <c r="BH50" s="15">
        <f t="shared" si="68"/>
        <v>25.5</v>
      </c>
      <c r="BI50" s="33">
        <f t="shared" si="14"/>
        <v>0.4335</v>
      </c>
      <c r="DH50" s="45">
        <f t="shared" si="34"/>
        <v>-2</v>
      </c>
      <c r="DI50" s="204">
        <f t="shared" si="18"/>
        <v>1.0571250000000001</v>
      </c>
      <c r="DJ50" s="15">
        <f t="shared" si="19"/>
        <v>-2.5</v>
      </c>
      <c r="DK50" s="15">
        <f t="shared" si="20"/>
        <v>1.5</v>
      </c>
      <c r="DL50" s="15">
        <f t="shared" si="21"/>
        <v>0.125</v>
      </c>
      <c r="DM50" s="15">
        <f t="shared" ref="DM50:DN50" si="163">VLOOKUP(DJ50,$DD$5:$DF$24,3,FALSE)</f>
        <v>1.054</v>
      </c>
      <c r="DN50" s="15">
        <f t="shared" si="163"/>
        <v>1.079</v>
      </c>
      <c r="EE50" s="45">
        <f t="shared" si="37"/>
        <v>4</v>
      </c>
      <c r="EF50" s="204">
        <f t="shared" si="43"/>
        <v>0.57250000000000001</v>
      </c>
      <c r="EG50" s="15">
        <f t="shared" si="25"/>
        <v>1.5</v>
      </c>
      <c r="EH50" s="15">
        <f t="shared" si="26"/>
        <v>5.5</v>
      </c>
      <c r="EI50" s="15">
        <f t="shared" si="27"/>
        <v>0.625</v>
      </c>
      <c r="EJ50" s="205">
        <f t="shared" ref="EJ50:EK50" si="164">VLOOKUP(EG50,$DX$3:$DZ$19,3,FALSE)</f>
        <v>0.56000000000000005</v>
      </c>
      <c r="EK50" s="205">
        <f t="shared" si="164"/>
        <v>0.57999999999999996</v>
      </c>
    </row>
    <row r="51" spans="1:141" ht="15.75" customHeight="1" x14ac:dyDescent="0.35">
      <c r="A51" s="34">
        <v>13</v>
      </c>
      <c r="B51" s="212">
        <v>0.82841290848009774</v>
      </c>
      <c r="BH51" s="15">
        <f t="shared" si="68"/>
        <v>26</v>
      </c>
      <c r="BI51" s="33">
        <f t="shared" si="14"/>
        <v>0.436</v>
      </c>
      <c r="DH51" s="45">
        <f t="shared" si="34"/>
        <v>-1</v>
      </c>
      <c r="DI51" s="204">
        <f t="shared" si="18"/>
        <v>1.0633750000000002</v>
      </c>
      <c r="DJ51" s="15">
        <f t="shared" si="19"/>
        <v>-2.5</v>
      </c>
      <c r="DK51" s="15">
        <f t="shared" si="20"/>
        <v>1.5</v>
      </c>
      <c r="DL51" s="15">
        <f t="shared" si="21"/>
        <v>0.375</v>
      </c>
      <c r="DM51" s="15">
        <f t="shared" ref="DM51:DN51" si="165">VLOOKUP(DJ51,$DD$5:$DF$24,3,FALSE)</f>
        <v>1.054</v>
      </c>
      <c r="DN51" s="15">
        <f t="shared" si="165"/>
        <v>1.079</v>
      </c>
      <c r="EE51" s="45">
        <f t="shared" si="37"/>
        <v>5</v>
      </c>
      <c r="EF51" s="204">
        <f t="shared" si="43"/>
        <v>0.5774999999999999</v>
      </c>
      <c r="EG51" s="15">
        <f t="shared" si="25"/>
        <v>1.5</v>
      </c>
      <c r="EH51" s="15">
        <f t="shared" si="26"/>
        <v>5.5</v>
      </c>
      <c r="EI51" s="15">
        <f t="shared" si="27"/>
        <v>0.875</v>
      </c>
      <c r="EJ51" s="205">
        <f t="shared" ref="EJ51:EK51" si="166">VLOOKUP(EG51,$DX$3:$DZ$19,3,FALSE)</f>
        <v>0.56000000000000005</v>
      </c>
      <c r="EK51" s="205">
        <f t="shared" si="166"/>
        <v>0.57999999999999996</v>
      </c>
    </row>
    <row r="52" spans="1:141" ht="15.75" customHeight="1" x14ac:dyDescent="0.35">
      <c r="A52" s="34">
        <v>14</v>
      </c>
      <c r="B52" s="212">
        <v>0.84377368022227839</v>
      </c>
      <c r="BH52" s="15">
        <f t="shared" si="68"/>
        <v>26.5</v>
      </c>
      <c r="BI52" s="33">
        <f t="shared" si="14"/>
        <v>0.4385</v>
      </c>
      <c r="DH52" s="45">
        <f t="shared" si="34"/>
        <v>0</v>
      </c>
      <c r="DI52" s="204">
        <f t="shared" si="18"/>
        <v>1.0696249999999998</v>
      </c>
      <c r="DJ52" s="15">
        <f t="shared" si="19"/>
        <v>-2.5</v>
      </c>
      <c r="DK52" s="15">
        <f t="shared" si="20"/>
        <v>1.5</v>
      </c>
      <c r="DL52" s="15">
        <f t="shared" si="21"/>
        <v>0.625</v>
      </c>
      <c r="DM52" s="15">
        <f t="shared" ref="DM52:DN52" si="167">VLOOKUP(DJ52,$DD$5:$DF$24,3,FALSE)</f>
        <v>1.054</v>
      </c>
      <c r="DN52" s="15">
        <f t="shared" si="167"/>
        <v>1.079</v>
      </c>
      <c r="EE52" s="45">
        <f t="shared" si="37"/>
        <v>6</v>
      </c>
      <c r="EF52" s="204">
        <f t="shared" si="43"/>
        <v>0.58249999999999991</v>
      </c>
      <c r="EG52" s="15">
        <f t="shared" si="25"/>
        <v>5.5</v>
      </c>
      <c r="EH52" s="15">
        <f t="shared" si="26"/>
        <v>9.5</v>
      </c>
      <c r="EI52" s="15">
        <f t="shared" si="27"/>
        <v>0.125</v>
      </c>
      <c r="EJ52" s="205">
        <f t="shared" ref="EJ52:EK52" si="168">VLOOKUP(EG52,$DX$3:$DZ$19,3,FALSE)</f>
        <v>0.57999999999999996</v>
      </c>
      <c r="EK52" s="205">
        <f t="shared" si="168"/>
        <v>0.6</v>
      </c>
    </row>
    <row r="53" spans="1:141" ht="15.75" customHeight="1" x14ac:dyDescent="0.35">
      <c r="A53" s="34">
        <v>15</v>
      </c>
      <c r="B53" s="212">
        <v>0.85697966643819967</v>
      </c>
      <c r="BH53" s="15">
        <f t="shared" si="68"/>
        <v>27</v>
      </c>
      <c r="BI53" s="33">
        <f t="shared" si="14"/>
        <v>0.441</v>
      </c>
      <c r="DH53" s="45">
        <f t="shared" si="34"/>
        <v>1</v>
      </c>
      <c r="DI53" s="204">
        <f t="shared" si="18"/>
        <v>1.0758749999999999</v>
      </c>
      <c r="DJ53" s="15">
        <f t="shared" si="19"/>
        <v>-2.5</v>
      </c>
      <c r="DK53" s="15">
        <f t="shared" si="20"/>
        <v>1.5</v>
      </c>
      <c r="DL53" s="15">
        <f t="shared" si="21"/>
        <v>0.875</v>
      </c>
      <c r="DM53" s="15">
        <f t="shared" ref="DM53:DN53" si="169">VLOOKUP(DJ53,$DD$5:$DF$24,3,FALSE)</f>
        <v>1.054</v>
      </c>
      <c r="DN53" s="15">
        <f t="shared" si="169"/>
        <v>1.079</v>
      </c>
      <c r="EE53" s="45">
        <f t="shared" si="37"/>
        <v>7</v>
      </c>
      <c r="EF53" s="204">
        <f t="shared" si="43"/>
        <v>0.58749999999999991</v>
      </c>
      <c r="EG53" s="15">
        <f t="shared" si="25"/>
        <v>5.5</v>
      </c>
      <c r="EH53" s="15">
        <f t="shared" si="26"/>
        <v>9.5</v>
      </c>
      <c r="EI53" s="15">
        <f t="shared" si="27"/>
        <v>0.375</v>
      </c>
      <c r="EJ53" s="205">
        <f t="shared" ref="EJ53:EK53" si="170">VLOOKUP(EG53,$DX$3:$DZ$19,3,FALSE)</f>
        <v>0.57999999999999996</v>
      </c>
      <c r="EK53" s="205">
        <f t="shared" si="170"/>
        <v>0.6</v>
      </c>
    </row>
    <row r="54" spans="1:141" ht="15.75" customHeight="1" x14ac:dyDescent="0.35">
      <c r="A54" s="34">
        <v>16</v>
      </c>
      <c r="B54" s="212">
        <v>0.86901354703300893</v>
      </c>
      <c r="BH54" s="15">
        <f t="shared" si="68"/>
        <v>27.5</v>
      </c>
      <c r="BI54" s="33">
        <f t="shared" si="14"/>
        <v>0.44350000000000001</v>
      </c>
      <c r="DH54" s="45">
        <f t="shared" si="34"/>
        <v>2</v>
      </c>
      <c r="DI54" s="204">
        <f t="shared" si="18"/>
        <v>1.079375</v>
      </c>
      <c r="DJ54" s="15">
        <f t="shared" si="19"/>
        <v>1.5</v>
      </c>
      <c r="DK54" s="15">
        <f t="shared" si="20"/>
        <v>5.5</v>
      </c>
      <c r="DL54" s="15">
        <f t="shared" si="21"/>
        <v>0.125</v>
      </c>
      <c r="DM54" s="15">
        <f t="shared" ref="DM54:DN54" si="171">VLOOKUP(DJ54,$DD$5:$DF$24,3,FALSE)</f>
        <v>1.079</v>
      </c>
      <c r="DN54" s="15">
        <f t="shared" si="171"/>
        <v>1.0820000000000001</v>
      </c>
      <c r="EE54" s="45">
        <f t="shared" si="37"/>
        <v>8</v>
      </c>
      <c r="EF54" s="204">
        <f t="shared" si="43"/>
        <v>0.59250000000000003</v>
      </c>
      <c r="EG54" s="15">
        <f t="shared" si="25"/>
        <v>5.5</v>
      </c>
      <c r="EH54" s="15">
        <f t="shared" si="26"/>
        <v>9.5</v>
      </c>
      <c r="EI54" s="15">
        <f t="shared" si="27"/>
        <v>0.625</v>
      </c>
      <c r="EJ54" s="205">
        <f t="shared" ref="EJ54:EK54" si="172">VLOOKUP(EG54,$DX$3:$DZ$19,3,FALSE)</f>
        <v>0.57999999999999996</v>
      </c>
      <c r="EK54" s="205">
        <f t="shared" si="172"/>
        <v>0.6</v>
      </c>
    </row>
    <row r="55" spans="1:141" ht="15.75" customHeight="1" x14ac:dyDescent="0.35">
      <c r="A55" s="34">
        <v>17</v>
      </c>
      <c r="B55" s="212">
        <v>0.88017118402282457</v>
      </c>
      <c r="BH55" s="15">
        <f t="shared" si="68"/>
        <v>28</v>
      </c>
      <c r="BI55" s="33">
        <f t="shared" si="14"/>
        <v>0.44600000000000001</v>
      </c>
      <c r="DH55" s="45">
        <f t="shared" si="34"/>
        <v>3</v>
      </c>
      <c r="DI55" s="204">
        <f t="shared" si="18"/>
        <v>1.080125</v>
      </c>
      <c r="DJ55" s="15">
        <f t="shared" si="19"/>
        <v>1.5</v>
      </c>
      <c r="DK55" s="15">
        <f t="shared" si="20"/>
        <v>5.5</v>
      </c>
      <c r="DL55" s="15">
        <f t="shared" si="21"/>
        <v>0.375</v>
      </c>
      <c r="DM55" s="15">
        <f t="shared" ref="DM55:DN55" si="173">VLOOKUP(DJ55,$DD$5:$DF$24,3,FALSE)</f>
        <v>1.079</v>
      </c>
      <c r="DN55" s="15">
        <f t="shared" si="173"/>
        <v>1.0820000000000001</v>
      </c>
      <c r="EE55" s="45">
        <f t="shared" si="37"/>
        <v>9</v>
      </c>
      <c r="EF55" s="204">
        <f t="shared" si="43"/>
        <v>0.59750000000000003</v>
      </c>
      <c r="EG55" s="15">
        <f t="shared" si="25"/>
        <v>5.5</v>
      </c>
      <c r="EH55" s="15">
        <f t="shared" si="26"/>
        <v>9.5</v>
      </c>
      <c r="EI55" s="15">
        <f t="shared" si="27"/>
        <v>0.875</v>
      </c>
      <c r="EJ55" s="205">
        <f t="shared" ref="EJ55:EK55" si="174">VLOOKUP(EG55,$DX$3:$DZ$19,3,FALSE)</f>
        <v>0.57999999999999996</v>
      </c>
      <c r="EK55" s="205">
        <f t="shared" si="174"/>
        <v>0.6</v>
      </c>
    </row>
    <row r="56" spans="1:141" ht="15.75" customHeight="1" x14ac:dyDescent="0.35">
      <c r="A56" s="34">
        <v>18</v>
      </c>
      <c r="B56" s="212">
        <v>0.8870431893687708</v>
      </c>
      <c r="BH56" s="15">
        <f t="shared" si="68"/>
        <v>28.5</v>
      </c>
      <c r="BI56" s="33">
        <f t="shared" si="14"/>
        <v>0.44850000000000001</v>
      </c>
      <c r="DH56" s="45">
        <f t="shared" si="34"/>
        <v>4</v>
      </c>
      <c r="DI56" s="204">
        <f t="shared" si="18"/>
        <v>1.080875</v>
      </c>
      <c r="DJ56" s="15">
        <f t="shared" si="19"/>
        <v>1.5</v>
      </c>
      <c r="DK56" s="15">
        <f t="shared" si="20"/>
        <v>5.5</v>
      </c>
      <c r="DL56" s="15">
        <f t="shared" si="21"/>
        <v>0.625</v>
      </c>
      <c r="DM56" s="15">
        <f t="shared" ref="DM56:DN56" si="175">VLOOKUP(DJ56,$DD$5:$DF$24,3,FALSE)</f>
        <v>1.079</v>
      </c>
      <c r="DN56" s="15">
        <f t="shared" si="175"/>
        <v>1.0820000000000001</v>
      </c>
      <c r="EE56" s="45">
        <f t="shared" si="37"/>
        <v>10</v>
      </c>
      <c r="EF56" s="204">
        <f t="shared" si="43"/>
        <v>0.60250000000000004</v>
      </c>
      <c r="EG56" s="15">
        <f t="shared" si="25"/>
        <v>9.5</v>
      </c>
      <c r="EH56" s="15">
        <f t="shared" si="26"/>
        <v>13.5</v>
      </c>
      <c r="EI56" s="15">
        <f t="shared" si="27"/>
        <v>0.125</v>
      </c>
      <c r="EJ56" s="205">
        <f t="shared" ref="EJ56:EK56" si="176">VLOOKUP(EG56,$DX$3:$DZ$19,3,FALSE)</f>
        <v>0.6</v>
      </c>
      <c r="EK56" s="205">
        <f t="shared" si="176"/>
        <v>0.62</v>
      </c>
    </row>
    <row r="57" spans="1:141" ht="15.75" customHeight="1" x14ac:dyDescent="0.35">
      <c r="A57" s="34">
        <v>19</v>
      </c>
      <c r="B57" s="212">
        <v>0.91047619047619044</v>
      </c>
      <c r="BH57" s="15">
        <f t="shared" si="68"/>
        <v>29</v>
      </c>
      <c r="BI57" s="33">
        <f t="shared" si="14"/>
        <v>0.45100000000000001</v>
      </c>
      <c r="DH57" s="45">
        <f t="shared" si="34"/>
        <v>5</v>
      </c>
      <c r="DI57" s="204">
        <f t="shared" si="18"/>
        <v>1.0816250000000001</v>
      </c>
      <c r="DJ57" s="15">
        <f t="shared" si="19"/>
        <v>1.5</v>
      </c>
      <c r="DK57" s="15">
        <f t="shared" si="20"/>
        <v>5.5</v>
      </c>
      <c r="DL57" s="15">
        <f t="shared" si="21"/>
        <v>0.875</v>
      </c>
      <c r="DM57" s="15">
        <f t="shared" ref="DM57:DN57" si="177">VLOOKUP(DJ57,$DD$5:$DF$24,3,FALSE)</f>
        <v>1.079</v>
      </c>
      <c r="DN57" s="15">
        <f t="shared" si="177"/>
        <v>1.0820000000000001</v>
      </c>
      <c r="EE57" s="45">
        <f t="shared" si="37"/>
        <v>11</v>
      </c>
      <c r="EF57" s="204">
        <f t="shared" si="43"/>
        <v>0.60749999999999993</v>
      </c>
      <c r="EG57" s="15">
        <f t="shared" si="25"/>
        <v>9.5</v>
      </c>
      <c r="EH57" s="15">
        <f t="shared" si="26"/>
        <v>13.5</v>
      </c>
      <c r="EI57" s="15">
        <f t="shared" si="27"/>
        <v>0.375</v>
      </c>
      <c r="EJ57" s="205">
        <f t="shared" ref="EJ57:EK57" si="178">VLOOKUP(EG57,$DX$3:$DZ$19,3,FALSE)</f>
        <v>0.6</v>
      </c>
      <c r="EK57" s="205">
        <f t="shared" si="178"/>
        <v>0.62</v>
      </c>
    </row>
    <row r="58" spans="1:141" ht="15.75" customHeight="1" x14ac:dyDescent="0.35">
      <c r="A58" s="34">
        <v>20</v>
      </c>
      <c r="B58" s="212">
        <v>0.91343838551385725</v>
      </c>
      <c r="BH58" s="15">
        <f t="shared" si="68"/>
        <v>29.5</v>
      </c>
      <c r="BI58" s="33">
        <f t="shared" si="14"/>
        <v>0.45350000000000001</v>
      </c>
      <c r="DH58" s="45">
        <f t="shared" si="34"/>
        <v>6</v>
      </c>
      <c r="DI58" s="204">
        <f t="shared" si="18"/>
        <v>1.0823750000000001</v>
      </c>
      <c r="DJ58" s="15">
        <f t="shared" si="19"/>
        <v>5.5</v>
      </c>
      <c r="DK58" s="15">
        <f t="shared" si="20"/>
        <v>9.5</v>
      </c>
      <c r="DL58" s="15">
        <f t="shared" si="21"/>
        <v>0.125</v>
      </c>
      <c r="DM58" s="15">
        <f t="shared" ref="DM58:DN58" si="179">VLOOKUP(DJ58,$DD$5:$DF$24,3,FALSE)</f>
        <v>1.0820000000000001</v>
      </c>
      <c r="DN58" s="15">
        <f t="shared" si="179"/>
        <v>1.085</v>
      </c>
      <c r="EE58" s="45">
        <f t="shared" si="37"/>
        <v>12</v>
      </c>
      <c r="EF58" s="204">
        <f t="shared" si="43"/>
        <v>0.61250000000000004</v>
      </c>
      <c r="EG58" s="15">
        <f t="shared" si="25"/>
        <v>9.5</v>
      </c>
      <c r="EH58" s="15">
        <f t="shared" si="26"/>
        <v>13.5</v>
      </c>
      <c r="EI58" s="15">
        <f t="shared" si="27"/>
        <v>0.625</v>
      </c>
      <c r="EJ58" s="205">
        <f t="shared" ref="EJ58:EK58" si="180">VLOOKUP(EG58,$DX$3:$DZ$19,3,FALSE)</f>
        <v>0.6</v>
      </c>
      <c r="EK58" s="205">
        <f t="shared" si="180"/>
        <v>0.62</v>
      </c>
    </row>
    <row r="59" spans="1:141" ht="15.75" customHeight="1" x14ac:dyDescent="0.35">
      <c r="A59" s="34">
        <v>21</v>
      </c>
      <c r="B59" s="212">
        <v>0.91640058055152396</v>
      </c>
      <c r="BH59" s="15">
        <f t="shared" si="68"/>
        <v>30</v>
      </c>
      <c r="BI59" s="33">
        <f t="shared" si="14"/>
        <v>0.45600000000000002</v>
      </c>
      <c r="DH59" s="45">
        <f t="shared" si="34"/>
        <v>7</v>
      </c>
      <c r="DI59" s="204">
        <f t="shared" si="18"/>
        <v>1.0831249999999999</v>
      </c>
      <c r="DJ59" s="15">
        <f t="shared" si="19"/>
        <v>5.5</v>
      </c>
      <c r="DK59" s="15">
        <f t="shared" si="20"/>
        <v>9.5</v>
      </c>
      <c r="DL59" s="15">
        <f t="shared" si="21"/>
        <v>0.375</v>
      </c>
      <c r="DM59" s="15">
        <f t="shared" ref="DM59:DN59" si="181">VLOOKUP(DJ59,$DD$5:$DF$24,3,FALSE)</f>
        <v>1.0820000000000001</v>
      </c>
      <c r="DN59" s="15">
        <f t="shared" si="181"/>
        <v>1.085</v>
      </c>
      <c r="EE59" s="45">
        <f t="shared" si="37"/>
        <v>13</v>
      </c>
      <c r="EF59" s="204">
        <f t="shared" si="43"/>
        <v>0.61749999999999994</v>
      </c>
      <c r="EG59" s="15">
        <f t="shared" si="25"/>
        <v>9.5</v>
      </c>
      <c r="EH59" s="15">
        <f t="shared" si="26"/>
        <v>13.5</v>
      </c>
      <c r="EI59" s="15">
        <f t="shared" si="27"/>
        <v>0.875</v>
      </c>
      <c r="EJ59" s="205">
        <f t="shared" ref="EJ59:EK59" si="182">VLOOKUP(EG59,$DX$3:$DZ$19,3,FALSE)</f>
        <v>0.6</v>
      </c>
      <c r="EK59" s="205">
        <f t="shared" si="182"/>
        <v>0.62</v>
      </c>
    </row>
    <row r="60" spans="1:141" ht="15.75" customHeight="1" x14ac:dyDescent="0.35">
      <c r="A60" s="34">
        <v>22</v>
      </c>
      <c r="B60" s="212">
        <v>0.91797871031429756</v>
      </c>
      <c r="BH60" s="15">
        <f t="shared" si="68"/>
        <v>30.5</v>
      </c>
      <c r="BI60" s="33">
        <f t="shared" si="14"/>
        <v>0.45850000000000002</v>
      </c>
      <c r="DH60" s="45">
        <f t="shared" si="34"/>
        <v>8</v>
      </c>
      <c r="DI60" s="204">
        <f t="shared" si="18"/>
        <v>1.0838749999999999</v>
      </c>
      <c r="DJ60" s="15">
        <f t="shared" si="19"/>
        <v>5.5</v>
      </c>
      <c r="DK60" s="15">
        <f t="shared" si="20"/>
        <v>9.5</v>
      </c>
      <c r="DL60" s="15">
        <f t="shared" si="21"/>
        <v>0.625</v>
      </c>
      <c r="DM60" s="15">
        <f t="shared" ref="DM60:DN60" si="183">VLOOKUP(DJ60,$DD$5:$DF$24,3,FALSE)</f>
        <v>1.0820000000000001</v>
      </c>
      <c r="DN60" s="15">
        <f t="shared" si="183"/>
        <v>1.085</v>
      </c>
      <c r="EE60" s="45">
        <f t="shared" si="37"/>
        <v>14</v>
      </c>
      <c r="EF60" s="204">
        <f t="shared" si="43"/>
        <v>0.62249999999999994</v>
      </c>
      <c r="EG60" s="15">
        <f t="shared" si="25"/>
        <v>13.5</v>
      </c>
      <c r="EH60" s="15">
        <f t="shared" si="26"/>
        <v>17.5</v>
      </c>
      <c r="EI60" s="15">
        <f t="shared" si="27"/>
        <v>0.125</v>
      </c>
      <c r="EJ60" s="205">
        <f t="shared" ref="EJ60:EK60" si="184">VLOOKUP(EG60,$DX$3:$DZ$19,3,FALSE)</f>
        <v>0.62</v>
      </c>
      <c r="EK60" s="205">
        <f t="shared" si="184"/>
        <v>0.64</v>
      </c>
    </row>
    <row r="61" spans="1:141" ht="15.75" customHeight="1" x14ac:dyDescent="0.35">
      <c r="A61" s="34">
        <v>23</v>
      </c>
      <c r="B61" s="212">
        <v>0.91955684007707128</v>
      </c>
      <c r="BH61" s="15">
        <f t="shared" si="68"/>
        <v>31</v>
      </c>
      <c r="BI61" s="33">
        <f t="shared" si="14"/>
        <v>0.46100000000000002</v>
      </c>
      <c r="DH61" s="45">
        <f t="shared" si="34"/>
        <v>9</v>
      </c>
      <c r="DI61" s="204">
        <f t="shared" si="18"/>
        <v>1.084625</v>
      </c>
      <c r="DJ61" s="15">
        <f t="shared" si="19"/>
        <v>5.5</v>
      </c>
      <c r="DK61" s="15">
        <f t="shared" si="20"/>
        <v>9.5</v>
      </c>
      <c r="DL61" s="15">
        <f t="shared" si="21"/>
        <v>0.875</v>
      </c>
      <c r="DM61" s="15">
        <f t="shared" ref="DM61:DN61" si="185">VLOOKUP(DJ61,$DD$5:$DF$24,3,FALSE)</f>
        <v>1.0820000000000001</v>
      </c>
      <c r="DN61" s="15">
        <f t="shared" si="185"/>
        <v>1.085</v>
      </c>
      <c r="EE61" s="45">
        <f t="shared" si="37"/>
        <v>15</v>
      </c>
      <c r="EF61" s="204">
        <f t="shared" si="43"/>
        <v>0.62749999999999995</v>
      </c>
      <c r="EG61" s="15">
        <f t="shared" si="25"/>
        <v>13.5</v>
      </c>
      <c r="EH61" s="15">
        <f t="shared" si="26"/>
        <v>17.5</v>
      </c>
      <c r="EI61" s="15">
        <f t="shared" si="27"/>
        <v>0.375</v>
      </c>
      <c r="EJ61" s="205">
        <f t="shared" ref="EJ61:EK61" si="186">VLOOKUP(EG61,$DX$3:$DZ$19,3,FALSE)</f>
        <v>0.62</v>
      </c>
      <c r="EK61" s="205">
        <f t="shared" si="186"/>
        <v>0.64</v>
      </c>
    </row>
    <row r="62" spans="1:141" ht="15.75" customHeight="1" x14ac:dyDescent="0.35">
      <c r="A62" s="34">
        <v>24</v>
      </c>
      <c r="B62" s="212">
        <v>0.92097445038621506</v>
      </c>
      <c r="BH62" s="15">
        <f t="shared" si="68"/>
        <v>31.5</v>
      </c>
      <c r="BI62" s="33">
        <f t="shared" si="14"/>
        <v>0.46350000000000002</v>
      </c>
      <c r="DH62" s="45">
        <f t="shared" si="34"/>
        <v>10</v>
      </c>
      <c r="DI62" s="204">
        <f t="shared" si="18"/>
        <v>1.085375</v>
      </c>
      <c r="DJ62" s="15">
        <f t="shared" si="19"/>
        <v>9.5</v>
      </c>
      <c r="DK62" s="15">
        <f t="shared" si="20"/>
        <v>13.5</v>
      </c>
      <c r="DL62" s="15">
        <f t="shared" si="21"/>
        <v>0.125</v>
      </c>
      <c r="DM62" s="15">
        <f t="shared" ref="DM62:DN62" si="187">VLOOKUP(DJ62,$DD$5:$DF$24,3,FALSE)</f>
        <v>1.085</v>
      </c>
      <c r="DN62" s="15">
        <f t="shared" si="187"/>
        <v>1.0880000000000001</v>
      </c>
      <c r="EE62" s="45">
        <f t="shared" si="37"/>
        <v>16</v>
      </c>
      <c r="EF62" s="204">
        <f t="shared" si="43"/>
        <v>0.63250000000000006</v>
      </c>
      <c r="EG62" s="15">
        <f t="shared" si="25"/>
        <v>13.5</v>
      </c>
      <c r="EH62" s="15">
        <f t="shared" si="26"/>
        <v>17.5</v>
      </c>
      <c r="EI62" s="15">
        <f t="shared" si="27"/>
        <v>0.625</v>
      </c>
      <c r="EJ62" s="205">
        <f t="shared" ref="EJ62:EK62" si="188">VLOOKUP(EG62,$DX$3:$DZ$19,3,FALSE)</f>
        <v>0.62</v>
      </c>
      <c r="EK62" s="205">
        <f t="shared" si="188"/>
        <v>0.64</v>
      </c>
    </row>
    <row r="63" spans="1:141" ht="15.75" customHeight="1" x14ac:dyDescent="0.35">
      <c r="A63" s="34">
        <v>25</v>
      </c>
      <c r="B63" s="212">
        <v>0.92247445038621501</v>
      </c>
      <c r="BH63" s="15">
        <f t="shared" si="68"/>
        <v>32</v>
      </c>
      <c r="BI63" s="33">
        <f t="shared" si="14"/>
        <v>0.46600000000000003</v>
      </c>
      <c r="DH63" s="45">
        <f t="shared" si="34"/>
        <v>11</v>
      </c>
      <c r="DI63" s="204">
        <f t="shared" si="18"/>
        <v>1.086125</v>
      </c>
      <c r="DJ63" s="15">
        <f t="shared" si="19"/>
        <v>9.5</v>
      </c>
      <c r="DK63" s="15">
        <f t="shared" si="20"/>
        <v>13.5</v>
      </c>
      <c r="DL63" s="15">
        <f t="shared" si="21"/>
        <v>0.375</v>
      </c>
      <c r="DM63" s="15">
        <f t="shared" ref="DM63:DN63" si="189">VLOOKUP(DJ63,$DD$5:$DF$24,3,FALSE)</f>
        <v>1.085</v>
      </c>
      <c r="DN63" s="15">
        <f t="shared" si="189"/>
        <v>1.0880000000000001</v>
      </c>
      <c r="EE63" s="45">
        <f t="shared" si="37"/>
        <v>17</v>
      </c>
      <c r="EF63" s="204">
        <f t="shared" si="43"/>
        <v>0.63750000000000007</v>
      </c>
      <c r="EG63" s="15">
        <f t="shared" si="25"/>
        <v>13.5</v>
      </c>
      <c r="EH63" s="15">
        <f t="shared" si="26"/>
        <v>17.5</v>
      </c>
      <c r="EI63" s="15">
        <f t="shared" si="27"/>
        <v>0.875</v>
      </c>
      <c r="EJ63" s="205">
        <f t="shared" ref="EJ63:EK63" si="190">VLOOKUP(EG63,$DX$3:$DZ$19,3,FALSE)</f>
        <v>0.62</v>
      </c>
      <c r="EK63" s="205">
        <f t="shared" si="190"/>
        <v>0.64</v>
      </c>
    </row>
    <row r="64" spans="1:141" ht="15.75" customHeight="1" x14ac:dyDescent="0.35">
      <c r="A64" s="34">
        <v>26</v>
      </c>
      <c r="B64" s="212">
        <v>0.92397445038621495</v>
      </c>
      <c r="BH64" s="15">
        <f t="shared" si="68"/>
        <v>32.5</v>
      </c>
      <c r="BI64" s="33">
        <f t="shared" si="14"/>
        <v>0.46850000000000003</v>
      </c>
      <c r="DH64" s="45">
        <f t="shared" si="34"/>
        <v>12</v>
      </c>
      <c r="DI64" s="204">
        <f t="shared" si="18"/>
        <v>1.086875</v>
      </c>
      <c r="DJ64" s="15">
        <f t="shared" si="19"/>
        <v>9.5</v>
      </c>
      <c r="DK64" s="15">
        <f t="shared" si="20"/>
        <v>13.5</v>
      </c>
      <c r="DL64" s="15">
        <f t="shared" si="21"/>
        <v>0.625</v>
      </c>
      <c r="DM64" s="15">
        <f t="shared" ref="DM64:DN64" si="191">VLOOKUP(DJ64,$DD$5:$DF$24,3,FALSE)</f>
        <v>1.085</v>
      </c>
      <c r="DN64" s="15">
        <f t="shared" si="191"/>
        <v>1.0880000000000001</v>
      </c>
      <c r="EE64" s="45">
        <f t="shared" si="37"/>
        <v>18</v>
      </c>
      <c r="EF64" s="204">
        <f t="shared" si="43"/>
        <v>0.64250000000000007</v>
      </c>
      <c r="EG64" s="15">
        <f t="shared" si="25"/>
        <v>17.5</v>
      </c>
      <c r="EH64" s="15">
        <f t="shared" si="26"/>
        <v>21.5</v>
      </c>
      <c r="EI64" s="15">
        <f t="shared" si="27"/>
        <v>0.125</v>
      </c>
      <c r="EJ64" s="205">
        <f t="shared" ref="EJ64:EK64" si="192">VLOOKUP(EG64,$DX$3:$DZ$19,3,FALSE)</f>
        <v>0.64</v>
      </c>
      <c r="EK64" s="205">
        <f t="shared" si="192"/>
        <v>0.66</v>
      </c>
    </row>
    <row r="65" spans="1:141" ht="15.75" customHeight="1" x14ac:dyDescent="0.35">
      <c r="A65" s="34">
        <v>27</v>
      </c>
      <c r="B65" s="212">
        <v>0.9254744503862149</v>
      </c>
      <c r="BH65" s="15">
        <f t="shared" si="68"/>
        <v>33</v>
      </c>
      <c r="BI65" s="33">
        <f t="shared" si="14"/>
        <v>0.47100000000000003</v>
      </c>
      <c r="DH65" s="45">
        <f t="shared" si="34"/>
        <v>13</v>
      </c>
      <c r="DI65" s="204">
        <f t="shared" si="18"/>
        <v>1.0876250000000001</v>
      </c>
      <c r="DJ65" s="15">
        <f t="shared" si="19"/>
        <v>9.5</v>
      </c>
      <c r="DK65" s="15">
        <f t="shared" si="20"/>
        <v>13.5</v>
      </c>
      <c r="DL65" s="15">
        <f t="shared" si="21"/>
        <v>0.875</v>
      </c>
      <c r="DM65" s="15">
        <f t="shared" ref="DM65:DN65" si="193">VLOOKUP(DJ65,$DD$5:$DF$24,3,FALSE)</f>
        <v>1.085</v>
      </c>
      <c r="DN65" s="15">
        <f t="shared" si="193"/>
        <v>1.0880000000000001</v>
      </c>
      <c r="EE65" s="45">
        <f t="shared" si="37"/>
        <v>19</v>
      </c>
      <c r="EF65" s="204">
        <f t="shared" si="43"/>
        <v>0.64749999999999996</v>
      </c>
      <c r="EG65" s="15">
        <f t="shared" si="25"/>
        <v>17.5</v>
      </c>
      <c r="EH65" s="15">
        <f t="shared" si="26"/>
        <v>21.5</v>
      </c>
      <c r="EI65" s="15">
        <f t="shared" si="27"/>
        <v>0.375</v>
      </c>
      <c r="EJ65" s="205">
        <f t="shared" ref="EJ65:EK65" si="194">VLOOKUP(EG65,$DX$3:$DZ$19,3,FALSE)</f>
        <v>0.64</v>
      </c>
      <c r="EK65" s="205">
        <f t="shared" si="194"/>
        <v>0.66</v>
      </c>
    </row>
    <row r="66" spans="1:141" ht="15.75" customHeight="1" x14ac:dyDescent="0.35">
      <c r="A66" s="34">
        <v>28</v>
      </c>
      <c r="B66" s="212">
        <v>0.92697445038621484</v>
      </c>
      <c r="BH66" s="15">
        <f t="shared" si="68"/>
        <v>33.5</v>
      </c>
      <c r="BI66" s="33">
        <f t="shared" si="14"/>
        <v>0.47225000000000006</v>
      </c>
      <c r="DH66" s="45">
        <f t="shared" si="34"/>
        <v>14</v>
      </c>
      <c r="DI66" s="204">
        <f t="shared" si="18"/>
        <v>1.0883750000000001</v>
      </c>
      <c r="DJ66" s="15">
        <f t="shared" si="19"/>
        <v>13.5</v>
      </c>
      <c r="DK66" s="15">
        <f t="shared" si="20"/>
        <v>17.5</v>
      </c>
      <c r="DL66" s="15">
        <f t="shared" si="21"/>
        <v>0.125</v>
      </c>
      <c r="DM66" s="15">
        <f t="shared" ref="DM66:DN66" si="195">VLOOKUP(DJ66,$DD$5:$DF$24,3,FALSE)</f>
        <v>1.0880000000000001</v>
      </c>
      <c r="DN66" s="15">
        <f t="shared" si="195"/>
        <v>1.091</v>
      </c>
      <c r="EE66" s="45">
        <f t="shared" si="37"/>
        <v>20</v>
      </c>
      <c r="EF66" s="204">
        <f t="shared" si="43"/>
        <v>0.65250000000000008</v>
      </c>
      <c r="EG66" s="15">
        <f t="shared" si="25"/>
        <v>17.5</v>
      </c>
      <c r="EH66" s="15">
        <f t="shared" si="26"/>
        <v>21.5</v>
      </c>
      <c r="EI66" s="15">
        <f t="shared" si="27"/>
        <v>0.625</v>
      </c>
      <c r="EJ66" s="205">
        <f t="shared" ref="EJ66:EK66" si="196">VLOOKUP(EG66,$DX$3:$DZ$19,3,FALSE)</f>
        <v>0.64</v>
      </c>
      <c r="EK66" s="205">
        <f t="shared" si="196"/>
        <v>0.66</v>
      </c>
    </row>
    <row r="67" spans="1:141" ht="15.75" customHeight="1" x14ac:dyDescent="0.35">
      <c r="A67" s="220">
        <v>29</v>
      </c>
      <c r="B67" s="220">
        <v>0.92847445038621479</v>
      </c>
      <c r="BH67" s="15">
        <f t="shared" si="68"/>
        <v>34</v>
      </c>
      <c r="BI67" s="33">
        <f t="shared" si="14"/>
        <v>0.47350000000000003</v>
      </c>
      <c r="DH67" s="45">
        <f t="shared" si="34"/>
        <v>15</v>
      </c>
      <c r="DI67" s="204">
        <f t="shared" si="18"/>
        <v>1.0891250000000001</v>
      </c>
      <c r="DJ67" s="15">
        <f t="shared" si="19"/>
        <v>13.5</v>
      </c>
      <c r="DK67" s="15">
        <f t="shared" si="20"/>
        <v>17.5</v>
      </c>
      <c r="DL67" s="15">
        <f t="shared" si="21"/>
        <v>0.375</v>
      </c>
      <c r="DM67" s="15">
        <f t="shared" ref="DM67:DN67" si="197">VLOOKUP(DJ67,$DD$5:$DF$24,3,FALSE)</f>
        <v>1.0880000000000001</v>
      </c>
      <c r="DN67" s="15">
        <f t="shared" si="197"/>
        <v>1.091</v>
      </c>
      <c r="EE67" s="45">
        <f t="shared" si="37"/>
        <v>21</v>
      </c>
      <c r="EF67" s="204">
        <f t="shared" si="43"/>
        <v>0.65749999999999997</v>
      </c>
      <c r="EG67" s="15">
        <f t="shared" si="25"/>
        <v>17.5</v>
      </c>
      <c r="EH67" s="15">
        <f t="shared" si="26"/>
        <v>21.5</v>
      </c>
      <c r="EI67" s="15">
        <f t="shared" si="27"/>
        <v>0.875</v>
      </c>
      <c r="EJ67" s="205">
        <f t="shared" ref="EJ67:EK67" si="198">VLOOKUP(EG67,$DX$3:$DZ$19,3,FALSE)</f>
        <v>0.64</v>
      </c>
      <c r="EK67" s="205">
        <f t="shared" si="198"/>
        <v>0.66</v>
      </c>
    </row>
    <row r="68" spans="1:141" ht="15.75" customHeight="1" x14ac:dyDescent="0.35">
      <c r="A68" s="15">
        <v>30</v>
      </c>
      <c r="B68" s="15">
        <v>0.92997445038621473</v>
      </c>
      <c r="BH68" s="15">
        <f t="shared" si="68"/>
        <v>34.5</v>
      </c>
      <c r="BI68" s="33">
        <f t="shared" si="14"/>
        <v>0.47475000000000001</v>
      </c>
      <c r="DH68" s="45">
        <f t="shared" si="34"/>
        <v>16</v>
      </c>
      <c r="DI68" s="204">
        <f t="shared" si="18"/>
        <v>1.0898750000000001</v>
      </c>
      <c r="DJ68" s="15">
        <f t="shared" si="19"/>
        <v>13.5</v>
      </c>
      <c r="DK68" s="15">
        <f t="shared" si="20"/>
        <v>17.5</v>
      </c>
      <c r="DL68" s="15">
        <f t="shared" si="21"/>
        <v>0.625</v>
      </c>
      <c r="DM68" s="15">
        <f t="shared" ref="DM68:DN68" si="199">VLOOKUP(DJ68,$DD$5:$DF$24,3,FALSE)</f>
        <v>1.0880000000000001</v>
      </c>
      <c r="DN68" s="15">
        <f t="shared" si="199"/>
        <v>1.091</v>
      </c>
      <c r="EE68" s="45">
        <f t="shared" si="37"/>
        <v>22</v>
      </c>
      <c r="EF68" s="204">
        <f t="shared" si="43"/>
        <v>0.66249999999999998</v>
      </c>
      <c r="EG68" s="15">
        <f t="shared" si="25"/>
        <v>21.5</v>
      </c>
      <c r="EH68" s="15">
        <f t="shared" si="26"/>
        <v>25.5</v>
      </c>
      <c r="EI68" s="15">
        <f t="shared" si="27"/>
        <v>0.125</v>
      </c>
      <c r="EJ68" s="205">
        <f t="shared" ref="EJ68:EK68" si="200">VLOOKUP(EG68,$DX$3:$DZ$19,3,FALSE)</f>
        <v>0.66</v>
      </c>
      <c r="EK68" s="205">
        <f t="shared" si="200"/>
        <v>0.68</v>
      </c>
    </row>
    <row r="69" spans="1:141" ht="15.75" customHeight="1" x14ac:dyDescent="0.35">
      <c r="BH69" s="15">
        <f t="shared" si="68"/>
        <v>35</v>
      </c>
      <c r="BI69" s="33">
        <f t="shared" si="14"/>
        <v>0.47600000000000003</v>
      </c>
      <c r="DH69" s="45">
        <f t="shared" si="34"/>
        <v>17</v>
      </c>
      <c r="DI69" s="204">
        <f t="shared" si="18"/>
        <v>1.090625</v>
      </c>
      <c r="DJ69" s="15">
        <f t="shared" si="19"/>
        <v>13.5</v>
      </c>
      <c r="DK69" s="15">
        <f t="shared" si="20"/>
        <v>17.5</v>
      </c>
      <c r="DL69" s="15">
        <f t="shared" si="21"/>
        <v>0.875</v>
      </c>
      <c r="DM69" s="15">
        <f t="shared" ref="DM69:DN69" si="201">VLOOKUP(DJ69,$DD$5:$DF$24,3,FALSE)</f>
        <v>1.0880000000000001</v>
      </c>
      <c r="DN69" s="15">
        <f t="shared" si="201"/>
        <v>1.091</v>
      </c>
      <c r="EE69" s="45">
        <f t="shared" si="37"/>
        <v>23</v>
      </c>
      <c r="EF69" s="204">
        <f t="shared" si="43"/>
        <v>0.66749999999999998</v>
      </c>
      <c r="EG69" s="15">
        <f t="shared" si="25"/>
        <v>21.5</v>
      </c>
      <c r="EH69" s="15">
        <f t="shared" si="26"/>
        <v>25.5</v>
      </c>
      <c r="EI69" s="15">
        <f t="shared" si="27"/>
        <v>0.375</v>
      </c>
      <c r="EJ69" s="205">
        <f t="shared" ref="EJ69:EK69" si="202">VLOOKUP(EG69,$DX$3:$DZ$19,3,FALSE)</f>
        <v>0.66</v>
      </c>
      <c r="EK69" s="205">
        <f t="shared" si="202"/>
        <v>0.68</v>
      </c>
    </row>
    <row r="70" spans="1:141" ht="15.75" customHeight="1" x14ac:dyDescent="0.35">
      <c r="BH70" s="15">
        <f t="shared" si="68"/>
        <v>35.5</v>
      </c>
      <c r="BI70" s="33">
        <f t="shared" si="14"/>
        <v>0.47725000000000006</v>
      </c>
      <c r="DH70" s="45">
        <f t="shared" si="34"/>
        <v>18</v>
      </c>
      <c r="DI70" s="204">
        <f t="shared" si="18"/>
        <v>1.091375</v>
      </c>
      <c r="DJ70" s="15">
        <f t="shared" si="19"/>
        <v>17.5</v>
      </c>
      <c r="DK70" s="15">
        <f t="shared" si="20"/>
        <v>21.5</v>
      </c>
      <c r="DL70" s="15">
        <f t="shared" si="21"/>
        <v>0.125</v>
      </c>
      <c r="DM70" s="15">
        <f t="shared" ref="DM70:DN70" si="203">VLOOKUP(DJ70,$DD$5:$DF$24,3,FALSE)</f>
        <v>1.091</v>
      </c>
      <c r="DN70" s="15">
        <f t="shared" si="203"/>
        <v>1.0940000000000001</v>
      </c>
      <c r="EE70" s="45">
        <f t="shared" si="37"/>
        <v>24</v>
      </c>
      <c r="EF70" s="204">
        <f t="shared" si="43"/>
        <v>0.6725000000000001</v>
      </c>
      <c r="EG70" s="15">
        <f t="shared" si="25"/>
        <v>21.5</v>
      </c>
      <c r="EH70" s="15">
        <f t="shared" si="26"/>
        <v>25.5</v>
      </c>
      <c r="EI70" s="15">
        <f t="shared" si="27"/>
        <v>0.625</v>
      </c>
      <c r="EJ70" s="205">
        <f t="shared" ref="EJ70:EK70" si="204">VLOOKUP(EG70,$DX$3:$DZ$19,3,FALSE)</f>
        <v>0.66</v>
      </c>
      <c r="EK70" s="205">
        <f t="shared" si="204"/>
        <v>0.68</v>
      </c>
    </row>
    <row r="71" spans="1:141" ht="15.75" customHeight="1" x14ac:dyDescent="0.35">
      <c r="BH71" s="15">
        <f t="shared" si="68"/>
        <v>36</v>
      </c>
      <c r="BI71" s="33">
        <f t="shared" si="14"/>
        <v>0.47850000000000004</v>
      </c>
      <c r="DH71" s="45">
        <f t="shared" si="34"/>
        <v>19</v>
      </c>
      <c r="DI71" s="204">
        <f t="shared" si="18"/>
        <v>1.092125</v>
      </c>
      <c r="DJ71" s="15">
        <f t="shared" si="19"/>
        <v>17.5</v>
      </c>
      <c r="DK71" s="15">
        <f t="shared" si="20"/>
        <v>21.5</v>
      </c>
      <c r="DL71" s="15">
        <f t="shared" si="21"/>
        <v>0.375</v>
      </c>
      <c r="DM71" s="15">
        <f t="shared" ref="DM71:DN71" si="205">VLOOKUP(DJ71,$DD$5:$DF$24,3,FALSE)</f>
        <v>1.091</v>
      </c>
      <c r="DN71" s="15">
        <f t="shared" si="205"/>
        <v>1.0940000000000001</v>
      </c>
      <c r="EE71" s="45">
        <f t="shared" si="37"/>
        <v>25</v>
      </c>
      <c r="EF71" s="204">
        <f t="shared" si="43"/>
        <v>0.6775000000000001</v>
      </c>
      <c r="EG71" s="15">
        <f t="shared" si="25"/>
        <v>21.5</v>
      </c>
      <c r="EH71" s="15">
        <f t="shared" si="26"/>
        <v>25.5</v>
      </c>
      <c r="EI71" s="15">
        <f t="shared" si="27"/>
        <v>0.875</v>
      </c>
      <c r="EJ71" s="205">
        <f t="shared" ref="EJ71:EK71" si="206">VLOOKUP(EG71,$DX$3:$DZ$19,3,FALSE)</f>
        <v>0.66</v>
      </c>
      <c r="EK71" s="205">
        <f t="shared" si="206"/>
        <v>0.68</v>
      </c>
    </row>
    <row r="72" spans="1:141" ht="15.75" customHeight="1" x14ac:dyDescent="0.35">
      <c r="BH72" s="15">
        <f t="shared" si="68"/>
        <v>36.5</v>
      </c>
      <c r="BI72" s="33">
        <f t="shared" si="14"/>
        <v>0.47975000000000001</v>
      </c>
      <c r="DH72" s="45">
        <f t="shared" si="34"/>
        <v>20</v>
      </c>
      <c r="DI72" s="204">
        <f t="shared" si="18"/>
        <v>1.092875</v>
      </c>
      <c r="DJ72" s="15">
        <f t="shared" si="19"/>
        <v>17.5</v>
      </c>
      <c r="DK72" s="15">
        <f t="shared" si="20"/>
        <v>21.5</v>
      </c>
      <c r="DL72" s="15">
        <f t="shared" si="21"/>
        <v>0.625</v>
      </c>
      <c r="DM72" s="15">
        <f t="shared" ref="DM72:DN72" si="207">VLOOKUP(DJ72,$DD$5:$DF$24,3,FALSE)</f>
        <v>1.091</v>
      </c>
      <c r="DN72" s="15">
        <f t="shared" si="207"/>
        <v>1.0940000000000001</v>
      </c>
      <c r="EE72" s="45">
        <f t="shared" si="37"/>
        <v>26</v>
      </c>
      <c r="EF72" s="204">
        <f t="shared" ref="EF72:EF76" si="208">EF71+(EF71-EF70)</f>
        <v>0.68250000000000011</v>
      </c>
      <c r="EG72" s="15">
        <f t="shared" si="25"/>
        <v>25.5</v>
      </c>
      <c r="EH72" s="15">
        <f t="shared" si="26"/>
        <v>29.5</v>
      </c>
      <c r="EI72" s="15">
        <f t="shared" si="27"/>
        <v>0.125</v>
      </c>
      <c r="EJ72" s="205">
        <f t="shared" ref="EJ72:EK72" si="209">VLOOKUP(EG72,$DX$3:$DZ$19,3,FALSE)</f>
        <v>0.68</v>
      </c>
      <c r="EK72" s="15" t="e">
        <f t="shared" si="209"/>
        <v>#N/A</v>
      </c>
    </row>
    <row r="73" spans="1:141" ht="15.75" customHeight="1" x14ac:dyDescent="0.35">
      <c r="BH73" s="15">
        <f t="shared" si="68"/>
        <v>37</v>
      </c>
      <c r="BI73" s="33">
        <f t="shared" si="14"/>
        <v>0.48100000000000004</v>
      </c>
      <c r="DH73" s="45">
        <f t="shared" si="34"/>
        <v>21</v>
      </c>
      <c r="DI73" s="204">
        <f t="shared" si="18"/>
        <v>1.0936250000000001</v>
      </c>
      <c r="DJ73" s="15">
        <f t="shared" si="19"/>
        <v>17.5</v>
      </c>
      <c r="DK73" s="15">
        <f t="shared" si="20"/>
        <v>21.5</v>
      </c>
      <c r="DL73" s="15">
        <f t="shared" si="21"/>
        <v>0.875</v>
      </c>
      <c r="DM73" s="15">
        <f t="shared" ref="DM73:DN73" si="210">VLOOKUP(DJ73,$DD$5:$DF$24,3,FALSE)</f>
        <v>1.091</v>
      </c>
      <c r="DN73" s="15">
        <f t="shared" si="210"/>
        <v>1.0940000000000001</v>
      </c>
      <c r="EE73" s="45">
        <f t="shared" si="37"/>
        <v>27</v>
      </c>
      <c r="EF73" s="204">
        <f t="shared" si="208"/>
        <v>0.68750000000000011</v>
      </c>
      <c r="EG73" s="15">
        <f t="shared" si="25"/>
        <v>25.5</v>
      </c>
      <c r="EH73" s="15">
        <f t="shared" si="26"/>
        <v>29.5</v>
      </c>
      <c r="EI73" s="15">
        <f t="shared" si="27"/>
        <v>0.375</v>
      </c>
      <c r="EJ73" s="205">
        <f t="shared" ref="EJ73:EK73" si="211">VLOOKUP(EG73,$DX$3:$DZ$19,3,FALSE)</f>
        <v>0.68</v>
      </c>
      <c r="EK73" s="15" t="e">
        <f t="shared" si="211"/>
        <v>#N/A</v>
      </c>
    </row>
    <row r="74" spans="1:141" ht="15.75" customHeight="1" x14ac:dyDescent="0.35">
      <c r="BH74" s="15">
        <f t="shared" si="68"/>
        <v>37.5</v>
      </c>
      <c r="BI74" s="33">
        <f t="shared" si="14"/>
        <v>0.48225000000000007</v>
      </c>
      <c r="DH74" s="45">
        <f t="shared" si="34"/>
        <v>22</v>
      </c>
      <c r="DI74" s="204">
        <f t="shared" si="18"/>
        <v>1.0943750000000001</v>
      </c>
      <c r="DJ74" s="15">
        <f t="shared" si="19"/>
        <v>21.5</v>
      </c>
      <c r="DK74" s="15">
        <f t="shared" si="20"/>
        <v>25.5</v>
      </c>
      <c r="DL74" s="15">
        <f t="shared" si="21"/>
        <v>0.125</v>
      </c>
      <c r="DM74" s="15">
        <f t="shared" ref="DM74:DN74" si="212">VLOOKUP(DJ74,$DD$5:$DF$24,3,FALSE)</f>
        <v>1.0940000000000001</v>
      </c>
      <c r="DN74" s="15">
        <f t="shared" si="212"/>
        <v>1.097</v>
      </c>
      <c r="EE74" s="45">
        <f t="shared" si="37"/>
        <v>28</v>
      </c>
      <c r="EF74" s="204">
        <f t="shared" si="208"/>
        <v>0.69250000000000012</v>
      </c>
      <c r="EG74" s="15">
        <f t="shared" si="25"/>
        <v>25.5</v>
      </c>
      <c r="EH74" s="15">
        <f t="shared" si="26"/>
        <v>29.5</v>
      </c>
      <c r="EI74" s="15">
        <f t="shared" si="27"/>
        <v>0.625</v>
      </c>
      <c r="EJ74" s="205">
        <f t="shared" ref="EJ74:EK74" si="213">VLOOKUP(EG74,$DX$3:$DZ$19,3,FALSE)</f>
        <v>0.68</v>
      </c>
      <c r="EK74" s="15" t="e">
        <f t="shared" si="213"/>
        <v>#N/A</v>
      </c>
    </row>
    <row r="75" spans="1:141" ht="15.75" customHeight="1" x14ac:dyDescent="0.35">
      <c r="BH75" s="15">
        <f t="shared" si="68"/>
        <v>38</v>
      </c>
      <c r="BI75" s="33">
        <f t="shared" si="14"/>
        <v>0.48350000000000004</v>
      </c>
      <c r="DH75" s="45">
        <f t="shared" si="34"/>
        <v>23</v>
      </c>
      <c r="DI75" s="204">
        <f t="shared" si="18"/>
        <v>1.0951250000000001</v>
      </c>
      <c r="DJ75" s="15">
        <f t="shared" si="19"/>
        <v>21.5</v>
      </c>
      <c r="DK75" s="15">
        <f t="shared" si="20"/>
        <v>25.5</v>
      </c>
      <c r="DL75" s="15">
        <f t="shared" si="21"/>
        <v>0.375</v>
      </c>
      <c r="DM75" s="15">
        <f t="shared" ref="DM75:DN75" si="214">VLOOKUP(DJ75,$DD$5:$DF$24,3,FALSE)</f>
        <v>1.0940000000000001</v>
      </c>
      <c r="DN75" s="15">
        <f t="shared" si="214"/>
        <v>1.097</v>
      </c>
      <c r="EE75" s="45">
        <f t="shared" si="37"/>
        <v>29</v>
      </c>
      <c r="EF75" s="204">
        <f t="shared" si="208"/>
        <v>0.69750000000000012</v>
      </c>
      <c r="EG75" s="15">
        <f t="shared" si="25"/>
        <v>25.5</v>
      </c>
      <c r="EH75" s="15">
        <f t="shared" si="26"/>
        <v>29.5</v>
      </c>
      <c r="EI75" s="15">
        <f t="shared" si="27"/>
        <v>0.875</v>
      </c>
      <c r="EJ75" s="205">
        <f t="shared" ref="EJ75:EK75" si="215">VLOOKUP(EG75,$DX$3:$DZ$19,3,FALSE)</f>
        <v>0.68</v>
      </c>
      <c r="EK75" s="15" t="e">
        <f t="shared" si="215"/>
        <v>#N/A</v>
      </c>
    </row>
    <row r="76" spans="1:141" ht="15.75" customHeight="1" x14ac:dyDescent="0.35">
      <c r="BH76" s="15">
        <f t="shared" si="68"/>
        <v>38.5</v>
      </c>
      <c r="BI76" s="33">
        <f t="shared" si="14"/>
        <v>0.48475000000000001</v>
      </c>
      <c r="DH76" s="45">
        <f t="shared" si="34"/>
        <v>24</v>
      </c>
      <c r="DI76" s="204">
        <f t="shared" si="18"/>
        <v>1.0958749999999999</v>
      </c>
      <c r="DJ76" s="15">
        <f t="shared" si="19"/>
        <v>21.5</v>
      </c>
      <c r="DK76" s="15">
        <f t="shared" si="20"/>
        <v>25.5</v>
      </c>
      <c r="DL76" s="15">
        <f t="shared" si="21"/>
        <v>0.625</v>
      </c>
      <c r="DM76" s="15">
        <f t="shared" ref="DM76:DN76" si="216">VLOOKUP(DJ76,$DD$5:$DF$24,3,FALSE)</f>
        <v>1.0940000000000001</v>
      </c>
      <c r="DN76" s="15">
        <f t="shared" si="216"/>
        <v>1.097</v>
      </c>
      <c r="EE76" s="45">
        <f t="shared" si="37"/>
        <v>30</v>
      </c>
      <c r="EF76" s="204">
        <f t="shared" si="208"/>
        <v>0.70250000000000012</v>
      </c>
      <c r="EG76" s="15">
        <f t="shared" si="25"/>
        <v>29.5</v>
      </c>
      <c r="EH76" s="15">
        <f t="shared" si="26"/>
        <v>33.5</v>
      </c>
      <c r="EI76" s="15">
        <f t="shared" si="27"/>
        <v>0.125</v>
      </c>
      <c r="EJ76" s="15" t="e">
        <f t="shared" ref="EJ76:EK76" si="217">VLOOKUP(EG76,$DX$3:$DZ$19,3,FALSE)</f>
        <v>#N/A</v>
      </c>
      <c r="EK76" s="15" t="e">
        <f t="shared" si="217"/>
        <v>#N/A</v>
      </c>
    </row>
    <row r="77" spans="1:141" ht="15.75" customHeight="1" x14ac:dyDescent="0.35">
      <c r="BH77" s="15">
        <f t="shared" si="68"/>
        <v>39</v>
      </c>
      <c r="BI77" s="33">
        <f t="shared" si="14"/>
        <v>0.48600000000000004</v>
      </c>
      <c r="DH77" s="45">
        <f t="shared" si="34"/>
        <v>25</v>
      </c>
      <c r="DI77" s="204">
        <f t="shared" si="18"/>
        <v>1.096625</v>
      </c>
      <c r="DJ77" s="15">
        <f t="shared" si="19"/>
        <v>21.5</v>
      </c>
      <c r="DK77" s="15">
        <f t="shared" si="20"/>
        <v>25.5</v>
      </c>
      <c r="DL77" s="15">
        <f t="shared" si="21"/>
        <v>0.875</v>
      </c>
      <c r="DM77" s="15">
        <f t="shared" ref="DM77:DN77" si="218">VLOOKUP(DJ77,$DD$5:$DF$24,3,FALSE)</f>
        <v>1.0940000000000001</v>
      </c>
      <c r="DN77" s="15">
        <f t="shared" si="218"/>
        <v>1.097</v>
      </c>
      <c r="EE77" s="45"/>
      <c r="EF77" s="204"/>
    </row>
    <row r="78" spans="1:141" ht="15.75" customHeight="1" x14ac:dyDescent="0.35">
      <c r="BH78" s="15">
        <f t="shared" si="68"/>
        <v>39.5</v>
      </c>
      <c r="BI78" s="33">
        <f t="shared" si="14"/>
        <v>0.48725000000000007</v>
      </c>
      <c r="DH78" s="45">
        <f t="shared" si="34"/>
        <v>26</v>
      </c>
      <c r="DI78" s="204">
        <f t="shared" si="18"/>
        <v>1.097375</v>
      </c>
      <c r="DJ78" s="15">
        <f t="shared" si="19"/>
        <v>25.5</v>
      </c>
      <c r="DK78" s="15">
        <f t="shared" si="20"/>
        <v>29.5</v>
      </c>
      <c r="DL78" s="15">
        <f t="shared" si="21"/>
        <v>0.125</v>
      </c>
      <c r="DM78" s="15">
        <f t="shared" ref="DM78:DN78" si="219">VLOOKUP(DJ78,$DD$5:$DF$24,3,FALSE)</f>
        <v>1.097</v>
      </c>
      <c r="DN78" s="15">
        <f t="shared" si="219"/>
        <v>1.1000000000000001</v>
      </c>
      <c r="EE78" s="45"/>
      <c r="EF78" s="204"/>
    </row>
    <row r="79" spans="1:141" ht="15.75" customHeight="1" x14ac:dyDescent="0.35">
      <c r="BH79" s="15">
        <f t="shared" si="68"/>
        <v>40</v>
      </c>
      <c r="BI79" s="33">
        <f t="shared" si="14"/>
        <v>0.48850000000000005</v>
      </c>
      <c r="DH79" s="45">
        <f t="shared" si="34"/>
        <v>27</v>
      </c>
      <c r="DI79" s="204">
        <f t="shared" si="18"/>
        <v>1.098125</v>
      </c>
      <c r="DJ79" s="15">
        <f t="shared" si="19"/>
        <v>25.5</v>
      </c>
      <c r="DK79" s="15">
        <f t="shared" si="20"/>
        <v>29.5</v>
      </c>
      <c r="DL79" s="15">
        <f t="shared" si="21"/>
        <v>0.375</v>
      </c>
      <c r="DM79" s="15">
        <f t="shared" ref="DM79:DN79" si="220">VLOOKUP(DJ79,$DD$5:$DF$24,3,FALSE)</f>
        <v>1.097</v>
      </c>
      <c r="DN79" s="15">
        <f t="shared" si="220"/>
        <v>1.1000000000000001</v>
      </c>
      <c r="EE79" s="45"/>
      <c r="EF79" s="204"/>
    </row>
    <row r="80" spans="1:141" ht="15.75" customHeight="1" x14ac:dyDescent="0.35">
      <c r="DH80" s="45">
        <f t="shared" si="34"/>
        <v>28</v>
      </c>
      <c r="DI80" s="204">
        <f t="shared" si="18"/>
        <v>1.098875</v>
      </c>
      <c r="DJ80" s="15">
        <f t="shared" si="19"/>
        <v>25.5</v>
      </c>
      <c r="DK80" s="15">
        <f t="shared" si="20"/>
        <v>29.5</v>
      </c>
      <c r="DL80" s="15">
        <f t="shared" si="21"/>
        <v>0.625</v>
      </c>
      <c r="DM80" s="15">
        <f t="shared" ref="DM80:DN80" si="221">VLOOKUP(DJ80,$DD$5:$DF$24,3,FALSE)</f>
        <v>1.097</v>
      </c>
      <c r="DN80" s="15">
        <f t="shared" si="221"/>
        <v>1.1000000000000001</v>
      </c>
      <c r="EE80" s="45"/>
      <c r="EF80" s="204"/>
    </row>
    <row r="81" spans="112:136" ht="15.75" customHeight="1" x14ac:dyDescent="0.35">
      <c r="DH81" s="45">
        <f t="shared" si="34"/>
        <v>29</v>
      </c>
      <c r="DI81" s="204">
        <f t="shared" si="18"/>
        <v>1.0996250000000001</v>
      </c>
      <c r="DJ81" s="15">
        <f t="shared" si="19"/>
        <v>25.5</v>
      </c>
      <c r="DK81" s="15">
        <f t="shared" si="20"/>
        <v>29.5</v>
      </c>
      <c r="DL81" s="15">
        <f t="shared" si="21"/>
        <v>0.875</v>
      </c>
      <c r="DM81" s="15">
        <f t="shared" ref="DM81:DN81" si="222">VLOOKUP(DJ81,$DD$5:$DF$24,3,FALSE)</f>
        <v>1.097</v>
      </c>
      <c r="DN81" s="15">
        <f t="shared" si="222"/>
        <v>1.1000000000000001</v>
      </c>
      <c r="EE81" s="45"/>
      <c r="EF81" s="204"/>
    </row>
    <row r="82" spans="112:136" ht="15.75" customHeight="1" x14ac:dyDescent="0.35">
      <c r="DH82" s="45">
        <f t="shared" si="34"/>
        <v>30</v>
      </c>
      <c r="DI82" s="204">
        <v>1.1000000000000001</v>
      </c>
      <c r="DJ82" s="15">
        <f t="shared" si="19"/>
        <v>29.5</v>
      </c>
      <c r="DK82" s="15">
        <f t="shared" si="20"/>
        <v>33.5</v>
      </c>
      <c r="DL82" s="15">
        <f t="shared" si="21"/>
        <v>0.125</v>
      </c>
      <c r="DM82" s="15">
        <f t="shared" ref="DM82:DN82" si="223">VLOOKUP(DJ82,$DD$5:$DF$24,3,FALSE)</f>
        <v>1.1000000000000001</v>
      </c>
      <c r="DN82" s="15" t="e">
        <f t="shared" si="223"/>
        <v>#N/A</v>
      </c>
      <c r="EE82" s="45"/>
      <c r="EF82" s="204"/>
    </row>
    <row r="83" spans="112:136" ht="15.75" customHeight="1" x14ac:dyDescent="0.35"/>
    <row r="84" spans="112:136" ht="15.75" customHeight="1" x14ac:dyDescent="0.35"/>
    <row r="85" spans="112:136" ht="15.75" customHeight="1" x14ac:dyDescent="0.35"/>
    <row r="86" spans="112:136" ht="15.75" customHeight="1" x14ac:dyDescent="0.35"/>
    <row r="87" spans="112:136" ht="15.75" customHeight="1" x14ac:dyDescent="0.35"/>
    <row r="88" spans="112:136" ht="15.75" customHeight="1" x14ac:dyDescent="0.35"/>
    <row r="89" spans="112:136" ht="15.75" customHeight="1" x14ac:dyDescent="0.35"/>
    <row r="90" spans="112:136" ht="15.75" customHeight="1" x14ac:dyDescent="0.35"/>
    <row r="91" spans="112:136" ht="15.75" customHeight="1" x14ac:dyDescent="0.35"/>
    <row r="92" spans="112:136" ht="15.75" customHeight="1" x14ac:dyDescent="0.35"/>
    <row r="93" spans="112:136" ht="15.75" customHeight="1" x14ac:dyDescent="0.35"/>
    <row r="94" spans="112:136" ht="15.75" customHeight="1" x14ac:dyDescent="0.35"/>
    <row r="95" spans="112:136" ht="15.75" customHeight="1" x14ac:dyDescent="0.35"/>
    <row r="96" spans="112:13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G1000"/>
  <sheetViews>
    <sheetView workbookViewId="0"/>
  </sheetViews>
  <sheetFormatPr defaultColWidth="14.453125" defaultRowHeight="15" customHeight="1" x14ac:dyDescent="0.35"/>
  <cols>
    <col min="1" max="1" width="16.81640625" customWidth="1"/>
    <col min="2" max="73" width="8.7265625" customWidth="1"/>
    <col min="74" max="74" width="10.26953125" customWidth="1"/>
    <col min="75" max="78" width="8.7265625" customWidth="1"/>
    <col min="79" max="79" width="16.81640625" customWidth="1"/>
    <col min="80" max="103" width="8.7265625" customWidth="1"/>
    <col min="104" max="104" width="9.26953125" customWidth="1"/>
    <col min="105" max="108" width="8.7265625" customWidth="1"/>
    <col min="109" max="109" width="16.81640625" customWidth="1"/>
    <col min="110" max="133" width="8.7265625" customWidth="1"/>
    <col min="134" max="134" width="9.26953125" customWidth="1"/>
    <col min="135" max="135" width="8.7265625" customWidth="1"/>
    <col min="136" max="136" width="19" customWidth="1"/>
    <col min="137" max="137" width="20" customWidth="1"/>
  </cols>
  <sheetData>
    <row r="1" spans="1:137" ht="14.5" x14ac:dyDescent="0.35">
      <c r="CA1" s="15" t="s">
        <v>320</v>
      </c>
      <c r="DE1" s="15" t="s">
        <v>99</v>
      </c>
    </row>
    <row r="5" spans="1:137" ht="14.5" x14ac:dyDescent="0.35">
      <c r="AX5" s="15">
        <v>1</v>
      </c>
      <c r="AY5" s="15">
        <f t="shared" ref="AY5:BU5" si="0">+AX5+0.5</f>
        <v>1.5</v>
      </c>
      <c r="AZ5" s="15">
        <f t="shared" si="0"/>
        <v>2</v>
      </c>
      <c r="BA5" s="15">
        <f t="shared" si="0"/>
        <v>2.5</v>
      </c>
      <c r="BB5" s="15">
        <f t="shared" si="0"/>
        <v>3</v>
      </c>
      <c r="BC5" s="15">
        <f t="shared" si="0"/>
        <v>3.5</v>
      </c>
      <c r="BD5" s="15">
        <f t="shared" si="0"/>
        <v>4</v>
      </c>
      <c r="BE5" s="15">
        <f t="shared" si="0"/>
        <v>4.5</v>
      </c>
      <c r="BF5" s="15">
        <f t="shared" si="0"/>
        <v>5</v>
      </c>
      <c r="BG5" s="15">
        <f t="shared" si="0"/>
        <v>5.5</v>
      </c>
      <c r="BH5" s="15">
        <f t="shared" si="0"/>
        <v>6</v>
      </c>
      <c r="BI5" s="15">
        <f t="shared" si="0"/>
        <v>6.5</v>
      </c>
      <c r="BJ5" s="15">
        <f t="shared" si="0"/>
        <v>7</v>
      </c>
      <c r="BK5" s="15">
        <f t="shared" si="0"/>
        <v>7.5</v>
      </c>
      <c r="BL5" s="15">
        <f t="shared" si="0"/>
        <v>8</v>
      </c>
      <c r="BM5" s="15">
        <f t="shared" si="0"/>
        <v>8.5</v>
      </c>
      <c r="BN5" s="15">
        <f t="shared" si="0"/>
        <v>9</v>
      </c>
      <c r="BO5" s="15">
        <f t="shared" si="0"/>
        <v>9.5</v>
      </c>
      <c r="BP5" s="15">
        <f t="shared" si="0"/>
        <v>10</v>
      </c>
      <c r="BQ5" s="15">
        <f t="shared" si="0"/>
        <v>10.5</v>
      </c>
      <c r="BR5" s="15">
        <f t="shared" si="0"/>
        <v>11</v>
      </c>
      <c r="BS5" s="15">
        <f t="shared" si="0"/>
        <v>11.5</v>
      </c>
      <c r="BT5" s="15">
        <f t="shared" si="0"/>
        <v>12</v>
      </c>
      <c r="BU5" s="15">
        <f t="shared" si="0"/>
        <v>12.5</v>
      </c>
    </row>
    <row r="6" spans="1:137" ht="14.5" x14ac:dyDescent="0.35">
      <c r="A6" s="207" t="s">
        <v>30</v>
      </c>
      <c r="B6" s="207" t="s">
        <v>321</v>
      </c>
      <c r="C6" s="207">
        <v>1.5</v>
      </c>
      <c r="D6" s="207">
        <v>2</v>
      </c>
      <c r="E6" s="207">
        <v>2.5</v>
      </c>
      <c r="F6" s="207">
        <v>3</v>
      </c>
      <c r="G6" s="207">
        <v>3.5</v>
      </c>
      <c r="H6" s="207">
        <v>4</v>
      </c>
      <c r="I6" s="207">
        <v>4.5</v>
      </c>
      <c r="J6" s="207">
        <v>5</v>
      </c>
      <c r="K6" s="207">
        <v>5.5</v>
      </c>
      <c r="L6" s="207">
        <v>6</v>
      </c>
      <c r="M6" s="207">
        <v>6.5</v>
      </c>
      <c r="N6" s="207">
        <v>7</v>
      </c>
      <c r="O6" s="207">
        <v>7.5</v>
      </c>
      <c r="P6" s="207">
        <v>8</v>
      </c>
      <c r="Q6" s="207">
        <v>8.5</v>
      </c>
      <c r="R6" s="207">
        <v>9</v>
      </c>
      <c r="S6" s="207">
        <v>9.5</v>
      </c>
      <c r="T6" s="207">
        <v>10</v>
      </c>
      <c r="U6" s="207">
        <v>10.5</v>
      </c>
      <c r="V6" s="207">
        <v>11</v>
      </c>
      <c r="W6" s="207">
        <v>11.5</v>
      </c>
      <c r="X6" s="207">
        <v>12</v>
      </c>
      <c r="Y6" s="207" t="s">
        <v>322</v>
      </c>
      <c r="Z6" s="207" t="s">
        <v>321</v>
      </c>
      <c r="AA6" s="207">
        <v>1.5</v>
      </c>
      <c r="AB6" s="207">
        <v>2</v>
      </c>
      <c r="AC6" s="207">
        <v>2.5</v>
      </c>
      <c r="AD6" s="207">
        <v>3</v>
      </c>
      <c r="AE6" s="207">
        <v>3.5</v>
      </c>
      <c r="AF6" s="207">
        <v>4</v>
      </c>
      <c r="AG6" s="207">
        <v>4.5</v>
      </c>
      <c r="AH6" s="207">
        <v>5</v>
      </c>
      <c r="AI6" s="207">
        <v>5.5</v>
      </c>
      <c r="AJ6" s="207">
        <v>6</v>
      </c>
      <c r="AK6" s="207">
        <v>6.5</v>
      </c>
      <c r="AL6" s="207">
        <v>7</v>
      </c>
      <c r="AM6" s="207">
        <v>7.5</v>
      </c>
      <c r="AN6" s="207">
        <v>8</v>
      </c>
      <c r="AO6" s="207">
        <v>8.5</v>
      </c>
      <c r="AP6" s="207">
        <v>9</v>
      </c>
      <c r="AQ6" s="207">
        <v>9.5</v>
      </c>
      <c r="AR6" s="207">
        <v>10</v>
      </c>
      <c r="AS6" s="207">
        <v>10.5</v>
      </c>
      <c r="AT6" s="207">
        <v>11</v>
      </c>
      <c r="AU6" s="207">
        <v>11.5</v>
      </c>
      <c r="AV6" s="207">
        <v>12</v>
      </c>
      <c r="AW6" s="207" t="s">
        <v>322</v>
      </c>
      <c r="AX6" s="207" t="s">
        <v>321</v>
      </c>
      <c r="AY6" s="207">
        <v>1.5</v>
      </c>
      <c r="AZ6" s="207">
        <v>2</v>
      </c>
      <c r="BA6" s="207">
        <v>2.5</v>
      </c>
      <c r="BB6" s="207">
        <v>3</v>
      </c>
      <c r="BC6" s="207">
        <v>3.5</v>
      </c>
      <c r="BD6" s="207">
        <v>4</v>
      </c>
      <c r="BE6" s="207">
        <v>4.5</v>
      </c>
      <c r="BF6" s="207">
        <v>5</v>
      </c>
      <c r="BG6" s="207">
        <v>5.5</v>
      </c>
      <c r="BH6" s="207">
        <v>6</v>
      </c>
      <c r="BI6" s="207">
        <v>6.5</v>
      </c>
      <c r="BJ6" s="207">
        <v>7</v>
      </c>
      <c r="BK6" s="207">
        <v>7.5</v>
      </c>
      <c r="BL6" s="207">
        <v>8</v>
      </c>
      <c r="BM6" s="207">
        <v>8.5</v>
      </c>
      <c r="BN6" s="207">
        <v>9</v>
      </c>
      <c r="BO6" s="207">
        <v>9.5</v>
      </c>
      <c r="BP6" s="207">
        <v>10</v>
      </c>
      <c r="BQ6" s="207">
        <v>10.5</v>
      </c>
      <c r="BR6" s="207">
        <v>11</v>
      </c>
      <c r="BS6" s="207">
        <v>11.5</v>
      </c>
      <c r="BT6" s="207">
        <v>12</v>
      </c>
      <c r="BU6" s="207" t="s">
        <v>322</v>
      </c>
      <c r="BV6" s="207"/>
      <c r="BW6" s="207"/>
      <c r="BX6" s="207"/>
      <c r="CA6" s="207" t="s">
        <v>30</v>
      </c>
      <c r="CB6" s="15">
        <v>0</v>
      </c>
      <c r="CC6" s="15">
        <f t="shared" ref="CC6:CY6" si="1">+AY5</f>
        <v>1.5</v>
      </c>
      <c r="CD6" s="15">
        <f t="shared" si="1"/>
        <v>2</v>
      </c>
      <c r="CE6" s="15">
        <f t="shared" si="1"/>
        <v>2.5</v>
      </c>
      <c r="CF6" s="15">
        <f t="shared" si="1"/>
        <v>3</v>
      </c>
      <c r="CG6" s="15">
        <f t="shared" si="1"/>
        <v>3.5</v>
      </c>
      <c r="CH6" s="15">
        <f t="shared" si="1"/>
        <v>4</v>
      </c>
      <c r="CI6" s="15">
        <f t="shared" si="1"/>
        <v>4.5</v>
      </c>
      <c r="CJ6" s="15">
        <f t="shared" si="1"/>
        <v>5</v>
      </c>
      <c r="CK6" s="15">
        <f t="shared" si="1"/>
        <v>5.5</v>
      </c>
      <c r="CL6" s="15">
        <f t="shared" si="1"/>
        <v>6</v>
      </c>
      <c r="CM6" s="15">
        <f t="shared" si="1"/>
        <v>6.5</v>
      </c>
      <c r="CN6" s="15">
        <f t="shared" si="1"/>
        <v>7</v>
      </c>
      <c r="CO6" s="15">
        <f t="shared" si="1"/>
        <v>7.5</v>
      </c>
      <c r="CP6" s="15">
        <f t="shared" si="1"/>
        <v>8</v>
      </c>
      <c r="CQ6" s="15">
        <f t="shared" si="1"/>
        <v>8.5</v>
      </c>
      <c r="CR6" s="15">
        <f t="shared" si="1"/>
        <v>9</v>
      </c>
      <c r="CS6" s="15">
        <f t="shared" si="1"/>
        <v>9.5</v>
      </c>
      <c r="CT6" s="15">
        <f t="shared" si="1"/>
        <v>10</v>
      </c>
      <c r="CU6" s="15">
        <f t="shared" si="1"/>
        <v>10.5</v>
      </c>
      <c r="CV6" s="15">
        <f t="shared" si="1"/>
        <v>11</v>
      </c>
      <c r="CW6" s="15">
        <f t="shared" si="1"/>
        <v>11.5</v>
      </c>
      <c r="CX6" s="15">
        <f t="shared" si="1"/>
        <v>12</v>
      </c>
      <c r="CY6" s="15">
        <f t="shared" si="1"/>
        <v>12.5</v>
      </c>
      <c r="CZ6" s="15" t="s">
        <v>323</v>
      </c>
      <c r="DA6" s="15" t="s">
        <v>324</v>
      </c>
      <c r="DB6" s="15" t="s">
        <v>325</v>
      </c>
      <c r="DC6" s="15" t="s">
        <v>326</v>
      </c>
      <c r="DE6" s="207" t="s">
        <v>30</v>
      </c>
      <c r="DF6" s="15">
        <f t="shared" ref="DF6:EC6" si="2">CB6</f>
        <v>0</v>
      </c>
      <c r="DG6" s="15">
        <f t="shared" si="2"/>
        <v>1.5</v>
      </c>
      <c r="DH6" s="15">
        <f t="shared" si="2"/>
        <v>2</v>
      </c>
      <c r="DI6" s="15">
        <f t="shared" si="2"/>
        <v>2.5</v>
      </c>
      <c r="DJ6" s="15">
        <f t="shared" si="2"/>
        <v>3</v>
      </c>
      <c r="DK6" s="15">
        <f t="shared" si="2"/>
        <v>3.5</v>
      </c>
      <c r="DL6" s="15">
        <f t="shared" si="2"/>
        <v>4</v>
      </c>
      <c r="DM6" s="15">
        <f t="shared" si="2"/>
        <v>4.5</v>
      </c>
      <c r="DN6" s="15">
        <f t="shared" si="2"/>
        <v>5</v>
      </c>
      <c r="DO6" s="15">
        <f t="shared" si="2"/>
        <v>5.5</v>
      </c>
      <c r="DP6" s="15">
        <f t="shared" si="2"/>
        <v>6</v>
      </c>
      <c r="DQ6" s="15">
        <f t="shared" si="2"/>
        <v>6.5</v>
      </c>
      <c r="DR6" s="15">
        <f t="shared" si="2"/>
        <v>7</v>
      </c>
      <c r="DS6" s="15">
        <f t="shared" si="2"/>
        <v>7.5</v>
      </c>
      <c r="DT6" s="15">
        <f t="shared" si="2"/>
        <v>8</v>
      </c>
      <c r="DU6" s="15">
        <f t="shared" si="2"/>
        <v>8.5</v>
      </c>
      <c r="DV6" s="15">
        <f t="shared" si="2"/>
        <v>9</v>
      </c>
      <c r="DW6" s="15">
        <f t="shared" si="2"/>
        <v>9.5</v>
      </c>
      <c r="DX6" s="15">
        <f t="shared" si="2"/>
        <v>10</v>
      </c>
      <c r="DY6" s="15">
        <f t="shared" si="2"/>
        <v>10.5</v>
      </c>
      <c r="DZ6" s="15">
        <f t="shared" si="2"/>
        <v>11</v>
      </c>
      <c r="EA6" s="15">
        <f t="shared" si="2"/>
        <v>11.5</v>
      </c>
      <c r="EB6" s="15">
        <f t="shared" si="2"/>
        <v>12</v>
      </c>
      <c r="EC6" s="15">
        <f t="shared" si="2"/>
        <v>12.5</v>
      </c>
      <c r="ED6" s="15" t="s">
        <v>323</v>
      </c>
      <c r="EE6" s="15" t="s">
        <v>324</v>
      </c>
    </row>
    <row r="7" spans="1:137" ht="14.5" x14ac:dyDescent="0.35">
      <c r="A7" s="34" t="s">
        <v>327</v>
      </c>
      <c r="B7" s="15">
        <v>227</v>
      </c>
      <c r="C7" s="15">
        <v>306</v>
      </c>
      <c r="D7" s="15">
        <v>541</v>
      </c>
      <c r="E7" s="15">
        <v>1007</v>
      </c>
      <c r="F7" s="15">
        <v>2189</v>
      </c>
      <c r="G7" s="15">
        <v>4509</v>
      </c>
      <c r="H7" s="15">
        <v>7448</v>
      </c>
      <c r="I7" s="15">
        <v>8869</v>
      </c>
      <c r="J7" s="15">
        <v>10451</v>
      </c>
      <c r="K7" s="15">
        <v>11651</v>
      </c>
      <c r="L7" s="15">
        <v>12376</v>
      </c>
      <c r="M7" s="15">
        <v>12635</v>
      </c>
      <c r="N7" s="15">
        <v>12247</v>
      </c>
      <c r="O7" s="15">
        <v>10902</v>
      </c>
      <c r="P7" s="15">
        <v>9242</v>
      </c>
      <c r="Q7" s="15">
        <v>7522</v>
      </c>
      <c r="R7" s="15">
        <v>5256</v>
      </c>
      <c r="S7" s="15">
        <v>3641</v>
      </c>
      <c r="T7" s="15">
        <v>1996</v>
      </c>
      <c r="U7" s="15">
        <v>1057</v>
      </c>
      <c r="V7" s="15">
        <v>522</v>
      </c>
      <c r="W7" s="15">
        <v>250</v>
      </c>
      <c r="X7" s="15">
        <v>130</v>
      </c>
      <c r="Y7" s="15">
        <v>100</v>
      </c>
      <c r="Z7" s="15">
        <v>195</v>
      </c>
      <c r="AA7" s="15">
        <v>264</v>
      </c>
      <c r="AB7" s="15">
        <v>441</v>
      </c>
      <c r="AC7" s="15">
        <v>804</v>
      </c>
      <c r="AD7" s="15">
        <v>1627</v>
      </c>
      <c r="AE7" s="15">
        <v>3226</v>
      </c>
      <c r="AF7" s="15">
        <v>5017</v>
      </c>
      <c r="AG7" s="15">
        <v>5730</v>
      </c>
      <c r="AH7" s="15">
        <v>6269</v>
      </c>
      <c r="AI7" s="15">
        <v>6680</v>
      </c>
      <c r="AJ7" s="15">
        <v>6703</v>
      </c>
      <c r="AK7" s="15">
        <v>6507</v>
      </c>
      <c r="AL7" s="15">
        <v>5983</v>
      </c>
      <c r="AM7" s="15">
        <v>5187</v>
      </c>
      <c r="AN7" s="15">
        <v>4241</v>
      </c>
      <c r="AO7" s="15">
        <v>3217</v>
      </c>
      <c r="AP7" s="15">
        <v>2214</v>
      </c>
      <c r="AQ7" s="15">
        <v>1361</v>
      </c>
      <c r="AR7" s="15">
        <v>734</v>
      </c>
      <c r="AS7" s="15">
        <v>379</v>
      </c>
      <c r="AT7" s="15">
        <v>164</v>
      </c>
      <c r="AU7" s="15">
        <v>74</v>
      </c>
      <c r="AV7" s="15">
        <v>40</v>
      </c>
      <c r="AW7" s="15">
        <v>34</v>
      </c>
      <c r="AX7" s="172">
        <v>0.8590308370044053</v>
      </c>
      <c r="AY7" s="172">
        <v>0.86274509803921573</v>
      </c>
      <c r="AZ7" s="172">
        <v>0.81515711645101663</v>
      </c>
      <c r="BA7" s="172">
        <v>0.79841112214498511</v>
      </c>
      <c r="BB7" s="172">
        <v>0.7432617633622659</v>
      </c>
      <c r="BC7" s="172">
        <v>0.71545797294300284</v>
      </c>
      <c r="BD7" s="172">
        <v>0.67360365198711059</v>
      </c>
      <c r="BE7" s="172">
        <v>0.6460705829293043</v>
      </c>
      <c r="BF7" s="172">
        <v>0.5998469046024304</v>
      </c>
      <c r="BG7" s="172">
        <v>0.57334134409063597</v>
      </c>
      <c r="BH7" s="172">
        <v>0.54161279896574011</v>
      </c>
      <c r="BI7" s="172">
        <v>0.51499802136921247</v>
      </c>
      <c r="BJ7" s="172">
        <v>0.48852780272719848</v>
      </c>
      <c r="BK7" s="172">
        <v>0.47578425976884975</v>
      </c>
      <c r="BL7" s="172">
        <v>0.45888335858039386</v>
      </c>
      <c r="BM7" s="172">
        <v>0.42767880882743953</v>
      </c>
      <c r="BN7" s="172">
        <v>0.42123287671232879</v>
      </c>
      <c r="BO7" s="172">
        <v>0.37379840703103545</v>
      </c>
      <c r="BP7" s="172">
        <v>0.36773547094188375</v>
      </c>
      <c r="BQ7" s="172">
        <v>0.35856196783349104</v>
      </c>
      <c r="BR7" s="172">
        <v>0.31417624521072796</v>
      </c>
      <c r="BS7" s="172">
        <v>0.29599999999999999</v>
      </c>
      <c r="BT7" s="172">
        <v>0.30769230769230771</v>
      </c>
      <c r="BU7" s="172">
        <v>0.34</v>
      </c>
      <c r="BV7" s="15">
        <v>125074</v>
      </c>
      <c r="BW7" s="15">
        <v>67091</v>
      </c>
      <c r="BX7" s="172">
        <v>0.53641044501655022</v>
      </c>
      <c r="BZ7" s="15" t="s">
        <v>328</v>
      </c>
      <c r="CA7" s="34" t="s">
        <v>327</v>
      </c>
      <c r="DE7" s="34" t="s">
        <v>327</v>
      </c>
    </row>
    <row r="8" spans="1:137" ht="14.5" x14ac:dyDescent="0.35">
      <c r="A8" s="34" t="s">
        <v>329</v>
      </c>
      <c r="B8" s="15">
        <v>74</v>
      </c>
      <c r="C8" s="15">
        <v>137</v>
      </c>
      <c r="D8" s="15">
        <v>208</v>
      </c>
      <c r="E8" s="15">
        <v>366</v>
      </c>
      <c r="F8" s="15">
        <v>764</v>
      </c>
      <c r="G8" s="15">
        <v>1455</v>
      </c>
      <c r="H8" s="15">
        <v>2355</v>
      </c>
      <c r="I8" s="15">
        <v>2962</v>
      </c>
      <c r="J8" s="15">
        <v>3356</v>
      </c>
      <c r="K8" s="15">
        <v>3895</v>
      </c>
      <c r="L8" s="15">
        <v>4342</v>
      </c>
      <c r="M8" s="15">
        <v>4520</v>
      </c>
      <c r="N8" s="15">
        <v>4483</v>
      </c>
      <c r="O8" s="15">
        <v>4332</v>
      </c>
      <c r="P8" s="15">
        <v>3943</v>
      </c>
      <c r="Q8" s="15">
        <v>3259</v>
      </c>
      <c r="R8" s="15">
        <v>2562</v>
      </c>
      <c r="S8" s="15">
        <v>1797</v>
      </c>
      <c r="T8" s="15">
        <v>1114</v>
      </c>
      <c r="U8" s="15">
        <v>579</v>
      </c>
      <c r="V8" s="15">
        <v>307</v>
      </c>
      <c r="W8" s="15">
        <v>168</v>
      </c>
      <c r="X8" s="15">
        <v>79</v>
      </c>
      <c r="Y8" s="15">
        <v>42</v>
      </c>
      <c r="Z8" s="15">
        <v>44</v>
      </c>
      <c r="AA8" s="15">
        <v>84</v>
      </c>
      <c r="AB8" s="15">
        <v>128</v>
      </c>
      <c r="AC8" s="15">
        <v>222</v>
      </c>
      <c r="AD8" s="15">
        <v>518</v>
      </c>
      <c r="AE8" s="15">
        <v>949</v>
      </c>
      <c r="AF8" s="15">
        <v>1541</v>
      </c>
      <c r="AG8" s="15">
        <v>1978</v>
      </c>
      <c r="AH8" s="15">
        <v>2260</v>
      </c>
      <c r="AI8" s="15">
        <v>2517</v>
      </c>
      <c r="AJ8" s="15">
        <v>2840</v>
      </c>
      <c r="AK8" s="15">
        <v>2886</v>
      </c>
      <c r="AL8" s="15">
        <v>2732</v>
      </c>
      <c r="AM8" s="15">
        <v>2592</v>
      </c>
      <c r="AN8" s="15">
        <v>2280</v>
      </c>
      <c r="AO8" s="15">
        <v>1846</v>
      </c>
      <c r="AP8" s="15">
        <v>1393</v>
      </c>
      <c r="AQ8" s="15">
        <v>936</v>
      </c>
      <c r="AR8" s="15">
        <v>519</v>
      </c>
      <c r="AS8" s="15">
        <v>282</v>
      </c>
      <c r="AT8" s="15">
        <v>130</v>
      </c>
      <c r="AU8" s="15">
        <v>89</v>
      </c>
      <c r="AV8" s="15">
        <v>32</v>
      </c>
      <c r="AW8" s="15">
        <v>24</v>
      </c>
      <c r="AX8" s="172">
        <v>0.59459459459459463</v>
      </c>
      <c r="AY8" s="172">
        <v>0.61313868613138689</v>
      </c>
      <c r="AZ8" s="172">
        <v>0.61538461538461542</v>
      </c>
      <c r="BA8" s="172">
        <v>0.60655737704918034</v>
      </c>
      <c r="BB8" s="172">
        <v>0.67801047120418845</v>
      </c>
      <c r="BC8" s="172">
        <v>0.65223367697594503</v>
      </c>
      <c r="BD8" s="172">
        <v>0.65435244161358808</v>
      </c>
      <c r="BE8" s="172">
        <v>0.66779203241053342</v>
      </c>
      <c r="BF8" s="172">
        <v>0.67342073897497023</v>
      </c>
      <c r="BG8" s="172">
        <v>0.64621309370988445</v>
      </c>
      <c r="BH8" s="172">
        <v>0.65407646245969597</v>
      </c>
      <c r="BI8" s="172">
        <v>0.6384955752212389</v>
      </c>
      <c r="BJ8" s="172">
        <v>0.60941333928173103</v>
      </c>
      <c r="BK8" s="172">
        <v>0.5983379501385041</v>
      </c>
      <c r="BL8" s="172">
        <v>0.57823991884352022</v>
      </c>
      <c r="BM8" s="172">
        <v>0.56643142068119057</v>
      </c>
      <c r="BN8" s="172">
        <v>0.54371584699453557</v>
      </c>
      <c r="BO8" s="172">
        <v>0.52086811352253759</v>
      </c>
      <c r="BP8" s="172">
        <v>0.46588868940754041</v>
      </c>
      <c r="BQ8" s="172">
        <v>0.48704663212435234</v>
      </c>
      <c r="BR8" s="172">
        <v>0.42345276872964172</v>
      </c>
      <c r="BS8" s="172">
        <v>0.52976190476190477</v>
      </c>
      <c r="BT8" s="172">
        <v>0.4050632911392405</v>
      </c>
      <c r="BU8" s="172">
        <v>0.5714285714285714</v>
      </c>
      <c r="BV8" s="15">
        <v>47099</v>
      </c>
      <c r="BW8" s="15">
        <v>28822</v>
      </c>
      <c r="BX8" s="172">
        <v>0.61194505191193016</v>
      </c>
      <c r="BZ8" s="15" t="s">
        <v>330</v>
      </c>
      <c r="CA8" s="34" t="s">
        <v>329</v>
      </c>
      <c r="CB8" s="229"/>
      <c r="CC8" s="229"/>
      <c r="CD8" s="229"/>
      <c r="CE8" s="229"/>
      <c r="CF8" s="229"/>
      <c r="CG8" s="229"/>
      <c r="CH8" s="229"/>
      <c r="CI8" s="229"/>
      <c r="CJ8" s="229"/>
      <c r="CK8" s="229"/>
      <c r="CL8" s="229"/>
      <c r="CM8" s="229"/>
      <c r="CN8" s="229"/>
      <c r="CO8" s="229"/>
      <c r="CP8" s="229"/>
      <c r="CQ8" s="229"/>
      <c r="CR8" s="229"/>
      <c r="CS8" s="229"/>
      <c r="CT8" s="229"/>
      <c r="CU8" s="229"/>
      <c r="CV8" s="229"/>
      <c r="CW8" s="229"/>
      <c r="CX8" s="229"/>
      <c r="CY8" s="229"/>
      <c r="CZ8" s="229"/>
      <c r="DA8" s="229"/>
      <c r="DB8" s="229"/>
      <c r="DC8" s="229"/>
      <c r="DE8" s="34" t="s">
        <v>329</v>
      </c>
      <c r="DF8" s="229"/>
      <c r="DG8" s="229"/>
      <c r="DH8" s="229"/>
      <c r="DI8" s="229"/>
      <c r="DJ8" s="229"/>
      <c r="DK8" s="229"/>
      <c r="DL8" s="229"/>
      <c r="DM8" s="229"/>
      <c r="DN8" s="229"/>
      <c r="DO8" s="229"/>
      <c r="DP8" s="229"/>
      <c r="DQ8" s="229"/>
      <c r="DR8" s="229"/>
      <c r="DS8" s="229"/>
      <c r="DT8" s="229"/>
      <c r="DU8" s="229"/>
      <c r="DV8" s="229"/>
      <c r="DW8" s="229"/>
      <c r="DX8" s="229"/>
      <c r="DY8" s="229"/>
      <c r="DZ8" s="229"/>
      <c r="EA8" s="229"/>
      <c r="EB8" s="229"/>
      <c r="EC8" s="229"/>
      <c r="ED8" s="229" t="s">
        <v>331</v>
      </c>
      <c r="EE8" s="229"/>
      <c r="EF8" s="15" t="s">
        <v>332</v>
      </c>
    </row>
    <row r="9" spans="1:137" ht="14.5" x14ac:dyDescent="0.35">
      <c r="A9" s="34" t="s">
        <v>333</v>
      </c>
      <c r="B9" s="15">
        <v>62</v>
      </c>
      <c r="C9" s="15">
        <v>81</v>
      </c>
      <c r="D9" s="15">
        <v>121</v>
      </c>
      <c r="E9" s="15">
        <v>194</v>
      </c>
      <c r="F9" s="15">
        <v>441</v>
      </c>
      <c r="G9" s="15">
        <v>926</v>
      </c>
      <c r="H9" s="15">
        <v>1603</v>
      </c>
      <c r="I9" s="15">
        <v>1916</v>
      </c>
      <c r="J9" s="15">
        <v>2267</v>
      </c>
      <c r="K9" s="15">
        <v>2478</v>
      </c>
      <c r="L9" s="15">
        <v>2635</v>
      </c>
      <c r="M9" s="15">
        <v>2709</v>
      </c>
      <c r="N9" s="15">
        <v>2646</v>
      </c>
      <c r="O9" s="15">
        <v>2341</v>
      </c>
      <c r="P9" s="15">
        <v>2089</v>
      </c>
      <c r="Q9" s="15">
        <v>1611</v>
      </c>
      <c r="R9" s="15">
        <v>1181</v>
      </c>
      <c r="S9" s="15">
        <v>847</v>
      </c>
      <c r="T9" s="15">
        <v>441</v>
      </c>
      <c r="U9" s="15">
        <v>204</v>
      </c>
      <c r="V9" s="15">
        <v>110</v>
      </c>
      <c r="W9" s="15">
        <v>41</v>
      </c>
      <c r="X9" s="15">
        <v>20</v>
      </c>
      <c r="Y9" s="15">
        <v>8</v>
      </c>
      <c r="Z9" s="15">
        <v>50</v>
      </c>
      <c r="AA9" s="15">
        <v>64</v>
      </c>
      <c r="AB9" s="15">
        <v>92</v>
      </c>
      <c r="AC9" s="15">
        <v>153</v>
      </c>
      <c r="AD9" s="15">
        <v>304</v>
      </c>
      <c r="AE9" s="15">
        <v>614</v>
      </c>
      <c r="AF9" s="15">
        <v>988</v>
      </c>
      <c r="AG9" s="15">
        <v>1085</v>
      </c>
      <c r="AH9" s="15">
        <v>1173</v>
      </c>
      <c r="AI9" s="15">
        <v>1147</v>
      </c>
      <c r="AJ9" s="15">
        <v>1162</v>
      </c>
      <c r="AK9" s="15">
        <v>1130</v>
      </c>
      <c r="AL9" s="15">
        <v>1017</v>
      </c>
      <c r="AM9" s="15">
        <v>883</v>
      </c>
      <c r="AN9" s="15">
        <v>682</v>
      </c>
      <c r="AO9" s="15">
        <v>540</v>
      </c>
      <c r="AP9" s="15">
        <v>367</v>
      </c>
      <c r="AQ9" s="15">
        <v>244</v>
      </c>
      <c r="AR9" s="15">
        <v>125</v>
      </c>
      <c r="AS9" s="15">
        <v>54</v>
      </c>
      <c r="AT9" s="15">
        <v>24</v>
      </c>
      <c r="AU9" s="15">
        <v>4</v>
      </c>
      <c r="AV9" s="15">
        <v>6</v>
      </c>
      <c r="AW9" s="15">
        <v>0</v>
      </c>
      <c r="AX9" s="172">
        <v>0.80645161290322576</v>
      </c>
      <c r="AY9" s="172">
        <v>0.79012345679012341</v>
      </c>
      <c r="AZ9" s="172">
        <v>0.76033057851239672</v>
      </c>
      <c r="BA9" s="172">
        <v>0.78865979381443296</v>
      </c>
      <c r="BB9" s="172">
        <v>0.68934240362811794</v>
      </c>
      <c r="BC9" s="172">
        <v>0.66306695464362853</v>
      </c>
      <c r="BD9" s="172">
        <v>0.61634435433562074</v>
      </c>
      <c r="BE9" s="172">
        <v>0.56628392484342382</v>
      </c>
      <c r="BF9" s="172">
        <v>0.51742390824878692</v>
      </c>
      <c r="BG9" s="172">
        <v>0.46287328490718321</v>
      </c>
      <c r="BH9" s="172">
        <v>0.44098671726755218</v>
      </c>
      <c r="BI9" s="172">
        <v>0.41712809154669622</v>
      </c>
      <c r="BJ9" s="172">
        <v>0.38435374149659862</v>
      </c>
      <c r="BK9" s="172">
        <v>0.37718923536950022</v>
      </c>
      <c r="BL9" s="172">
        <v>0.32647199617041645</v>
      </c>
      <c r="BM9" s="172">
        <v>0.33519553072625696</v>
      </c>
      <c r="BN9" s="172">
        <v>0.3107535986452159</v>
      </c>
      <c r="BO9" s="172">
        <v>0.28807556080283353</v>
      </c>
      <c r="BP9" s="172">
        <v>0.28344671201814059</v>
      </c>
      <c r="BQ9" s="172">
        <v>0.26470588235294118</v>
      </c>
      <c r="BR9" s="172">
        <v>0.21818181818181817</v>
      </c>
      <c r="BS9" s="172">
        <v>9.7560975609756101E-2</v>
      </c>
      <c r="BT9" s="172">
        <v>0.3</v>
      </c>
      <c r="BU9" s="172">
        <v>0</v>
      </c>
      <c r="BV9" s="15">
        <v>26972</v>
      </c>
      <c r="BW9" s="15">
        <v>11908</v>
      </c>
      <c r="BX9" s="172">
        <v>0.44149488358297495</v>
      </c>
      <c r="CA9" s="34" t="s">
        <v>333</v>
      </c>
      <c r="CB9" s="172">
        <f t="shared" ref="CB9:CC9" si="3">+AX9</f>
        <v>0.80645161290322576</v>
      </c>
      <c r="CC9" s="172">
        <f t="shared" si="3"/>
        <v>0.79012345679012341</v>
      </c>
      <c r="CD9" s="172">
        <v>0.75700000000000001</v>
      </c>
      <c r="CE9" s="172">
        <v>0.72299999999999998</v>
      </c>
      <c r="CF9" s="172">
        <f t="shared" ref="CF9:CO9" si="4">+BB9</f>
        <v>0.68934240362811794</v>
      </c>
      <c r="CG9" s="172">
        <f t="shared" si="4"/>
        <v>0.66306695464362853</v>
      </c>
      <c r="CH9" s="172">
        <f t="shared" si="4"/>
        <v>0.61634435433562074</v>
      </c>
      <c r="CI9" s="172">
        <f t="shared" si="4"/>
        <v>0.56628392484342382</v>
      </c>
      <c r="CJ9" s="172">
        <f t="shared" si="4"/>
        <v>0.51742390824878692</v>
      </c>
      <c r="CK9" s="172">
        <f t="shared" si="4"/>
        <v>0.46287328490718321</v>
      </c>
      <c r="CL9" s="172">
        <f t="shared" si="4"/>
        <v>0.44098671726755218</v>
      </c>
      <c r="CM9" s="172">
        <f t="shared" si="4"/>
        <v>0.41712809154669622</v>
      </c>
      <c r="CN9" s="172">
        <f t="shared" si="4"/>
        <v>0.38435374149659862</v>
      </c>
      <c r="CO9" s="172">
        <f t="shared" si="4"/>
        <v>0.37718923536950022</v>
      </c>
      <c r="CP9" s="172">
        <v>0.36</v>
      </c>
      <c r="CQ9" s="172">
        <f t="shared" ref="CQ9:CU9" si="5">+BM9</f>
        <v>0.33519553072625696</v>
      </c>
      <c r="CR9" s="172">
        <f t="shared" si="5"/>
        <v>0.3107535986452159</v>
      </c>
      <c r="CS9" s="172">
        <f t="shared" si="5"/>
        <v>0.28807556080283353</v>
      </c>
      <c r="CT9" s="172">
        <f t="shared" si="5"/>
        <v>0.28344671201814059</v>
      </c>
      <c r="CU9" s="172">
        <f t="shared" si="5"/>
        <v>0.26470588235294118</v>
      </c>
      <c r="CV9" s="172">
        <v>0.25</v>
      </c>
      <c r="CW9" s="172">
        <v>0.24</v>
      </c>
      <c r="CX9" s="172">
        <v>0.23</v>
      </c>
      <c r="CY9" s="172">
        <v>0.22</v>
      </c>
      <c r="CZ9" s="33">
        <f t="shared" ref="CZ9:CZ12" si="6">SUMPRODUCT(CB9:CY9,B9:Y9)/SUM(B9:Y9)</f>
        <v>0.44396407385436759</v>
      </c>
      <c r="DA9" s="33">
        <f t="shared" ref="DA9:DA12" si="7">BX9</f>
        <v>0.44149488358297495</v>
      </c>
      <c r="DB9" s="229">
        <f t="shared" ref="DB9:DB20" si="8">SUMPRODUCT(CB9:CY9,B33:Y33)/SUM(B33:Y33)</f>
        <v>0.42159669617373341</v>
      </c>
      <c r="DC9" s="229">
        <f t="shared" ref="DC9:DC16" si="9">BX33</f>
        <v>0.43930635838150289</v>
      </c>
      <c r="DE9" s="34" t="s">
        <v>333</v>
      </c>
      <c r="DF9" s="172">
        <f t="shared" ref="DF9:EC9" si="10">CB9*$EF9</f>
        <v>0.8793126352350753</v>
      </c>
      <c r="DG9" s="172">
        <f t="shared" si="10"/>
        <v>0.86150926829945151</v>
      </c>
      <c r="DH9" s="172">
        <f t="shared" si="10"/>
        <v>0.82539318444246046</v>
      </c>
      <c r="DI9" s="172">
        <f t="shared" si="10"/>
        <v>0.78832136374094974</v>
      </c>
      <c r="DJ9" s="172">
        <f t="shared" si="10"/>
        <v>0.75162288203676642</v>
      </c>
      <c r="DK9" s="172">
        <f t="shared" si="10"/>
        <v>0.7229735075189816</v>
      </c>
      <c r="DL9" s="172">
        <f t="shared" si="10"/>
        <v>0.67202962924466347</v>
      </c>
      <c r="DM9" s="172">
        <f t="shared" si="10"/>
        <v>0.61744635670421211</v>
      </c>
      <c r="DN9" s="172">
        <f t="shared" si="10"/>
        <v>0.56417195156688205</v>
      </c>
      <c r="DO9" s="172">
        <f t="shared" si="10"/>
        <v>0.50469280663524729</v>
      </c>
      <c r="DP9" s="172">
        <f t="shared" si="10"/>
        <v>0.48082883865560355</v>
      </c>
      <c r="DQ9" s="172">
        <f t="shared" si="10"/>
        <v>0.45481464174654396</v>
      </c>
      <c r="DR9" s="172">
        <f t="shared" si="10"/>
        <v>0.41907920560931544</v>
      </c>
      <c r="DS9" s="172">
        <f t="shared" si="10"/>
        <v>0.41126740306347231</v>
      </c>
      <c r="DT9" s="172">
        <f t="shared" si="10"/>
        <v>0.39252516036893759</v>
      </c>
      <c r="DU9" s="172">
        <f t="shared" si="10"/>
        <v>0.36547966514798658</v>
      </c>
      <c r="DV9" s="172">
        <f t="shared" si="10"/>
        <v>0.33882946150954957</v>
      </c>
      <c r="DW9" s="172">
        <f t="shared" si="10"/>
        <v>0.31410251584028853</v>
      </c>
      <c r="DX9" s="172">
        <f t="shared" si="10"/>
        <v>0.30905546136380196</v>
      </c>
      <c r="DY9" s="172">
        <f t="shared" si="10"/>
        <v>0.28862144144774826</v>
      </c>
      <c r="DZ9" s="172">
        <f t="shared" si="10"/>
        <v>0.27258691692287335</v>
      </c>
      <c r="EA9" s="172">
        <f t="shared" si="10"/>
        <v>0.26168344024595841</v>
      </c>
      <c r="EB9" s="172">
        <f t="shared" si="10"/>
        <v>0.25077996356904347</v>
      </c>
      <c r="EC9" s="172">
        <f t="shared" si="10"/>
        <v>0.23987648689212854</v>
      </c>
      <c r="ED9" s="33">
        <f t="shared" ref="ED9:ED23" si="11">SUMPRODUCT(DF9:EC9,B31:Y31)/SUM(B31:Y31)</f>
        <v>0.43930635838150289</v>
      </c>
      <c r="EE9" s="33">
        <f t="shared" ref="EE9:EE23" si="12">DC9</f>
        <v>0.43930635838150289</v>
      </c>
      <c r="EF9" s="43">
        <v>1.0903476676914934</v>
      </c>
      <c r="EG9" s="172">
        <f>CY9*$DC9/$DB9</f>
        <v>0.22924135725224887</v>
      </c>
    </row>
    <row r="10" spans="1:137" ht="14.5" x14ac:dyDescent="0.35">
      <c r="A10" s="34" t="s">
        <v>334</v>
      </c>
      <c r="B10" s="15">
        <v>44</v>
      </c>
      <c r="C10" s="15">
        <v>61</v>
      </c>
      <c r="D10" s="15">
        <v>120</v>
      </c>
      <c r="E10" s="15">
        <v>188</v>
      </c>
      <c r="F10" s="15">
        <v>421</v>
      </c>
      <c r="G10" s="15">
        <v>991</v>
      </c>
      <c r="H10" s="15">
        <v>1623</v>
      </c>
      <c r="I10" s="15">
        <v>1883</v>
      </c>
      <c r="J10" s="15">
        <v>2213</v>
      </c>
      <c r="K10" s="15">
        <v>2532</v>
      </c>
      <c r="L10" s="15">
        <v>2704</v>
      </c>
      <c r="M10" s="15">
        <v>2801</v>
      </c>
      <c r="N10" s="15">
        <v>2670</v>
      </c>
      <c r="O10" s="15">
        <v>2436</v>
      </c>
      <c r="P10" s="15">
        <v>2007</v>
      </c>
      <c r="Q10" s="15">
        <v>1554</v>
      </c>
      <c r="R10" s="15">
        <v>1204</v>
      </c>
      <c r="S10" s="15">
        <v>776</v>
      </c>
      <c r="T10" s="15">
        <v>421</v>
      </c>
      <c r="U10" s="15">
        <v>224</v>
      </c>
      <c r="V10" s="15">
        <v>96</v>
      </c>
      <c r="W10" s="15">
        <v>49</v>
      </c>
      <c r="X10" s="15">
        <v>14</v>
      </c>
      <c r="Y10" s="15">
        <v>11</v>
      </c>
      <c r="Z10" s="15">
        <v>13</v>
      </c>
      <c r="AA10" s="15">
        <v>15</v>
      </c>
      <c r="AB10" s="15">
        <v>30</v>
      </c>
      <c r="AC10" s="15">
        <v>40</v>
      </c>
      <c r="AD10" s="15">
        <v>79</v>
      </c>
      <c r="AE10" s="15">
        <v>169</v>
      </c>
      <c r="AF10" s="15">
        <v>249</v>
      </c>
      <c r="AG10" s="15">
        <v>271</v>
      </c>
      <c r="AH10" s="15">
        <v>316</v>
      </c>
      <c r="AI10" s="15">
        <v>361</v>
      </c>
      <c r="AJ10" s="15">
        <v>327</v>
      </c>
      <c r="AK10" s="15">
        <v>311</v>
      </c>
      <c r="AL10" s="15">
        <v>296</v>
      </c>
      <c r="AM10" s="15">
        <v>247</v>
      </c>
      <c r="AN10" s="15">
        <v>204</v>
      </c>
      <c r="AO10" s="15">
        <v>171</v>
      </c>
      <c r="AP10" s="15">
        <v>116</v>
      </c>
      <c r="AQ10" s="15">
        <v>78</v>
      </c>
      <c r="AR10" s="15">
        <v>42</v>
      </c>
      <c r="AS10" s="15">
        <v>19</v>
      </c>
      <c r="AT10" s="15">
        <v>7</v>
      </c>
      <c r="AU10" s="15">
        <v>6</v>
      </c>
      <c r="AV10" s="15">
        <v>0</v>
      </c>
      <c r="AW10" s="15">
        <v>1</v>
      </c>
      <c r="AX10" s="172">
        <v>0.29545454545454547</v>
      </c>
      <c r="AY10" s="172">
        <v>0.24590163934426229</v>
      </c>
      <c r="AZ10" s="172">
        <v>0.25</v>
      </c>
      <c r="BA10" s="172">
        <v>0.21276595744680851</v>
      </c>
      <c r="BB10" s="172">
        <v>0.18764845605700711</v>
      </c>
      <c r="BC10" s="172">
        <v>0.17053481331987891</v>
      </c>
      <c r="BD10" s="172">
        <v>0.15341959334565619</v>
      </c>
      <c r="BE10" s="172">
        <v>0.14391927774827404</v>
      </c>
      <c r="BF10" s="172">
        <v>0.14279258924536828</v>
      </c>
      <c r="BG10" s="172">
        <v>0.14257503949447078</v>
      </c>
      <c r="BH10" s="172">
        <v>0.12093195266272189</v>
      </c>
      <c r="BI10" s="172">
        <v>0.11103177436629776</v>
      </c>
      <c r="BJ10" s="172">
        <v>0.11086142322097378</v>
      </c>
      <c r="BK10" s="172">
        <v>0.10139573070607553</v>
      </c>
      <c r="BL10" s="172">
        <v>0.10164424514200299</v>
      </c>
      <c r="BM10" s="172">
        <v>0.11003861003861004</v>
      </c>
      <c r="BN10" s="172">
        <v>9.634551495016612E-2</v>
      </c>
      <c r="BO10" s="172">
        <v>0.10051546391752578</v>
      </c>
      <c r="BP10" s="172">
        <v>9.9762470308788598E-2</v>
      </c>
      <c r="BQ10" s="172">
        <v>8.4821428571428575E-2</v>
      </c>
      <c r="BR10" s="172">
        <v>7.2916666666666671E-2</v>
      </c>
      <c r="BS10" s="172">
        <v>0.12244897959183673</v>
      </c>
      <c r="BT10" s="172">
        <v>0</v>
      </c>
      <c r="BU10" s="172">
        <v>9.0909090909090912E-2</v>
      </c>
      <c r="BV10" s="15">
        <v>27043</v>
      </c>
      <c r="BW10" s="15">
        <v>3368</v>
      </c>
      <c r="BX10" s="172">
        <v>0.12454239544429242</v>
      </c>
      <c r="CA10" s="34" t="s">
        <v>334</v>
      </c>
      <c r="CB10" s="172">
        <v>0.27</v>
      </c>
      <c r="CC10" s="172">
        <v>0.25</v>
      </c>
      <c r="CD10" s="172">
        <v>0.23</v>
      </c>
      <c r="CE10" s="172">
        <f t="shared" ref="CE10:CL10" si="13">+BA10</f>
        <v>0.21276595744680851</v>
      </c>
      <c r="CF10" s="172">
        <f t="shared" si="13"/>
        <v>0.18764845605700711</v>
      </c>
      <c r="CG10" s="172">
        <f t="shared" si="13"/>
        <v>0.17053481331987891</v>
      </c>
      <c r="CH10" s="172">
        <f t="shared" si="13"/>
        <v>0.15341959334565619</v>
      </c>
      <c r="CI10" s="172">
        <f t="shared" si="13"/>
        <v>0.14391927774827404</v>
      </c>
      <c r="CJ10" s="172">
        <f t="shared" si="13"/>
        <v>0.14279258924536828</v>
      </c>
      <c r="CK10" s="172">
        <f t="shared" si="13"/>
        <v>0.14257503949447078</v>
      </c>
      <c r="CL10" s="172">
        <f t="shared" si="13"/>
        <v>0.12093195266272189</v>
      </c>
      <c r="CM10" s="33">
        <f t="shared" ref="CM10:CY10" si="14">CL10-0.004</f>
        <v>0.11693195266272188</v>
      </c>
      <c r="CN10" s="33">
        <f t="shared" si="14"/>
        <v>0.11293195266272188</v>
      </c>
      <c r="CO10" s="33">
        <f t="shared" si="14"/>
        <v>0.10893195266272188</v>
      </c>
      <c r="CP10" s="33">
        <f t="shared" si="14"/>
        <v>0.10493195266272187</v>
      </c>
      <c r="CQ10" s="33">
        <f t="shared" si="14"/>
        <v>0.10093195266272187</v>
      </c>
      <c r="CR10" s="33">
        <f t="shared" si="14"/>
        <v>9.6931952662721865E-2</v>
      </c>
      <c r="CS10" s="33">
        <f t="shared" si="14"/>
        <v>9.2931952662721862E-2</v>
      </c>
      <c r="CT10" s="33">
        <f t="shared" si="14"/>
        <v>8.8931952662721858E-2</v>
      </c>
      <c r="CU10" s="33">
        <f t="shared" si="14"/>
        <v>8.4931952662721855E-2</v>
      </c>
      <c r="CV10" s="33">
        <f t="shared" si="14"/>
        <v>8.0931952662721851E-2</v>
      </c>
      <c r="CW10" s="33">
        <f t="shared" si="14"/>
        <v>7.6931952662721848E-2</v>
      </c>
      <c r="CX10" s="33">
        <f t="shared" si="14"/>
        <v>7.2931952662721844E-2</v>
      </c>
      <c r="CY10" s="33">
        <f t="shared" si="14"/>
        <v>6.893195266272184E-2</v>
      </c>
      <c r="CZ10" s="33">
        <f t="shared" si="6"/>
        <v>0.12525217027801658</v>
      </c>
      <c r="DA10" s="33">
        <f t="shared" si="7"/>
        <v>0.12454239544429242</v>
      </c>
      <c r="DB10" s="229">
        <f t="shared" si="8"/>
        <v>0.11536518072442685</v>
      </c>
      <c r="DC10" s="229">
        <f t="shared" si="9"/>
        <v>0.15706051873198848</v>
      </c>
      <c r="DE10" s="34" t="s">
        <v>334</v>
      </c>
      <c r="DF10" s="172">
        <f t="shared" ref="DF10:EC10" si="15">CB10*$EF10</f>
        <v>0.37164146410325855</v>
      </c>
      <c r="DG10" s="172">
        <f t="shared" si="15"/>
        <v>0.34411246676227641</v>
      </c>
      <c r="DH10" s="172">
        <f t="shared" si="15"/>
        <v>0.31658346942129434</v>
      </c>
      <c r="DI10" s="172">
        <f t="shared" si="15"/>
        <v>0.29286167384023526</v>
      </c>
      <c r="DJ10" s="172">
        <f t="shared" si="15"/>
        <v>0.25828869239163738</v>
      </c>
      <c r="DK10" s="172">
        <f t="shared" si="15"/>
        <v>0.23473262112139137</v>
      </c>
      <c r="DL10" s="172">
        <f t="shared" si="15"/>
        <v>0.21117437886335633</v>
      </c>
      <c r="DM10" s="172">
        <f t="shared" si="15"/>
        <v>0.1980976707224151</v>
      </c>
      <c r="DN10" s="172">
        <f t="shared" si="15"/>
        <v>0.19654684048238472</v>
      </c>
      <c r="DO10" s="172">
        <f t="shared" si="15"/>
        <v>0.1962473941566853</v>
      </c>
      <c r="DP10" s="172">
        <f t="shared" si="15"/>
        <v>0.16645677016459229</v>
      </c>
      <c r="DQ10" s="172">
        <f t="shared" si="15"/>
        <v>0.16095097069639586</v>
      </c>
      <c r="DR10" s="172">
        <f t="shared" si="15"/>
        <v>0.15544517122819942</v>
      </c>
      <c r="DS10" s="172">
        <f t="shared" si="15"/>
        <v>0.14993937176000299</v>
      </c>
      <c r="DT10" s="172">
        <f t="shared" si="15"/>
        <v>0.14443357229180656</v>
      </c>
      <c r="DU10" s="172">
        <f t="shared" si="15"/>
        <v>0.13892777282361013</v>
      </c>
      <c r="DV10" s="172">
        <f t="shared" si="15"/>
        <v>0.13342197335541373</v>
      </c>
      <c r="DW10" s="172">
        <f t="shared" si="15"/>
        <v>0.12791617388721729</v>
      </c>
      <c r="DX10" s="172">
        <f t="shared" si="15"/>
        <v>0.12241037441902086</v>
      </c>
      <c r="DY10" s="172">
        <f t="shared" si="15"/>
        <v>0.11690457495082443</v>
      </c>
      <c r="DZ10" s="172">
        <f t="shared" si="15"/>
        <v>0.111398775482628</v>
      </c>
      <c r="EA10" s="172">
        <f t="shared" si="15"/>
        <v>0.10589297601443158</v>
      </c>
      <c r="EB10" s="172">
        <f t="shared" si="15"/>
        <v>0.10038717654623515</v>
      </c>
      <c r="EC10" s="172">
        <f t="shared" si="15"/>
        <v>9.4881377078038717E-2</v>
      </c>
      <c r="ED10" s="33">
        <f t="shared" si="11"/>
        <v>0.15706051873198842</v>
      </c>
      <c r="EE10" s="33">
        <f t="shared" si="12"/>
        <v>0.15706051873198848</v>
      </c>
      <c r="EF10" s="43">
        <v>1.3764498670491057</v>
      </c>
    </row>
    <row r="11" spans="1:137" ht="14.5" x14ac:dyDescent="0.35">
      <c r="A11" s="34" t="s">
        <v>335</v>
      </c>
      <c r="B11" s="15">
        <v>111</v>
      </c>
      <c r="C11" s="15">
        <v>168</v>
      </c>
      <c r="D11" s="15">
        <v>238</v>
      </c>
      <c r="E11" s="15">
        <v>449</v>
      </c>
      <c r="F11" s="15">
        <v>949</v>
      </c>
      <c r="G11" s="15">
        <v>1938</v>
      </c>
      <c r="H11" s="15">
        <v>3180</v>
      </c>
      <c r="I11" s="15">
        <v>3811</v>
      </c>
      <c r="J11" s="15">
        <v>4446</v>
      </c>
      <c r="K11" s="15">
        <v>5057</v>
      </c>
      <c r="L11" s="15">
        <v>5587</v>
      </c>
      <c r="M11" s="15">
        <v>5722</v>
      </c>
      <c r="N11" s="15">
        <v>5632</v>
      </c>
      <c r="O11" s="15">
        <v>5225</v>
      </c>
      <c r="P11" s="15">
        <v>4666</v>
      </c>
      <c r="Q11" s="15">
        <v>3909</v>
      </c>
      <c r="R11" s="15">
        <v>2799</v>
      </c>
      <c r="S11" s="15">
        <v>1982</v>
      </c>
      <c r="T11" s="15">
        <v>1132</v>
      </c>
      <c r="U11" s="15">
        <v>605</v>
      </c>
      <c r="V11" s="15">
        <v>293</v>
      </c>
      <c r="W11" s="15">
        <v>147</v>
      </c>
      <c r="X11" s="15">
        <v>69</v>
      </c>
      <c r="Y11" s="15">
        <v>51</v>
      </c>
      <c r="Z11" s="15">
        <v>74</v>
      </c>
      <c r="AA11" s="15">
        <v>116</v>
      </c>
      <c r="AB11" s="15">
        <v>166</v>
      </c>
      <c r="AC11" s="15">
        <v>270</v>
      </c>
      <c r="AD11" s="15">
        <v>588</v>
      </c>
      <c r="AE11" s="15">
        <v>1093</v>
      </c>
      <c r="AF11" s="15">
        <v>1786</v>
      </c>
      <c r="AG11" s="15">
        <v>1909</v>
      </c>
      <c r="AH11" s="15">
        <v>2163</v>
      </c>
      <c r="AI11" s="15">
        <v>2301</v>
      </c>
      <c r="AJ11" s="15">
        <v>2491</v>
      </c>
      <c r="AK11" s="15">
        <v>2390</v>
      </c>
      <c r="AL11" s="15">
        <v>2256</v>
      </c>
      <c r="AM11" s="15">
        <v>2009</v>
      </c>
      <c r="AN11" s="15">
        <v>1810</v>
      </c>
      <c r="AO11" s="15">
        <v>1479</v>
      </c>
      <c r="AP11" s="15">
        <v>1007</v>
      </c>
      <c r="AQ11" s="15">
        <v>691</v>
      </c>
      <c r="AR11" s="15">
        <v>440</v>
      </c>
      <c r="AS11" s="15">
        <v>191</v>
      </c>
      <c r="AT11" s="15">
        <v>119</v>
      </c>
      <c r="AU11" s="15">
        <v>50</v>
      </c>
      <c r="AV11" s="15">
        <v>14</v>
      </c>
      <c r="AW11" s="15">
        <v>19</v>
      </c>
      <c r="AX11" s="172">
        <v>0.66666666666666663</v>
      </c>
      <c r="AY11" s="172">
        <v>0.69047619047619047</v>
      </c>
      <c r="AZ11" s="172">
        <v>0.69747899159663862</v>
      </c>
      <c r="BA11" s="172">
        <v>0.60133630289532292</v>
      </c>
      <c r="BB11" s="172">
        <v>0.61959957850368808</v>
      </c>
      <c r="BC11" s="172">
        <v>0.56398348813209498</v>
      </c>
      <c r="BD11" s="172">
        <v>0.56163522012578615</v>
      </c>
      <c r="BE11" s="172">
        <v>0.50091839412227757</v>
      </c>
      <c r="BF11" s="172">
        <v>0.48650472334682859</v>
      </c>
      <c r="BG11" s="172">
        <v>0.45501285347043702</v>
      </c>
      <c r="BH11" s="172">
        <v>0.44585645247896905</v>
      </c>
      <c r="BI11" s="172">
        <v>0.41768612373296049</v>
      </c>
      <c r="BJ11" s="172">
        <v>0.40056818181818182</v>
      </c>
      <c r="BK11" s="172">
        <v>0.38449760765550239</v>
      </c>
      <c r="BL11" s="172">
        <v>0.387912558936991</v>
      </c>
      <c r="BM11" s="172">
        <v>0.37835763622409824</v>
      </c>
      <c r="BN11" s="172">
        <v>0.3597713469096106</v>
      </c>
      <c r="BO11" s="172">
        <v>0.34863773965691219</v>
      </c>
      <c r="BP11" s="172">
        <v>0.38869257950530034</v>
      </c>
      <c r="BQ11" s="172">
        <v>0.31570247933884299</v>
      </c>
      <c r="BR11" s="172">
        <v>0.4061433447098976</v>
      </c>
      <c r="BS11" s="172">
        <v>0.3401360544217687</v>
      </c>
      <c r="BT11" s="172">
        <v>0.20289855072463769</v>
      </c>
      <c r="BU11" s="172">
        <v>0.37254901960784315</v>
      </c>
      <c r="BV11" s="15">
        <v>58166</v>
      </c>
      <c r="BW11" s="15">
        <v>25432</v>
      </c>
      <c r="BX11" s="172">
        <v>0.43723137227933845</v>
      </c>
      <c r="CA11" s="34" t="s">
        <v>335</v>
      </c>
      <c r="CB11" s="172">
        <v>0.7</v>
      </c>
      <c r="CC11" s="172">
        <v>0.68</v>
      </c>
      <c r="CD11" s="172">
        <v>0.66</v>
      </c>
      <c r="CE11" s="172">
        <v>0.64</v>
      </c>
      <c r="CF11" s="172">
        <f>+BB11</f>
        <v>0.61959957850368808</v>
      </c>
      <c r="CG11" s="172">
        <v>0.57999999999999996</v>
      </c>
      <c r="CH11" s="172">
        <v>0.54</v>
      </c>
      <c r="CI11" s="172">
        <f t="shared" ref="CI11:CO11" si="16">+BE11</f>
        <v>0.50091839412227757</v>
      </c>
      <c r="CJ11" s="172">
        <f t="shared" si="16"/>
        <v>0.48650472334682859</v>
      </c>
      <c r="CK11" s="172">
        <f t="shared" si="16"/>
        <v>0.45501285347043702</v>
      </c>
      <c r="CL11" s="172">
        <f t="shared" si="16"/>
        <v>0.44585645247896905</v>
      </c>
      <c r="CM11" s="172">
        <f t="shared" si="16"/>
        <v>0.41768612373296049</v>
      </c>
      <c r="CN11" s="172">
        <f t="shared" si="16"/>
        <v>0.40056818181818182</v>
      </c>
      <c r="CO11" s="172">
        <f t="shared" si="16"/>
        <v>0.38449760765550239</v>
      </c>
      <c r="CP11" s="33">
        <f t="shared" ref="CP11:CY11" si="17">+CO11-0.005</f>
        <v>0.37949760765550239</v>
      </c>
      <c r="CQ11" s="33">
        <f t="shared" si="17"/>
        <v>0.37449760765550238</v>
      </c>
      <c r="CR11" s="33">
        <f t="shared" si="17"/>
        <v>0.36949760765550238</v>
      </c>
      <c r="CS11" s="33">
        <f t="shared" si="17"/>
        <v>0.36449760765550238</v>
      </c>
      <c r="CT11" s="33">
        <f t="shared" si="17"/>
        <v>0.35949760765550237</v>
      </c>
      <c r="CU11" s="33">
        <f t="shared" si="17"/>
        <v>0.35449760765550237</v>
      </c>
      <c r="CV11" s="33">
        <f t="shared" si="17"/>
        <v>0.34949760765550236</v>
      </c>
      <c r="CW11" s="33">
        <f t="shared" si="17"/>
        <v>0.34449760765550236</v>
      </c>
      <c r="CX11" s="33">
        <f t="shared" si="17"/>
        <v>0.33949760765550235</v>
      </c>
      <c r="CY11" s="33">
        <f t="shared" si="17"/>
        <v>0.33449760765550235</v>
      </c>
      <c r="CZ11" s="33">
        <f t="shared" si="6"/>
        <v>0.43652436221558261</v>
      </c>
      <c r="DA11" s="33">
        <f t="shared" si="7"/>
        <v>0.43723137227933845</v>
      </c>
      <c r="DB11" s="229">
        <f t="shared" si="8"/>
        <v>0.41765251491919497</v>
      </c>
      <c r="DC11" s="229">
        <f t="shared" si="9"/>
        <v>0.36041009463722395</v>
      </c>
      <c r="DE11" s="34" t="s">
        <v>335</v>
      </c>
      <c r="DF11" s="172">
        <f t="shared" ref="DF11:EC11" si="18">CB11*$EF11</f>
        <v>0.58994080435209173</v>
      </c>
      <c r="DG11" s="172">
        <f t="shared" si="18"/>
        <v>0.57308535279917494</v>
      </c>
      <c r="DH11" s="172">
        <f t="shared" si="18"/>
        <v>0.55622990124625804</v>
      </c>
      <c r="DI11" s="172">
        <f t="shared" si="18"/>
        <v>0.53937444969334114</v>
      </c>
      <c r="DJ11" s="172">
        <f t="shared" si="18"/>
        <v>0.52218153388383259</v>
      </c>
      <c r="DK11" s="172">
        <f t="shared" si="18"/>
        <v>0.48880809503459033</v>
      </c>
      <c r="DL11" s="172">
        <f t="shared" si="18"/>
        <v>0.45509719192875658</v>
      </c>
      <c r="DM11" s="172">
        <f t="shared" si="18"/>
        <v>0.4221602862046494</v>
      </c>
      <c r="DN11" s="172">
        <f t="shared" si="18"/>
        <v>0.41001283973188568</v>
      </c>
      <c r="DO11" s="172">
        <f t="shared" si="18"/>
        <v>0.38347235538127156</v>
      </c>
      <c r="DP11" s="172">
        <f t="shared" si="18"/>
        <v>0.37575559171573314</v>
      </c>
      <c r="DQ11" s="172">
        <f t="shared" si="18"/>
        <v>0.35201441114532867</v>
      </c>
      <c r="DR11" s="172">
        <f t="shared" si="18"/>
        <v>0.33758787911381877</v>
      </c>
      <c r="DS11" s="172">
        <f t="shared" si="18"/>
        <v>0.3240440399024887</v>
      </c>
      <c r="DT11" s="172">
        <f t="shared" si="18"/>
        <v>0.31983017701425948</v>
      </c>
      <c r="DU11" s="172">
        <f t="shared" si="18"/>
        <v>0.31561631412603025</v>
      </c>
      <c r="DV11" s="172">
        <f t="shared" si="18"/>
        <v>0.31140245123780103</v>
      </c>
      <c r="DW11" s="172">
        <f t="shared" si="18"/>
        <v>0.3071885883495718</v>
      </c>
      <c r="DX11" s="172">
        <f t="shared" si="18"/>
        <v>0.30297472546134258</v>
      </c>
      <c r="DY11" s="172">
        <f t="shared" si="18"/>
        <v>0.29876086257311335</v>
      </c>
      <c r="DZ11" s="172">
        <f t="shared" si="18"/>
        <v>0.29454699968488407</v>
      </c>
      <c r="EA11" s="172">
        <f t="shared" si="18"/>
        <v>0.29033313679665484</v>
      </c>
      <c r="EB11" s="172">
        <f t="shared" si="18"/>
        <v>0.28611927390842562</v>
      </c>
      <c r="EC11" s="172">
        <f t="shared" si="18"/>
        <v>0.28190541102019639</v>
      </c>
      <c r="ED11" s="33">
        <f t="shared" si="11"/>
        <v>0.36041009463722401</v>
      </c>
      <c r="EE11" s="33">
        <f t="shared" si="12"/>
        <v>0.36041009463722395</v>
      </c>
      <c r="EF11" s="43">
        <v>0.84277257764584546</v>
      </c>
    </row>
    <row r="12" spans="1:137" ht="14.5" x14ac:dyDescent="0.35">
      <c r="A12" s="34" t="s">
        <v>336</v>
      </c>
      <c r="B12" s="15">
        <v>120</v>
      </c>
      <c r="C12" s="15">
        <v>171</v>
      </c>
      <c r="D12" s="15">
        <v>261</v>
      </c>
      <c r="E12" s="15">
        <v>456</v>
      </c>
      <c r="F12" s="15">
        <v>934</v>
      </c>
      <c r="G12" s="15">
        <v>2121</v>
      </c>
      <c r="H12" s="15">
        <v>3359</v>
      </c>
      <c r="I12" s="15">
        <v>4060</v>
      </c>
      <c r="J12" s="15">
        <v>4696</v>
      </c>
      <c r="K12" s="15">
        <v>5674</v>
      </c>
      <c r="L12" s="15">
        <v>5939</v>
      </c>
      <c r="M12" s="15">
        <v>6176</v>
      </c>
      <c r="N12" s="15">
        <v>6128</v>
      </c>
      <c r="O12" s="15">
        <v>5620</v>
      </c>
      <c r="P12" s="15">
        <v>4927</v>
      </c>
      <c r="Q12" s="15">
        <v>4128</v>
      </c>
      <c r="R12" s="15">
        <v>3106</v>
      </c>
      <c r="S12" s="15">
        <v>2098</v>
      </c>
      <c r="T12" s="15">
        <v>1272</v>
      </c>
      <c r="U12" s="15">
        <v>660</v>
      </c>
      <c r="V12" s="15">
        <v>338</v>
      </c>
      <c r="W12" s="15">
        <v>166</v>
      </c>
      <c r="X12" s="15">
        <v>74</v>
      </c>
      <c r="Y12" s="15">
        <v>57</v>
      </c>
      <c r="Z12" s="15">
        <v>71</v>
      </c>
      <c r="AA12" s="15">
        <v>103</v>
      </c>
      <c r="AB12" s="15">
        <v>155</v>
      </c>
      <c r="AC12" s="15">
        <v>246</v>
      </c>
      <c r="AD12" s="15">
        <v>523</v>
      </c>
      <c r="AE12" s="15">
        <v>1100</v>
      </c>
      <c r="AF12" s="15">
        <v>1708</v>
      </c>
      <c r="AG12" s="15">
        <v>1850</v>
      </c>
      <c r="AH12" s="15">
        <v>2064</v>
      </c>
      <c r="AI12" s="15">
        <v>2377</v>
      </c>
      <c r="AJ12" s="15">
        <v>2341</v>
      </c>
      <c r="AK12" s="15">
        <v>2283</v>
      </c>
      <c r="AL12" s="15">
        <v>2247</v>
      </c>
      <c r="AM12" s="15">
        <v>1940</v>
      </c>
      <c r="AN12" s="15">
        <v>1689</v>
      </c>
      <c r="AO12" s="15">
        <v>1351</v>
      </c>
      <c r="AP12" s="15">
        <v>932</v>
      </c>
      <c r="AQ12" s="15">
        <v>627</v>
      </c>
      <c r="AR12" s="15">
        <v>370</v>
      </c>
      <c r="AS12" s="15">
        <v>179</v>
      </c>
      <c r="AT12" s="15">
        <v>91</v>
      </c>
      <c r="AU12" s="15">
        <v>43</v>
      </c>
      <c r="AV12" s="15">
        <v>22</v>
      </c>
      <c r="AW12" s="15">
        <v>18</v>
      </c>
      <c r="AX12" s="172">
        <v>0.59166666666666667</v>
      </c>
      <c r="AY12" s="172">
        <v>0.60233918128654973</v>
      </c>
      <c r="AZ12" s="172">
        <v>0.5938697318007663</v>
      </c>
      <c r="BA12" s="172">
        <v>0.53947368421052633</v>
      </c>
      <c r="BB12" s="172">
        <v>0.55995717344753748</v>
      </c>
      <c r="BC12" s="172">
        <v>0.51862329090051862</v>
      </c>
      <c r="BD12" s="172">
        <v>0.50848466805596904</v>
      </c>
      <c r="BE12" s="172">
        <v>0.45566502463054187</v>
      </c>
      <c r="BF12" s="172">
        <v>0.4395229982964225</v>
      </c>
      <c r="BG12" s="172">
        <v>0.41892844554106451</v>
      </c>
      <c r="BH12" s="172">
        <v>0.39417410338440817</v>
      </c>
      <c r="BI12" s="172">
        <v>0.36965673575129532</v>
      </c>
      <c r="BJ12" s="172">
        <v>0.36667754569190603</v>
      </c>
      <c r="BK12" s="172">
        <v>0.34519572953736655</v>
      </c>
      <c r="BL12" s="172">
        <v>0.34280495230363306</v>
      </c>
      <c r="BM12" s="172">
        <v>0.32727713178294576</v>
      </c>
      <c r="BN12" s="172">
        <v>0.30006439150032194</v>
      </c>
      <c r="BO12" s="172">
        <v>0.29885605338417542</v>
      </c>
      <c r="BP12" s="172">
        <v>0.29088050314465408</v>
      </c>
      <c r="BQ12" s="172">
        <v>0.27121212121212124</v>
      </c>
      <c r="BR12" s="172">
        <v>0.26923076923076922</v>
      </c>
      <c r="BS12" s="172">
        <v>0.25903614457831325</v>
      </c>
      <c r="BT12" s="172">
        <v>0.29729729729729731</v>
      </c>
      <c r="BU12" s="172">
        <v>0.31578947368421051</v>
      </c>
      <c r="BV12" s="15">
        <v>62541</v>
      </c>
      <c r="BW12" s="15">
        <v>24330</v>
      </c>
      <c r="BX12" s="172">
        <v>0.38902479973137621</v>
      </c>
      <c r="CA12" s="34" t="s">
        <v>336</v>
      </c>
      <c r="CB12" s="172">
        <v>0.6</v>
      </c>
      <c r="CC12" s="172">
        <v>0.59</v>
      </c>
      <c r="CD12" s="172">
        <v>0.57999999999999996</v>
      </c>
      <c r="CE12" s="172">
        <v>0.56999999999999995</v>
      </c>
      <c r="CF12" s="172">
        <v>0.55000000000000004</v>
      </c>
      <c r="CG12" s="172">
        <v>0.53</v>
      </c>
      <c r="CH12" s="172">
        <f t="shared" ref="CH12:CT12" si="19">+BD12</f>
        <v>0.50848466805596904</v>
      </c>
      <c r="CI12" s="172">
        <f t="shared" si="19"/>
        <v>0.45566502463054187</v>
      </c>
      <c r="CJ12" s="172">
        <f t="shared" si="19"/>
        <v>0.4395229982964225</v>
      </c>
      <c r="CK12" s="172">
        <f t="shared" si="19"/>
        <v>0.41892844554106451</v>
      </c>
      <c r="CL12" s="172">
        <f t="shared" si="19"/>
        <v>0.39417410338440817</v>
      </c>
      <c r="CM12" s="172">
        <f t="shared" si="19"/>
        <v>0.36965673575129532</v>
      </c>
      <c r="CN12" s="172">
        <f t="shared" si="19"/>
        <v>0.36667754569190603</v>
      </c>
      <c r="CO12" s="172">
        <f t="shared" si="19"/>
        <v>0.34519572953736655</v>
      </c>
      <c r="CP12" s="172">
        <f t="shared" si="19"/>
        <v>0.34280495230363306</v>
      </c>
      <c r="CQ12" s="172">
        <f t="shared" si="19"/>
        <v>0.32727713178294576</v>
      </c>
      <c r="CR12" s="172">
        <f t="shared" si="19"/>
        <v>0.30006439150032194</v>
      </c>
      <c r="CS12" s="172">
        <f t="shared" si="19"/>
        <v>0.29885605338417542</v>
      </c>
      <c r="CT12" s="33">
        <f t="shared" si="19"/>
        <v>0.29088050314465408</v>
      </c>
      <c r="CU12" s="33">
        <v>0.28000000000000003</v>
      </c>
      <c r="CV12" s="33">
        <f t="shared" ref="CV12:CW12" si="20">+BR12</f>
        <v>0.26923076923076922</v>
      </c>
      <c r="CW12" s="33">
        <f t="shared" si="20"/>
        <v>0.25903614457831325</v>
      </c>
      <c r="CX12" s="172">
        <v>0.24</v>
      </c>
      <c r="CY12" s="172">
        <v>0.23</v>
      </c>
      <c r="CZ12" s="33">
        <f t="shared" si="6"/>
        <v>0.38935562271150126</v>
      </c>
      <c r="DA12" s="33">
        <f t="shared" si="7"/>
        <v>0.38902479973137621</v>
      </c>
      <c r="DB12" s="229">
        <f t="shared" si="8"/>
        <v>0.36873785687555227</v>
      </c>
      <c r="DC12" s="229">
        <f t="shared" si="9"/>
        <v>0.57046476761619191</v>
      </c>
      <c r="DE12" s="34" t="s">
        <v>336</v>
      </c>
      <c r="DF12" s="172">
        <f t="shared" ref="DF12:EC12" si="21">CB12*$EF12</f>
        <v>0.93856657210717309</v>
      </c>
      <c r="DG12" s="172">
        <f t="shared" si="21"/>
        <v>0.92292379590538687</v>
      </c>
      <c r="DH12" s="172">
        <f t="shared" si="21"/>
        <v>0.90728101970360064</v>
      </c>
      <c r="DI12" s="172">
        <f t="shared" si="21"/>
        <v>0.89163824350181442</v>
      </c>
      <c r="DJ12" s="172">
        <f t="shared" si="21"/>
        <v>0.86035269109824208</v>
      </c>
      <c r="DK12" s="172">
        <f t="shared" si="21"/>
        <v>0.82906713869466964</v>
      </c>
      <c r="DL12" s="172">
        <f t="shared" si="21"/>
        <v>0.79541118644390774</v>
      </c>
      <c r="DM12" s="172">
        <f t="shared" si="21"/>
        <v>0.71278660032769714</v>
      </c>
      <c r="DN12" s="172">
        <f t="shared" si="21"/>
        <v>0.68753598978890029</v>
      </c>
      <c r="DO12" s="172">
        <f t="shared" si="21"/>
        <v>0.6553203918161058</v>
      </c>
      <c r="DP12" s="172">
        <f t="shared" si="21"/>
        <v>0.61659772837820415</v>
      </c>
      <c r="DQ12" s="172">
        <f t="shared" si="21"/>
        <v>0.57824575888403396</v>
      </c>
      <c r="DR12" s="172">
        <f t="shared" si="21"/>
        <v>0.57358547854787267</v>
      </c>
      <c r="DS12" s="172">
        <f t="shared" si="21"/>
        <v>0.53998195429653495</v>
      </c>
      <c r="DT12" s="172">
        <f t="shared" si="21"/>
        <v>0.53624211497497309</v>
      </c>
      <c r="DU12" s="172">
        <f t="shared" si="21"/>
        <v>0.51195229284431165</v>
      </c>
      <c r="DV12" s="172">
        <f t="shared" si="21"/>
        <v>0.46938401223646992</v>
      </c>
      <c r="DW12" s="172">
        <f t="shared" si="21"/>
        <v>0.46749383596377314</v>
      </c>
      <c r="DX12" s="172">
        <f t="shared" si="21"/>
        <v>0.45501786121547966</v>
      </c>
      <c r="DY12" s="172">
        <f t="shared" si="21"/>
        <v>0.43799773365001421</v>
      </c>
      <c r="DZ12" s="172">
        <f t="shared" si="21"/>
        <v>0.4211516669711674</v>
      </c>
      <c r="EA12" s="172">
        <f t="shared" si="21"/>
        <v>0.40520444378120929</v>
      </c>
      <c r="EB12" s="172">
        <f t="shared" si="21"/>
        <v>0.37542662884286926</v>
      </c>
      <c r="EC12" s="172">
        <f t="shared" si="21"/>
        <v>0.35978385264108304</v>
      </c>
      <c r="ED12" s="33">
        <f t="shared" si="11"/>
        <v>0.5704647676161918</v>
      </c>
      <c r="EE12" s="33">
        <f t="shared" si="12"/>
        <v>0.57046476761619191</v>
      </c>
      <c r="EF12" s="43">
        <v>1.5642776201786219</v>
      </c>
    </row>
    <row r="13" spans="1:137" ht="14.5" x14ac:dyDescent="0.35">
      <c r="A13" s="34" t="s">
        <v>337</v>
      </c>
      <c r="B13" s="15">
        <v>16</v>
      </c>
      <c r="C13" s="15">
        <v>26</v>
      </c>
      <c r="D13" s="15">
        <v>49</v>
      </c>
      <c r="E13" s="15">
        <v>95</v>
      </c>
      <c r="F13" s="15">
        <v>153</v>
      </c>
      <c r="G13" s="15">
        <v>348</v>
      </c>
      <c r="H13" s="15">
        <v>539</v>
      </c>
      <c r="I13" s="15">
        <v>626</v>
      </c>
      <c r="J13" s="15">
        <v>698</v>
      </c>
      <c r="K13" s="15">
        <v>847</v>
      </c>
      <c r="L13" s="15">
        <v>917</v>
      </c>
      <c r="M13" s="15">
        <v>1017</v>
      </c>
      <c r="N13" s="15">
        <v>1094</v>
      </c>
      <c r="O13" s="15">
        <v>1056</v>
      </c>
      <c r="P13" s="15">
        <v>1001</v>
      </c>
      <c r="Q13" s="15">
        <v>900</v>
      </c>
      <c r="R13" s="15">
        <v>770</v>
      </c>
      <c r="S13" s="15">
        <v>555</v>
      </c>
      <c r="T13" s="15">
        <v>382</v>
      </c>
      <c r="U13" s="15">
        <v>228</v>
      </c>
      <c r="V13" s="15">
        <v>116</v>
      </c>
      <c r="W13" s="15">
        <v>70</v>
      </c>
      <c r="X13" s="15">
        <v>26</v>
      </c>
      <c r="Y13" s="15">
        <v>19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72">
        <v>0</v>
      </c>
      <c r="AY13" s="172">
        <v>0</v>
      </c>
      <c r="AZ13" s="172">
        <v>0</v>
      </c>
      <c r="BA13" s="172">
        <v>0</v>
      </c>
      <c r="BB13" s="172">
        <v>0</v>
      </c>
      <c r="BC13" s="172">
        <v>0</v>
      </c>
      <c r="BD13" s="172">
        <v>0</v>
      </c>
      <c r="BE13" s="172">
        <v>0</v>
      </c>
      <c r="BF13" s="172">
        <v>0</v>
      </c>
      <c r="BG13" s="172">
        <v>0</v>
      </c>
      <c r="BH13" s="172">
        <v>0</v>
      </c>
      <c r="BI13" s="172">
        <v>0</v>
      </c>
      <c r="BJ13" s="172">
        <v>0</v>
      </c>
      <c r="BK13" s="172">
        <v>0</v>
      </c>
      <c r="BL13" s="172">
        <v>0</v>
      </c>
      <c r="BM13" s="172">
        <v>0</v>
      </c>
      <c r="BN13" s="172">
        <v>0</v>
      </c>
      <c r="BO13" s="172">
        <v>0</v>
      </c>
      <c r="BP13" s="172">
        <v>0</v>
      </c>
      <c r="BQ13" s="172">
        <v>0</v>
      </c>
      <c r="BR13" s="172">
        <v>0</v>
      </c>
      <c r="BS13" s="172">
        <v>0</v>
      </c>
      <c r="BT13" s="172">
        <v>0</v>
      </c>
      <c r="BU13" s="172">
        <v>0</v>
      </c>
      <c r="BV13" s="15">
        <v>11548</v>
      </c>
      <c r="BW13" s="15">
        <v>0</v>
      </c>
      <c r="BX13" s="172">
        <v>0</v>
      </c>
      <c r="CA13" s="34" t="s">
        <v>337</v>
      </c>
      <c r="CB13" s="172"/>
      <c r="CC13" s="172"/>
      <c r="CD13" s="172"/>
      <c r="CE13" s="172"/>
      <c r="CF13" s="172"/>
      <c r="CG13" s="172"/>
      <c r="CH13" s="172"/>
      <c r="CI13" s="172"/>
      <c r="CJ13" s="172"/>
      <c r="CK13" s="172"/>
      <c r="CL13" s="172"/>
      <c r="CM13" s="172"/>
      <c r="CN13" s="172"/>
      <c r="CO13" s="172"/>
      <c r="CP13" s="172"/>
      <c r="CQ13" s="172"/>
      <c r="CR13" s="172"/>
      <c r="CS13" s="172"/>
      <c r="CT13" s="33"/>
      <c r="CU13" s="33"/>
      <c r="CV13" s="33"/>
      <c r="CW13" s="33"/>
      <c r="CX13" s="172"/>
      <c r="CY13" s="172"/>
      <c r="CZ13" s="33"/>
      <c r="DA13" s="33"/>
      <c r="DB13" s="229">
        <f t="shared" si="8"/>
        <v>0</v>
      </c>
      <c r="DC13" s="229">
        <f t="shared" si="9"/>
        <v>0</v>
      </c>
      <c r="DE13" s="34" t="s">
        <v>337</v>
      </c>
      <c r="DF13" s="172"/>
      <c r="DG13" s="172"/>
      <c r="DH13" s="172"/>
      <c r="DI13" s="172"/>
      <c r="DJ13" s="172"/>
      <c r="DK13" s="172"/>
      <c r="DL13" s="172"/>
      <c r="DM13" s="172"/>
      <c r="DN13" s="172"/>
      <c r="DO13" s="172"/>
      <c r="DP13" s="172"/>
      <c r="DQ13" s="172"/>
      <c r="DR13" s="172"/>
      <c r="DS13" s="172"/>
      <c r="DT13" s="172"/>
      <c r="DU13" s="172"/>
      <c r="DV13" s="172"/>
      <c r="DW13" s="172"/>
      <c r="DX13" s="33"/>
      <c r="DY13" s="33"/>
      <c r="DZ13" s="33"/>
      <c r="EA13" s="33"/>
      <c r="EB13" s="172"/>
      <c r="EC13" s="172"/>
      <c r="ED13" s="33">
        <f t="shared" si="11"/>
        <v>0</v>
      </c>
      <c r="EE13" s="33">
        <f t="shared" si="12"/>
        <v>0</v>
      </c>
      <c r="EF13" s="43" t="e">
        <v>#DIV/0!</v>
      </c>
    </row>
    <row r="14" spans="1:137" ht="14.5" x14ac:dyDescent="0.35">
      <c r="A14" s="34" t="s">
        <v>338</v>
      </c>
      <c r="B14" s="15">
        <v>78</v>
      </c>
      <c r="C14" s="15">
        <v>108</v>
      </c>
      <c r="D14" s="15">
        <v>182</v>
      </c>
      <c r="E14" s="15">
        <v>268</v>
      </c>
      <c r="F14" s="15">
        <v>563</v>
      </c>
      <c r="G14" s="15">
        <v>1110</v>
      </c>
      <c r="H14" s="15">
        <v>1850</v>
      </c>
      <c r="I14" s="15">
        <v>2143</v>
      </c>
      <c r="J14" s="15">
        <v>2456</v>
      </c>
      <c r="K14" s="15">
        <v>2941</v>
      </c>
      <c r="L14" s="15">
        <v>3222</v>
      </c>
      <c r="M14" s="15">
        <v>3581</v>
      </c>
      <c r="N14" s="15">
        <v>3649</v>
      </c>
      <c r="O14" s="15">
        <v>3548</v>
      </c>
      <c r="P14" s="15">
        <v>3254</v>
      </c>
      <c r="Q14" s="15">
        <v>2878</v>
      </c>
      <c r="R14" s="15">
        <v>2251</v>
      </c>
      <c r="S14" s="15">
        <v>1672</v>
      </c>
      <c r="T14" s="15">
        <v>995</v>
      </c>
      <c r="U14" s="15">
        <v>543</v>
      </c>
      <c r="V14" s="15">
        <v>274</v>
      </c>
      <c r="W14" s="15">
        <v>146</v>
      </c>
      <c r="X14" s="15">
        <v>79</v>
      </c>
      <c r="Y14" s="15">
        <v>41</v>
      </c>
      <c r="Z14" s="15">
        <v>40</v>
      </c>
      <c r="AA14" s="15">
        <v>39</v>
      </c>
      <c r="AB14" s="15">
        <v>67</v>
      </c>
      <c r="AC14" s="15">
        <v>106</v>
      </c>
      <c r="AD14" s="15">
        <v>198</v>
      </c>
      <c r="AE14" s="15">
        <v>448</v>
      </c>
      <c r="AF14" s="15">
        <v>684</v>
      </c>
      <c r="AG14" s="15">
        <v>737</v>
      </c>
      <c r="AH14" s="15">
        <v>817</v>
      </c>
      <c r="AI14" s="15">
        <v>905</v>
      </c>
      <c r="AJ14" s="15">
        <v>957</v>
      </c>
      <c r="AK14" s="15">
        <v>1013</v>
      </c>
      <c r="AL14" s="15">
        <v>1003</v>
      </c>
      <c r="AM14" s="15">
        <v>988</v>
      </c>
      <c r="AN14" s="15">
        <v>880</v>
      </c>
      <c r="AO14" s="15">
        <v>743</v>
      </c>
      <c r="AP14" s="15">
        <v>565</v>
      </c>
      <c r="AQ14" s="15">
        <v>400</v>
      </c>
      <c r="AR14" s="15">
        <v>238</v>
      </c>
      <c r="AS14" s="15">
        <v>97</v>
      </c>
      <c r="AT14" s="15">
        <v>62</v>
      </c>
      <c r="AU14" s="15">
        <v>33</v>
      </c>
      <c r="AV14" s="15">
        <v>15</v>
      </c>
      <c r="AW14" s="15">
        <v>7</v>
      </c>
      <c r="AX14" s="172">
        <v>0.51282051282051277</v>
      </c>
      <c r="AY14" s="172">
        <v>0.3611111111111111</v>
      </c>
      <c r="AZ14" s="172">
        <v>0.36813186813186816</v>
      </c>
      <c r="BA14" s="172">
        <v>0.39552238805970147</v>
      </c>
      <c r="BB14" s="172">
        <v>0.35168738898756663</v>
      </c>
      <c r="BC14" s="172">
        <v>0.40360360360360359</v>
      </c>
      <c r="BD14" s="172">
        <v>0.36972972972972973</v>
      </c>
      <c r="BE14" s="172">
        <v>0.34391040597293515</v>
      </c>
      <c r="BF14" s="172">
        <v>0.33265472312703581</v>
      </c>
      <c r="BG14" s="172">
        <v>0.30771846310778644</v>
      </c>
      <c r="BH14" s="172">
        <v>0.29702048417132215</v>
      </c>
      <c r="BI14" s="172">
        <v>0.28288187657079028</v>
      </c>
      <c r="BJ14" s="172">
        <v>0.27486982734995891</v>
      </c>
      <c r="BK14" s="172">
        <v>0.27846674182638104</v>
      </c>
      <c r="BL14" s="172">
        <v>0.27043638598647818</v>
      </c>
      <c r="BM14" s="172">
        <v>0.25816539263377347</v>
      </c>
      <c r="BN14" s="172">
        <v>0.25099955575299865</v>
      </c>
      <c r="BO14" s="172">
        <v>0.23923444976076555</v>
      </c>
      <c r="BP14" s="172">
        <v>0.23919597989949748</v>
      </c>
      <c r="BQ14" s="172">
        <v>0.17863720073664824</v>
      </c>
      <c r="BR14" s="172">
        <v>0.22627737226277372</v>
      </c>
      <c r="BS14" s="172">
        <v>0.22602739726027396</v>
      </c>
      <c r="BT14" s="172">
        <v>0.189873417721519</v>
      </c>
      <c r="BU14" s="172">
        <v>0.17073170731707318</v>
      </c>
      <c r="BV14" s="15">
        <v>37832</v>
      </c>
      <c r="BW14" s="15">
        <v>11042</v>
      </c>
      <c r="BX14" s="172">
        <v>0.29186931698033408</v>
      </c>
      <c r="CA14" s="34" t="s">
        <v>338</v>
      </c>
      <c r="CB14" s="172">
        <v>0.41</v>
      </c>
      <c r="CC14" s="172">
        <v>0.4</v>
      </c>
      <c r="CD14" s="172">
        <v>0.39</v>
      </c>
      <c r="CE14" s="172">
        <v>0.38</v>
      </c>
      <c r="CF14" s="172">
        <v>0.37</v>
      </c>
      <c r="CG14" s="172">
        <v>0.36</v>
      </c>
      <c r="CH14" s="172">
        <v>0.35</v>
      </c>
      <c r="CI14" s="172">
        <f t="shared" ref="CI14:CN14" si="22">+BE14</f>
        <v>0.34391040597293515</v>
      </c>
      <c r="CJ14" s="172">
        <f t="shared" si="22"/>
        <v>0.33265472312703581</v>
      </c>
      <c r="CK14" s="172">
        <f t="shared" si="22"/>
        <v>0.30771846310778644</v>
      </c>
      <c r="CL14" s="172">
        <f t="shared" si="22"/>
        <v>0.29702048417132215</v>
      </c>
      <c r="CM14" s="172">
        <f t="shared" si="22"/>
        <v>0.28288187657079028</v>
      </c>
      <c r="CN14" s="33">
        <f t="shared" si="22"/>
        <v>0.27486982734995891</v>
      </c>
      <c r="CO14" s="33">
        <f t="shared" ref="CO14:CY14" si="23">CN14-0.5%</f>
        <v>0.2698698273499589</v>
      </c>
      <c r="CP14" s="33">
        <f t="shared" si="23"/>
        <v>0.2648698273499589</v>
      </c>
      <c r="CQ14" s="33">
        <f t="shared" si="23"/>
        <v>0.25986982734995889</v>
      </c>
      <c r="CR14" s="33">
        <f t="shared" si="23"/>
        <v>0.25486982734995889</v>
      </c>
      <c r="CS14" s="33">
        <f t="shared" si="23"/>
        <v>0.24986982734995888</v>
      </c>
      <c r="CT14" s="33">
        <f t="shared" si="23"/>
        <v>0.24486982734995888</v>
      </c>
      <c r="CU14" s="33">
        <f t="shared" si="23"/>
        <v>0.23986982734995888</v>
      </c>
      <c r="CV14" s="33">
        <f t="shared" si="23"/>
        <v>0.23486982734995887</v>
      </c>
      <c r="CW14" s="33">
        <f t="shared" si="23"/>
        <v>0.22986982734995887</v>
      </c>
      <c r="CX14" s="33">
        <f t="shared" si="23"/>
        <v>0.22486982734995886</v>
      </c>
      <c r="CY14" s="33">
        <f t="shared" si="23"/>
        <v>0.21986982734995886</v>
      </c>
      <c r="CZ14" s="33">
        <f>SUMPRODUCT(CB14:CY14,B14:Y14)/SUM(B14:Y14)</f>
        <v>0.29056840142405116</v>
      </c>
      <c r="DA14" s="33">
        <f>BX14</f>
        <v>0.29186931698033408</v>
      </c>
      <c r="DB14" s="229">
        <f t="shared" si="8"/>
        <v>0.28188282736090858</v>
      </c>
      <c r="DC14" s="229">
        <f t="shared" si="9"/>
        <v>0.39184397163120566</v>
      </c>
      <c r="DE14" s="34" t="s">
        <v>338</v>
      </c>
      <c r="DF14" s="172">
        <f t="shared" ref="DF14:EC14" si="24">CB14*$EF14</f>
        <v>0.5668142925147065</v>
      </c>
      <c r="DG14" s="172">
        <f t="shared" si="24"/>
        <v>0.55298955367288449</v>
      </c>
      <c r="DH14" s="172">
        <f t="shared" si="24"/>
        <v>0.53916481483106238</v>
      </c>
      <c r="DI14" s="172">
        <f t="shared" si="24"/>
        <v>0.52534007598924026</v>
      </c>
      <c r="DJ14" s="172">
        <f t="shared" si="24"/>
        <v>0.51151533714741804</v>
      </c>
      <c r="DK14" s="172">
        <f t="shared" si="24"/>
        <v>0.49769059830559598</v>
      </c>
      <c r="DL14" s="172">
        <f t="shared" si="24"/>
        <v>0.48386585946377386</v>
      </c>
      <c r="DM14" s="172">
        <f t="shared" si="24"/>
        <v>0.47544715475608473</v>
      </c>
      <c r="DN14" s="172">
        <f t="shared" si="24"/>
        <v>0.4598864671729912</v>
      </c>
      <c r="DO14" s="172">
        <f t="shared" si="24"/>
        <v>0.42541273892720194</v>
      </c>
      <c r="DP14" s="172">
        <f t="shared" si="24"/>
        <v>0.4106230624340087</v>
      </c>
      <c r="DQ14" s="172">
        <f t="shared" si="24"/>
        <v>0.39107680666757327</v>
      </c>
      <c r="DR14" s="172">
        <f t="shared" si="24"/>
        <v>0.38000035786099146</v>
      </c>
      <c r="DS14" s="172">
        <f t="shared" si="24"/>
        <v>0.3730879884400804</v>
      </c>
      <c r="DT14" s="172">
        <f t="shared" si="24"/>
        <v>0.36617561901916934</v>
      </c>
      <c r="DU14" s="172">
        <f t="shared" si="24"/>
        <v>0.35926324959825828</v>
      </c>
      <c r="DV14" s="172">
        <f t="shared" si="24"/>
        <v>0.35235088017734717</v>
      </c>
      <c r="DW14" s="172">
        <f t="shared" si="24"/>
        <v>0.34543851075643611</v>
      </c>
      <c r="DX14" s="172">
        <f t="shared" si="24"/>
        <v>0.33852614133552505</v>
      </c>
      <c r="DY14" s="172">
        <f t="shared" si="24"/>
        <v>0.331613771914614</v>
      </c>
      <c r="DZ14" s="172">
        <f t="shared" si="24"/>
        <v>0.32470140249370294</v>
      </c>
      <c r="EA14" s="172">
        <f t="shared" si="24"/>
        <v>0.31778903307279188</v>
      </c>
      <c r="EB14" s="172">
        <f t="shared" si="24"/>
        <v>0.31087666365188082</v>
      </c>
      <c r="EC14" s="172">
        <f t="shared" si="24"/>
        <v>0.30396429423096977</v>
      </c>
      <c r="ED14" s="33">
        <f t="shared" si="11"/>
        <v>0.39184397163120571</v>
      </c>
      <c r="EE14" s="33">
        <f t="shared" si="12"/>
        <v>0.39184397163120566</v>
      </c>
      <c r="EF14" s="43">
        <v>1.3824738841822111</v>
      </c>
    </row>
    <row r="15" spans="1:137" ht="14.5" x14ac:dyDescent="0.35">
      <c r="A15" s="34" t="s">
        <v>339</v>
      </c>
      <c r="B15" s="15">
        <v>2</v>
      </c>
      <c r="C15" s="15">
        <v>8</v>
      </c>
      <c r="D15" s="15">
        <v>7</v>
      </c>
      <c r="E15" s="15">
        <v>12</v>
      </c>
      <c r="F15" s="15">
        <v>27</v>
      </c>
      <c r="G15" s="15">
        <v>46</v>
      </c>
      <c r="H15" s="15">
        <v>58</v>
      </c>
      <c r="I15" s="15">
        <v>62</v>
      </c>
      <c r="J15" s="15">
        <v>90</v>
      </c>
      <c r="K15" s="15">
        <v>91</v>
      </c>
      <c r="L15" s="15">
        <v>88</v>
      </c>
      <c r="M15" s="15">
        <v>74</v>
      </c>
      <c r="N15" s="15">
        <v>63</v>
      </c>
      <c r="O15" s="15">
        <v>72</v>
      </c>
      <c r="P15" s="15">
        <v>73</v>
      </c>
      <c r="Q15" s="15">
        <v>41</v>
      </c>
      <c r="R15" s="15">
        <v>28</v>
      </c>
      <c r="S15" s="15">
        <v>16</v>
      </c>
      <c r="T15" s="15">
        <v>5</v>
      </c>
      <c r="U15" s="15">
        <v>4</v>
      </c>
      <c r="V15" s="15">
        <v>5</v>
      </c>
      <c r="Z15" s="15">
        <v>1</v>
      </c>
      <c r="AA15" s="15">
        <v>1</v>
      </c>
      <c r="AB15" s="15">
        <v>3</v>
      </c>
      <c r="AC15" s="15">
        <v>4</v>
      </c>
      <c r="AD15" s="15">
        <v>11</v>
      </c>
      <c r="AE15" s="15">
        <v>23</v>
      </c>
      <c r="AF15" s="15">
        <v>25</v>
      </c>
      <c r="AG15" s="15">
        <v>31</v>
      </c>
      <c r="AH15" s="15">
        <v>44</v>
      </c>
      <c r="AI15" s="15">
        <v>42</v>
      </c>
      <c r="AJ15" s="15">
        <v>33</v>
      </c>
      <c r="AK15" s="15">
        <v>39</v>
      </c>
      <c r="AL15" s="15">
        <v>29</v>
      </c>
      <c r="AM15" s="15">
        <v>22</v>
      </c>
      <c r="AN15" s="15">
        <v>33</v>
      </c>
      <c r="AO15" s="15">
        <v>16</v>
      </c>
      <c r="AP15" s="15">
        <v>11</v>
      </c>
      <c r="AQ15" s="15">
        <v>7</v>
      </c>
      <c r="AR15" s="15">
        <v>3</v>
      </c>
      <c r="AS15" s="15">
        <v>0</v>
      </c>
      <c r="AT15" s="15">
        <v>2</v>
      </c>
      <c r="AX15" s="172">
        <v>0.5</v>
      </c>
      <c r="AY15" s="172">
        <v>0.125</v>
      </c>
      <c r="AZ15" s="172">
        <v>0.42857142857142855</v>
      </c>
      <c r="BA15" s="172">
        <v>0.33333333333333331</v>
      </c>
      <c r="BB15" s="172">
        <v>0.40740740740740738</v>
      </c>
      <c r="BC15" s="172">
        <v>0.5</v>
      </c>
      <c r="BD15" s="172">
        <v>0.43103448275862066</v>
      </c>
      <c r="BE15" s="172">
        <v>0.5</v>
      </c>
      <c r="BF15" s="172">
        <v>0.48888888888888887</v>
      </c>
      <c r="BG15" s="172">
        <v>0.46153846153846156</v>
      </c>
      <c r="BH15" s="172">
        <v>0.375</v>
      </c>
      <c r="BI15" s="172">
        <v>0.52702702702702697</v>
      </c>
      <c r="BJ15" s="172">
        <v>0.46031746031746029</v>
      </c>
      <c r="BK15" s="172">
        <v>0.30555555555555558</v>
      </c>
      <c r="BL15" s="172">
        <v>0.45205479452054792</v>
      </c>
      <c r="BM15" s="172">
        <v>0.3902439024390244</v>
      </c>
      <c r="BN15" s="172">
        <v>0.39285714285714285</v>
      </c>
      <c r="BO15" s="172">
        <v>0.4375</v>
      </c>
      <c r="BP15" s="172">
        <v>0.6</v>
      </c>
      <c r="BQ15" s="172">
        <v>0</v>
      </c>
      <c r="BR15" s="172">
        <v>0.4</v>
      </c>
      <c r="BS15" s="172" t="e">
        <v>#DIV/0!</v>
      </c>
      <c r="BT15" s="172" t="e">
        <v>#DIV/0!</v>
      </c>
      <c r="BU15" s="172" t="e">
        <v>#DIV/0!</v>
      </c>
      <c r="BV15" s="15">
        <v>872</v>
      </c>
      <c r="BW15" s="15">
        <v>380</v>
      </c>
      <c r="BX15" s="172">
        <v>0.43577981651376146</v>
      </c>
      <c r="CA15" s="34" t="s">
        <v>339</v>
      </c>
      <c r="CB15" s="230">
        <f t="shared" ref="CB15:CY15" si="25">$BX15*CB$32</f>
        <v>0.700659667512192</v>
      </c>
      <c r="CC15" s="230">
        <f t="shared" si="25"/>
        <v>0.67792811702030598</v>
      </c>
      <c r="CD15" s="230">
        <f t="shared" si="25"/>
        <v>0.65600793916454658</v>
      </c>
      <c r="CE15" s="230">
        <f t="shared" si="25"/>
        <v>0.62848212851416574</v>
      </c>
      <c r="CF15" s="230">
        <f t="shared" si="25"/>
        <v>0.59670520505286118</v>
      </c>
      <c r="CG15" s="230">
        <f t="shared" si="25"/>
        <v>0.57054649322972872</v>
      </c>
      <c r="CH15" s="230">
        <f t="shared" si="25"/>
        <v>0.54318279942680514</v>
      </c>
      <c r="CI15" s="230">
        <f t="shared" si="25"/>
        <v>0.51230229281585726</v>
      </c>
      <c r="CJ15" s="230">
        <f t="shared" si="25"/>
        <v>0.48776579667598741</v>
      </c>
      <c r="CK15" s="230">
        <f t="shared" si="25"/>
        <v>0.45751086835239152</v>
      </c>
      <c r="CL15" s="230">
        <f t="shared" si="25"/>
        <v>0.43802011543526664</v>
      </c>
      <c r="CM15" s="230">
        <f t="shared" si="25"/>
        <v>0.41931398011108639</v>
      </c>
      <c r="CN15" s="230">
        <f t="shared" si="25"/>
        <v>0.40615581253351651</v>
      </c>
      <c r="CO15" s="230">
        <f t="shared" si="25"/>
        <v>0.39053380321852443</v>
      </c>
      <c r="CP15" s="230">
        <f t="shared" si="25"/>
        <v>0.3809463286105102</v>
      </c>
      <c r="CQ15" s="230">
        <f t="shared" si="25"/>
        <v>0.36966972898466516</v>
      </c>
      <c r="CR15" s="230">
        <f t="shared" si="25"/>
        <v>0.35755444641448514</v>
      </c>
      <c r="CS15" s="230">
        <f t="shared" si="25"/>
        <v>0.34565349200131634</v>
      </c>
      <c r="CT15" s="230">
        <f t="shared" si="25"/>
        <v>0.33490026773713155</v>
      </c>
      <c r="CU15" s="230">
        <f t="shared" si="25"/>
        <v>0.32496726195826664</v>
      </c>
      <c r="CV15" s="230">
        <f t="shared" si="25"/>
        <v>0.31275961775472538</v>
      </c>
      <c r="CW15" s="230">
        <f t="shared" si="25"/>
        <v>0.30032745218384188</v>
      </c>
      <c r="CX15" s="230">
        <f t="shared" si="25"/>
        <v>0.28735804375476698</v>
      </c>
      <c r="CY15" s="230">
        <f t="shared" si="25"/>
        <v>0.2715030931282269</v>
      </c>
      <c r="CZ15" s="33"/>
      <c r="DA15" s="33"/>
      <c r="DB15" s="229">
        <f t="shared" si="8"/>
        <v>0.44348556643421938</v>
      </c>
      <c r="DC15" s="229">
        <f t="shared" si="9"/>
        <v>0.30769230769230771</v>
      </c>
      <c r="DE15" s="34" t="s">
        <v>339</v>
      </c>
      <c r="DF15" s="230">
        <f t="shared" ref="DF15:EC15" si="26">$DC15*DF$32</f>
        <v>0.50603490840716825</v>
      </c>
      <c r="DG15" s="230">
        <f t="shared" si="26"/>
        <v>0.49087598522072018</v>
      </c>
      <c r="DH15" s="230">
        <f t="shared" si="26"/>
        <v>0.47619007694095128</v>
      </c>
      <c r="DI15" s="230">
        <f t="shared" si="26"/>
        <v>0.46132481938447345</v>
      </c>
      <c r="DJ15" s="230">
        <f t="shared" si="26"/>
        <v>0.4398455367942723</v>
      </c>
      <c r="DK15" s="230">
        <f t="shared" si="26"/>
        <v>0.42404026374485809</v>
      </c>
      <c r="DL15" s="230">
        <f t="shared" si="26"/>
        <v>0.40707302622879049</v>
      </c>
      <c r="DM15" s="230">
        <f t="shared" si="26"/>
        <v>0.38270617274041013</v>
      </c>
      <c r="DN15" s="230">
        <f t="shared" si="26"/>
        <v>0.36517857265600212</v>
      </c>
      <c r="DO15" s="230">
        <f t="shared" si="26"/>
        <v>0.34262456411435982</v>
      </c>
      <c r="DP15" s="230">
        <f t="shared" si="26"/>
        <v>0.32746194247171567</v>
      </c>
      <c r="DQ15" s="230">
        <f t="shared" si="26"/>
        <v>0.31339888666146237</v>
      </c>
      <c r="DR15" s="230">
        <f t="shared" si="26"/>
        <v>0.30350067958450999</v>
      </c>
      <c r="DS15" s="230">
        <f t="shared" si="26"/>
        <v>0.29190538704862234</v>
      </c>
      <c r="DT15" s="230">
        <f t="shared" si="26"/>
        <v>0.28478572710363659</v>
      </c>
      <c r="DU15" s="230">
        <f t="shared" si="26"/>
        <v>0.27586075900064472</v>
      </c>
      <c r="DV15" s="230">
        <f t="shared" si="26"/>
        <v>0.2659116149910819</v>
      </c>
      <c r="DW15" s="230">
        <f t="shared" si="26"/>
        <v>0.2571947138785507</v>
      </c>
      <c r="DX15" s="230">
        <f t="shared" si="26"/>
        <v>0.24899490198463983</v>
      </c>
      <c r="DY15" s="230">
        <f t="shared" si="26"/>
        <v>0.24123132573512304</v>
      </c>
      <c r="DZ15" s="230">
        <f t="shared" si="26"/>
        <v>0.23193753554449195</v>
      </c>
      <c r="EA15" s="230">
        <f t="shared" si="26"/>
        <v>0.22275195958102897</v>
      </c>
      <c r="EB15" s="230">
        <f t="shared" si="26"/>
        <v>0.21291248974798066</v>
      </c>
      <c r="EC15" s="230">
        <f t="shared" si="26"/>
        <v>0.2065474499211446</v>
      </c>
      <c r="ED15" s="33">
        <f t="shared" si="11"/>
        <v>0.30431362029381359</v>
      </c>
      <c r="EE15" s="33">
        <f t="shared" si="12"/>
        <v>0.30769230769230771</v>
      </c>
      <c r="EF15" s="43">
        <v>0.6551116687240045</v>
      </c>
    </row>
    <row r="16" spans="1:137" ht="14.5" x14ac:dyDescent="0.35">
      <c r="A16" s="34" t="s">
        <v>340</v>
      </c>
      <c r="B16" s="15">
        <v>37</v>
      </c>
      <c r="C16" s="15">
        <v>46</v>
      </c>
      <c r="D16" s="15">
        <v>111</v>
      </c>
      <c r="E16" s="15">
        <v>204</v>
      </c>
      <c r="F16" s="15">
        <v>422</v>
      </c>
      <c r="G16" s="15">
        <v>880</v>
      </c>
      <c r="H16" s="15">
        <v>1442</v>
      </c>
      <c r="I16" s="15">
        <v>1666</v>
      </c>
      <c r="J16" s="15">
        <v>1884</v>
      </c>
      <c r="K16" s="15">
        <v>2250</v>
      </c>
      <c r="L16" s="15">
        <v>2418</v>
      </c>
      <c r="M16" s="15">
        <v>2368</v>
      </c>
      <c r="N16" s="15">
        <v>2319</v>
      </c>
      <c r="O16" s="15">
        <v>2110</v>
      </c>
      <c r="P16" s="15">
        <v>1872</v>
      </c>
      <c r="Q16" s="15">
        <v>1567</v>
      </c>
      <c r="R16" s="15">
        <v>1061</v>
      </c>
      <c r="S16" s="15">
        <v>714</v>
      </c>
      <c r="T16" s="15">
        <v>447</v>
      </c>
      <c r="U16" s="15">
        <v>211</v>
      </c>
      <c r="V16" s="15">
        <v>120</v>
      </c>
      <c r="W16" s="15">
        <v>65</v>
      </c>
      <c r="X16" s="15">
        <v>21</v>
      </c>
      <c r="Y16" s="15">
        <v>20</v>
      </c>
      <c r="Z16" s="15">
        <v>26</v>
      </c>
      <c r="AA16" s="15">
        <v>29</v>
      </c>
      <c r="AB16" s="15">
        <v>55</v>
      </c>
      <c r="AC16" s="15">
        <v>109</v>
      </c>
      <c r="AD16" s="15">
        <v>234</v>
      </c>
      <c r="AE16" s="15">
        <v>465</v>
      </c>
      <c r="AF16" s="15">
        <v>767</v>
      </c>
      <c r="AG16" s="15">
        <v>849</v>
      </c>
      <c r="AH16" s="15">
        <v>921</v>
      </c>
      <c r="AI16" s="15">
        <v>1057</v>
      </c>
      <c r="AJ16" s="15">
        <v>1104</v>
      </c>
      <c r="AK16" s="15">
        <v>1059</v>
      </c>
      <c r="AL16" s="15">
        <v>1019</v>
      </c>
      <c r="AM16" s="15">
        <v>946</v>
      </c>
      <c r="AN16" s="15">
        <v>747</v>
      </c>
      <c r="AO16" s="15">
        <v>582</v>
      </c>
      <c r="AP16" s="15">
        <v>390</v>
      </c>
      <c r="AQ16" s="15">
        <v>240</v>
      </c>
      <c r="AR16" s="15">
        <v>137</v>
      </c>
      <c r="AS16" s="15">
        <v>64</v>
      </c>
      <c r="AT16" s="15">
        <v>35</v>
      </c>
      <c r="AU16" s="15">
        <v>20</v>
      </c>
      <c r="AV16" s="15">
        <v>8</v>
      </c>
      <c r="AW16" s="15">
        <v>8</v>
      </c>
      <c r="AX16" s="172">
        <v>0.70270270270270274</v>
      </c>
      <c r="AY16" s="172">
        <v>0.63043478260869568</v>
      </c>
      <c r="AZ16" s="172">
        <v>0.49549549549549549</v>
      </c>
      <c r="BA16" s="172">
        <v>0.53431372549019607</v>
      </c>
      <c r="BB16" s="172">
        <v>0.5545023696682464</v>
      </c>
      <c r="BC16" s="172">
        <v>0.52840909090909094</v>
      </c>
      <c r="BD16" s="172">
        <v>0.53190013869625519</v>
      </c>
      <c r="BE16" s="172">
        <v>0.50960384153661464</v>
      </c>
      <c r="BF16" s="172">
        <v>0.48885350318471338</v>
      </c>
      <c r="BG16" s="172">
        <v>0.46977777777777779</v>
      </c>
      <c r="BH16" s="172">
        <v>0.45657568238213397</v>
      </c>
      <c r="BI16" s="172">
        <v>0.44721283783783783</v>
      </c>
      <c r="BJ16" s="172">
        <v>0.43941354031910307</v>
      </c>
      <c r="BK16" s="172">
        <v>0.44834123222748817</v>
      </c>
      <c r="BL16" s="172">
        <v>0.39903846153846156</v>
      </c>
      <c r="BM16" s="172">
        <v>0.37141033822590935</v>
      </c>
      <c r="BN16" s="172">
        <v>0.36757775683317623</v>
      </c>
      <c r="BO16" s="172">
        <v>0.33613445378151263</v>
      </c>
      <c r="BP16" s="172">
        <v>0.30648769574944074</v>
      </c>
      <c r="BQ16" s="172">
        <v>0.30331753554502372</v>
      </c>
      <c r="BR16" s="172">
        <v>0.29166666666666669</v>
      </c>
      <c r="BS16" s="172">
        <v>0.30769230769230771</v>
      </c>
      <c r="BT16" s="172">
        <v>0.38095238095238093</v>
      </c>
      <c r="BU16" s="172">
        <v>0.4</v>
      </c>
      <c r="BV16" s="15">
        <v>24255</v>
      </c>
      <c r="BW16" s="15">
        <v>10871</v>
      </c>
      <c r="BX16" s="172">
        <v>0.4481962481962482</v>
      </c>
      <c r="CA16" s="34" t="s">
        <v>340</v>
      </c>
      <c r="CB16" s="172">
        <f t="shared" ref="CB16:CC16" si="27">+AX16</f>
        <v>0.70270270270270274</v>
      </c>
      <c r="CC16" s="172">
        <f t="shared" si="27"/>
        <v>0.63043478260869568</v>
      </c>
      <c r="CD16" s="172">
        <v>0.61</v>
      </c>
      <c r="CE16" s="172">
        <v>0.59</v>
      </c>
      <c r="CF16" s="172">
        <v>0.56999999999999995</v>
      </c>
      <c r="CG16" s="172">
        <v>0.55000000000000004</v>
      </c>
      <c r="CH16" s="172">
        <v>0.53</v>
      </c>
      <c r="CI16" s="172">
        <f t="shared" ref="CI16:CN16" si="28">+BE16</f>
        <v>0.50960384153661464</v>
      </c>
      <c r="CJ16" s="172">
        <f t="shared" si="28"/>
        <v>0.48885350318471338</v>
      </c>
      <c r="CK16" s="172">
        <f t="shared" si="28"/>
        <v>0.46977777777777779</v>
      </c>
      <c r="CL16" s="172">
        <f t="shared" si="28"/>
        <v>0.45657568238213397</v>
      </c>
      <c r="CM16" s="172">
        <f t="shared" si="28"/>
        <v>0.44721283783783783</v>
      </c>
      <c r="CN16" s="172">
        <f t="shared" si="28"/>
        <v>0.43941354031910307</v>
      </c>
      <c r="CO16" s="172">
        <v>0.42</v>
      </c>
      <c r="CP16" s="172">
        <f>+BL16</f>
        <v>0.39903846153846156</v>
      </c>
      <c r="CQ16" s="172">
        <v>0.38</v>
      </c>
      <c r="CR16" s="33">
        <f t="shared" ref="CR16:CV16" si="29">+BN16</f>
        <v>0.36757775683317623</v>
      </c>
      <c r="CS16" s="172">
        <f t="shared" si="29"/>
        <v>0.33613445378151263</v>
      </c>
      <c r="CT16" s="172">
        <f t="shared" si="29"/>
        <v>0.30648769574944074</v>
      </c>
      <c r="CU16" s="33">
        <f t="shared" si="29"/>
        <v>0.30331753554502372</v>
      </c>
      <c r="CV16" s="33">
        <f t="shared" si="29"/>
        <v>0.29166666666666669</v>
      </c>
      <c r="CW16" s="172">
        <v>0.28000000000000003</v>
      </c>
      <c r="CX16" s="172">
        <v>0.27</v>
      </c>
      <c r="CY16" s="172">
        <v>0.26</v>
      </c>
      <c r="CZ16" s="33">
        <f>SUMPRODUCT(CB16:CY16,B16:Y16)/SUM(B16:Y16)</f>
        <v>0.44793238507524225</v>
      </c>
      <c r="DA16" s="33">
        <f>BX16</f>
        <v>0.4481962481962482</v>
      </c>
      <c r="DB16" s="229">
        <f t="shared" si="8"/>
        <v>0.42351974370184953</v>
      </c>
      <c r="DC16" s="229">
        <f t="shared" si="9"/>
        <v>0.42701227830832195</v>
      </c>
      <c r="DE16" s="34" t="s">
        <v>340</v>
      </c>
      <c r="DF16" s="172">
        <f t="shared" ref="DF16:EC16" si="30">CB16*$EF16</f>
        <v>0.72113644952403722</v>
      </c>
      <c r="DG16" s="172">
        <f t="shared" si="30"/>
        <v>0.64697275111980923</v>
      </c>
      <c r="DH16" s="172">
        <f t="shared" si="30"/>
        <v>0.62600191022144303</v>
      </c>
      <c r="DI16" s="172">
        <f t="shared" si="30"/>
        <v>0.6054772574272973</v>
      </c>
      <c r="DJ16" s="172">
        <f t="shared" si="30"/>
        <v>0.58495260463315157</v>
      </c>
      <c r="DK16" s="172">
        <f t="shared" si="30"/>
        <v>0.56442795183900607</v>
      </c>
      <c r="DL16" s="172">
        <f t="shared" si="30"/>
        <v>0.54390329904486034</v>
      </c>
      <c r="DM16" s="172">
        <f t="shared" si="30"/>
        <v>0.52297209550509227</v>
      </c>
      <c r="DN16" s="172">
        <f t="shared" si="30"/>
        <v>0.5016774210034014</v>
      </c>
      <c r="DO16" s="172">
        <f t="shared" si="30"/>
        <v>0.48210128896471061</v>
      </c>
      <c r="DP16" s="172">
        <f t="shared" si="30"/>
        <v>0.46855286775717164</v>
      </c>
      <c r="DQ16" s="172">
        <f t="shared" si="30"/>
        <v>0.4589444110853097</v>
      </c>
      <c r="DR16" s="172">
        <f t="shared" si="30"/>
        <v>0.45094051740479607</v>
      </c>
      <c r="DS16" s="172">
        <f t="shared" si="30"/>
        <v>0.43101770867705913</v>
      </c>
      <c r="DT16" s="172">
        <f t="shared" si="30"/>
        <v>0.40950629372934877</v>
      </c>
      <c r="DU16" s="172">
        <f t="shared" si="30"/>
        <v>0.38996840308876779</v>
      </c>
      <c r="DV16" s="172">
        <f t="shared" si="30"/>
        <v>0.37722029169259247</v>
      </c>
      <c r="DW16" s="172">
        <f t="shared" si="30"/>
        <v>0.34495214780076761</v>
      </c>
      <c r="DX16" s="172">
        <f t="shared" si="30"/>
        <v>0.31452767704675139</v>
      </c>
      <c r="DY16" s="172">
        <f t="shared" si="30"/>
        <v>0.31127435517187751</v>
      </c>
      <c r="DZ16" s="172">
        <f t="shared" si="30"/>
        <v>0.29931785324795773</v>
      </c>
      <c r="EA16" s="172">
        <f t="shared" si="30"/>
        <v>0.28734513911803944</v>
      </c>
      <c r="EB16" s="172">
        <f t="shared" si="30"/>
        <v>0.27708281272096658</v>
      </c>
      <c r="EC16" s="172">
        <f t="shared" si="30"/>
        <v>0.26682048632389377</v>
      </c>
      <c r="ED16" s="33">
        <f t="shared" si="11"/>
        <v>0.42701227830832211</v>
      </c>
      <c r="EE16" s="33">
        <f t="shared" si="12"/>
        <v>0.42701227830832195</v>
      </c>
      <c r="EF16" s="43">
        <v>1.0262326397072836</v>
      </c>
    </row>
    <row r="17" spans="1:136" ht="14.5" x14ac:dyDescent="0.35">
      <c r="A17" s="34" t="s">
        <v>341</v>
      </c>
      <c r="B17" s="15">
        <v>26</v>
      </c>
      <c r="C17" s="15">
        <v>37</v>
      </c>
      <c r="D17" s="15">
        <v>65</v>
      </c>
      <c r="E17" s="15">
        <v>116</v>
      </c>
      <c r="F17" s="15">
        <v>206</v>
      </c>
      <c r="G17" s="15">
        <v>416</v>
      </c>
      <c r="H17" s="15">
        <v>744</v>
      </c>
      <c r="I17" s="15">
        <v>904</v>
      </c>
      <c r="J17" s="15">
        <v>1017</v>
      </c>
      <c r="K17" s="15">
        <v>1261</v>
      </c>
      <c r="L17" s="15">
        <v>1244</v>
      </c>
      <c r="M17" s="15">
        <v>1327</v>
      </c>
      <c r="N17" s="15">
        <v>1293</v>
      </c>
      <c r="O17" s="15">
        <v>1173</v>
      </c>
      <c r="P17" s="15">
        <v>1035</v>
      </c>
      <c r="Q17" s="15">
        <v>850</v>
      </c>
      <c r="R17" s="15">
        <v>648</v>
      </c>
      <c r="S17" s="15">
        <v>443</v>
      </c>
      <c r="T17" s="15">
        <v>289</v>
      </c>
      <c r="U17" s="15">
        <v>153</v>
      </c>
      <c r="V17" s="15">
        <v>80</v>
      </c>
      <c r="W17" s="15">
        <v>35</v>
      </c>
      <c r="X17" s="15">
        <v>25</v>
      </c>
      <c r="Y17" s="15">
        <v>13</v>
      </c>
      <c r="Z17" s="15">
        <v>-4</v>
      </c>
      <c r="AA17" s="15">
        <v>-11</v>
      </c>
      <c r="AB17" s="15">
        <v>-13</v>
      </c>
      <c r="AC17" s="15">
        <v>-26</v>
      </c>
      <c r="AD17" s="15">
        <v>-53</v>
      </c>
      <c r="AE17" s="15">
        <v>-86</v>
      </c>
      <c r="AF17" s="15">
        <v>-171</v>
      </c>
      <c r="AG17" s="15">
        <v>-199</v>
      </c>
      <c r="AH17" s="15">
        <v>-229</v>
      </c>
      <c r="AI17" s="15">
        <v>-327</v>
      </c>
      <c r="AJ17" s="15">
        <v>-279</v>
      </c>
      <c r="AK17" s="15">
        <v>-281</v>
      </c>
      <c r="AL17" s="15">
        <v>-283</v>
      </c>
      <c r="AM17" s="15">
        <v>-250</v>
      </c>
      <c r="AN17" s="15">
        <v>-268</v>
      </c>
      <c r="AO17" s="15">
        <v>-190</v>
      </c>
      <c r="AP17" s="15">
        <v>-139</v>
      </c>
      <c r="AQ17" s="15">
        <v>-88</v>
      </c>
      <c r="AR17" s="15">
        <v>-59</v>
      </c>
      <c r="AS17" s="15">
        <v>-22</v>
      </c>
      <c r="AT17" s="15">
        <v>-20</v>
      </c>
      <c r="AU17" s="15">
        <v>-3</v>
      </c>
      <c r="AV17" s="15">
        <v>-7</v>
      </c>
      <c r="AW17" s="15">
        <v>0</v>
      </c>
      <c r="AX17" s="172">
        <v>-0.15384615384615385</v>
      </c>
      <c r="AY17" s="172">
        <v>-0.29729729729729731</v>
      </c>
      <c r="AZ17" s="172">
        <v>-0.2</v>
      </c>
      <c r="BA17" s="172">
        <v>-0.22413793103448276</v>
      </c>
      <c r="BB17" s="172">
        <v>-0.25728155339805825</v>
      </c>
      <c r="BC17" s="172">
        <v>-0.20673076923076922</v>
      </c>
      <c r="BD17" s="172">
        <v>-0.22983870967741934</v>
      </c>
      <c r="BE17" s="172">
        <v>-0.22013274336283187</v>
      </c>
      <c r="BF17" s="172">
        <v>-0.22517207472959685</v>
      </c>
      <c r="BG17" s="172">
        <v>-0.25931800158604285</v>
      </c>
      <c r="BH17" s="172">
        <v>-0.22427652733118972</v>
      </c>
      <c r="BI17" s="172">
        <v>-0.21175584024114544</v>
      </c>
      <c r="BJ17" s="172">
        <v>-0.21887084300077339</v>
      </c>
      <c r="BK17" s="172">
        <v>-0.21312872975277067</v>
      </c>
      <c r="BL17" s="172">
        <v>-0.25893719806763282</v>
      </c>
      <c r="BM17" s="172">
        <v>-0.22352941176470589</v>
      </c>
      <c r="BN17" s="172">
        <v>-0.21450617283950618</v>
      </c>
      <c r="BO17" s="172">
        <v>-0.19864559819413091</v>
      </c>
      <c r="BP17" s="172">
        <v>-0.20415224913494809</v>
      </c>
      <c r="BQ17" s="172">
        <v>-0.1437908496732026</v>
      </c>
      <c r="BR17" s="172">
        <v>-0.25</v>
      </c>
      <c r="BS17" s="172">
        <v>-8.5714285714285715E-2</v>
      </c>
      <c r="BT17" s="172">
        <v>-0.28000000000000003</v>
      </c>
      <c r="BU17" s="172">
        <v>0</v>
      </c>
      <c r="BV17" s="15">
        <v>13400</v>
      </c>
      <c r="BW17" s="15">
        <v>-3008</v>
      </c>
      <c r="BX17" s="172">
        <v>-0.2244776119402985</v>
      </c>
      <c r="CA17" s="34" t="s">
        <v>341</v>
      </c>
      <c r="CB17" s="230">
        <f t="shared" ref="CB17:CY17" si="31">$BX17*-1*CB$32</f>
        <v>0.36092173842349945</v>
      </c>
      <c r="CC17" s="230">
        <f t="shared" si="31"/>
        <v>0.34921232927522666</v>
      </c>
      <c r="CD17" s="230">
        <f t="shared" si="31"/>
        <v>0.33792087200276233</v>
      </c>
      <c r="CE17" s="230">
        <f t="shared" si="31"/>
        <v>0.32374185772222547</v>
      </c>
      <c r="CF17" s="230">
        <f t="shared" si="31"/>
        <v>0.30737302276683692</v>
      </c>
      <c r="CG17" s="230">
        <f t="shared" si="31"/>
        <v>0.29389822439625707</v>
      </c>
      <c r="CH17" s="230">
        <f t="shared" si="31"/>
        <v>0.27980271926734551</v>
      </c>
      <c r="CI17" s="230">
        <f t="shared" si="31"/>
        <v>0.26389564391220854</v>
      </c>
      <c r="CJ17" s="230">
        <f t="shared" si="31"/>
        <v>0.25125647649292904</v>
      </c>
      <c r="CK17" s="230">
        <f t="shared" si="31"/>
        <v>0.23567164717743175</v>
      </c>
      <c r="CL17" s="230">
        <f t="shared" si="31"/>
        <v>0.22563162810367909</v>
      </c>
      <c r="CM17" s="230">
        <f t="shared" si="31"/>
        <v>0.2159957789269161</v>
      </c>
      <c r="CN17" s="230">
        <f t="shared" si="31"/>
        <v>0.20921778250901668</v>
      </c>
      <c r="CO17" s="230">
        <f t="shared" si="31"/>
        <v>0.20117061921266935</v>
      </c>
      <c r="CP17" s="230">
        <f t="shared" si="31"/>
        <v>0.19623194761066018</v>
      </c>
      <c r="CQ17" s="230">
        <f t="shared" si="31"/>
        <v>0.19042317891855479</v>
      </c>
      <c r="CR17" s="230">
        <f t="shared" si="31"/>
        <v>0.18418239034534181</v>
      </c>
      <c r="CS17" s="230">
        <f t="shared" si="31"/>
        <v>0.17805200585931752</v>
      </c>
      <c r="CT17" s="230">
        <f t="shared" si="31"/>
        <v>0.17251283673764145</v>
      </c>
      <c r="CU17" s="230">
        <f t="shared" si="31"/>
        <v>0.16739617613948279</v>
      </c>
      <c r="CV17" s="230">
        <f t="shared" si="31"/>
        <v>0.16110781051449696</v>
      </c>
      <c r="CW17" s="230">
        <f t="shared" si="31"/>
        <v>0.15470379010592394</v>
      </c>
      <c r="CX17" s="230">
        <f t="shared" si="31"/>
        <v>0.14802302674306828</v>
      </c>
      <c r="CY17" s="230">
        <f t="shared" si="31"/>
        <v>0.13985587140634406</v>
      </c>
      <c r="CZ17" s="33"/>
      <c r="DA17" s="33"/>
      <c r="DB17" s="229">
        <f t="shared" si="8"/>
        <v>0.21124397046029328</v>
      </c>
      <c r="DC17" s="229">
        <f t="shared" ref="DC17:DC18" si="32">BX41*-1</f>
        <v>0.21311475409836064</v>
      </c>
      <c r="DE17" s="34" t="s">
        <v>341</v>
      </c>
      <c r="DF17" s="230">
        <f t="shared" ref="DF17:EC17" si="33">$DC17*DF$32</f>
        <v>0.35049139147873531</v>
      </c>
      <c r="DG17" s="230">
        <f t="shared" si="33"/>
        <v>0.33999197337008891</v>
      </c>
      <c r="DH17" s="230">
        <f t="shared" si="33"/>
        <v>0.32982017624188836</v>
      </c>
      <c r="DI17" s="230">
        <f t="shared" si="33"/>
        <v>0.31952415768842624</v>
      </c>
      <c r="DJ17" s="230">
        <f t="shared" si="33"/>
        <v>0.30464711359931151</v>
      </c>
      <c r="DK17" s="230">
        <f t="shared" si="33"/>
        <v>0.29370001874131557</v>
      </c>
      <c r="DL17" s="230">
        <f t="shared" si="33"/>
        <v>0.28194812062567864</v>
      </c>
      <c r="DM17" s="230">
        <f t="shared" si="33"/>
        <v>0.265071078660366</v>
      </c>
      <c r="DN17" s="230">
        <f t="shared" si="33"/>
        <v>0.25293106056911618</v>
      </c>
      <c r="DO17" s="230">
        <f t="shared" si="33"/>
        <v>0.23730963662019183</v>
      </c>
      <c r="DP17" s="230">
        <f t="shared" si="33"/>
        <v>0.22680765687590143</v>
      </c>
      <c r="DQ17" s="230">
        <f t="shared" si="33"/>
        <v>0.21706726166306203</v>
      </c>
      <c r="DR17" s="230">
        <f t="shared" si="33"/>
        <v>0.21021153626959913</v>
      </c>
      <c r="DS17" s="230">
        <f t="shared" si="33"/>
        <v>0.20218037053777529</v>
      </c>
      <c r="DT17" s="230">
        <f t="shared" si="33"/>
        <v>0.19724913065784663</v>
      </c>
      <c r="DU17" s="230">
        <f t="shared" si="33"/>
        <v>0.19106749291438097</v>
      </c>
      <c r="DV17" s="230">
        <f t="shared" si="33"/>
        <v>0.18417648743234769</v>
      </c>
      <c r="DW17" s="230">
        <f t="shared" si="33"/>
        <v>0.17813896166178303</v>
      </c>
      <c r="DX17" s="230">
        <f t="shared" si="33"/>
        <v>0.17245958375165626</v>
      </c>
      <c r="DY17" s="230">
        <f t="shared" si="33"/>
        <v>0.1670823526608024</v>
      </c>
      <c r="DZ17" s="230">
        <f t="shared" si="33"/>
        <v>0.16064526027466858</v>
      </c>
      <c r="EA17" s="230">
        <f t="shared" si="33"/>
        <v>0.15428311954587662</v>
      </c>
      <c r="EB17" s="230">
        <f t="shared" si="33"/>
        <v>0.14746807691560954</v>
      </c>
      <c r="EC17" s="230">
        <f t="shared" si="33"/>
        <v>0.1430595042486616</v>
      </c>
      <c r="ED17" s="33">
        <f t="shared" si="11"/>
        <v>0.22876698458891492</v>
      </c>
      <c r="EE17" s="33">
        <f t="shared" si="12"/>
        <v>0.21311475409836064</v>
      </c>
      <c r="EF17" s="43">
        <v>0.87379592297540487</v>
      </c>
    </row>
    <row r="18" spans="1:136" ht="14.5" x14ac:dyDescent="0.35">
      <c r="A18" s="34" t="s">
        <v>342</v>
      </c>
      <c r="B18" s="15">
        <v>33</v>
      </c>
      <c r="C18" s="15">
        <v>47</v>
      </c>
      <c r="D18" s="15">
        <v>81</v>
      </c>
      <c r="E18" s="15">
        <v>142</v>
      </c>
      <c r="F18" s="15">
        <v>320</v>
      </c>
      <c r="G18" s="15">
        <v>620</v>
      </c>
      <c r="H18" s="15">
        <v>1083</v>
      </c>
      <c r="I18" s="15">
        <v>1273</v>
      </c>
      <c r="J18" s="15">
        <v>1482</v>
      </c>
      <c r="K18" s="15">
        <v>1648</v>
      </c>
      <c r="L18" s="15">
        <v>1817</v>
      </c>
      <c r="M18" s="15">
        <v>1901</v>
      </c>
      <c r="N18" s="15">
        <v>1821</v>
      </c>
      <c r="O18" s="15">
        <v>1648</v>
      </c>
      <c r="P18" s="15">
        <v>1430</v>
      </c>
      <c r="Q18" s="15">
        <v>1212</v>
      </c>
      <c r="R18" s="15">
        <v>787</v>
      </c>
      <c r="S18" s="15">
        <v>605</v>
      </c>
      <c r="T18" s="15">
        <v>360</v>
      </c>
      <c r="U18" s="15">
        <v>159</v>
      </c>
      <c r="V18" s="15">
        <v>78</v>
      </c>
      <c r="W18" s="15">
        <v>47</v>
      </c>
      <c r="X18" s="15">
        <v>22</v>
      </c>
      <c r="Y18" s="15">
        <v>14</v>
      </c>
      <c r="Z18" s="15">
        <v>-7</v>
      </c>
      <c r="AA18" s="15">
        <v>-14</v>
      </c>
      <c r="AB18" s="15">
        <v>-25</v>
      </c>
      <c r="AC18" s="15">
        <v>-35</v>
      </c>
      <c r="AD18" s="15">
        <v>-102</v>
      </c>
      <c r="AE18" s="15">
        <v>-179</v>
      </c>
      <c r="AF18" s="15">
        <v>-297</v>
      </c>
      <c r="AG18" s="15">
        <v>-342</v>
      </c>
      <c r="AH18" s="15">
        <v>-405</v>
      </c>
      <c r="AI18" s="15">
        <v>-434</v>
      </c>
      <c r="AJ18" s="15">
        <v>-453</v>
      </c>
      <c r="AK18" s="15">
        <v>-461</v>
      </c>
      <c r="AL18" s="15">
        <v>-473</v>
      </c>
      <c r="AM18" s="15">
        <v>-403</v>
      </c>
      <c r="AN18" s="15">
        <v>-330</v>
      </c>
      <c r="AO18" s="15">
        <v>-261</v>
      </c>
      <c r="AP18" s="15">
        <v>-181</v>
      </c>
      <c r="AQ18" s="15">
        <v>-127</v>
      </c>
      <c r="AR18" s="15">
        <v>-69</v>
      </c>
      <c r="AS18" s="15">
        <v>-37</v>
      </c>
      <c r="AT18" s="15">
        <v>-16</v>
      </c>
      <c r="AU18" s="15">
        <v>-5</v>
      </c>
      <c r="AV18" s="15">
        <v>-8</v>
      </c>
      <c r="AW18" s="15">
        <v>-3</v>
      </c>
      <c r="AX18" s="172">
        <v>-0.21212121212121213</v>
      </c>
      <c r="AY18" s="172">
        <v>-0.2978723404255319</v>
      </c>
      <c r="AZ18" s="172">
        <v>-0.30864197530864196</v>
      </c>
      <c r="BA18" s="172">
        <v>-0.24647887323943662</v>
      </c>
      <c r="BB18" s="172">
        <v>-0.31874999999999998</v>
      </c>
      <c r="BC18" s="172">
        <v>-0.28870967741935483</v>
      </c>
      <c r="BD18" s="172">
        <v>-0.2742382271468144</v>
      </c>
      <c r="BE18" s="172">
        <v>-0.26865671641791045</v>
      </c>
      <c r="BF18" s="172">
        <v>-0.27327935222672067</v>
      </c>
      <c r="BG18" s="172">
        <v>-0.26334951456310679</v>
      </c>
      <c r="BH18" s="172">
        <v>-0.24931205283434232</v>
      </c>
      <c r="BI18" s="172">
        <v>-0.2425039452919516</v>
      </c>
      <c r="BJ18" s="172">
        <v>-0.25974739154310816</v>
      </c>
      <c r="BK18" s="172">
        <v>-0.24453883495145631</v>
      </c>
      <c r="BL18" s="172">
        <v>-0.23076923076923078</v>
      </c>
      <c r="BM18" s="172">
        <v>-0.21534653465346534</v>
      </c>
      <c r="BN18" s="172">
        <v>-0.22998729351969505</v>
      </c>
      <c r="BO18" s="172">
        <v>-0.20991735537190082</v>
      </c>
      <c r="BP18" s="172">
        <v>-0.19166666666666668</v>
      </c>
      <c r="BQ18" s="172">
        <v>-0.23270440251572327</v>
      </c>
      <c r="BR18" s="172">
        <v>-0.20512820512820512</v>
      </c>
      <c r="BS18" s="172">
        <v>-0.10638297872340426</v>
      </c>
      <c r="BT18" s="172">
        <v>-0.36363636363636365</v>
      </c>
      <c r="BU18" s="172">
        <v>-0.21428571428571427</v>
      </c>
      <c r="BV18" s="15">
        <v>18630</v>
      </c>
      <c r="BW18" s="15">
        <v>-4667</v>
      </c>
      <c r="BX18" s="172">
        <v>-0.25050993022007517</v>
      </c>
      <c r="CA18" s="34" t="s">
        <v>342</v>
      </c>
      <c r="CB18" s="230">
        <f t="shared" ref="CB18:CY18" si="34">$BX18*-1*CB$32</f>
        <v>0.40277726908207434</v>
      </c>
      <c r="CC18" s="230">
        <f t="shared" si="34"/>
        <v>0.38970993803156284</v>
      </c>
      <c r="CD18" s="230">
        <f t="shared" si="34"/>
        <v>0.37710902808353519</v>
      </c>
      <c r="CE18" s="230">
        <f t="shared" si="34"/>
        <v>0.36128569564826585</v>
      </c>
      <c r="CF18" s="230">
        <f t="shared" si="34"/>
        <v>0.34301859245247412</v>
      </c>
      <c r="CG18" s="230">
        <f t="shared" si="34"/>
        <v>0.32798114274706075</v>
      </c>
      <c r="CH18" s="230">
        <f t="shared" si="34"/>
        <v>0.31225100388938504</v>
      </c>
      <c r="CI18" s="230">
        <f t="shared" si="34"/>
        <v>0.29449920983394645</v>
      </c>
      <c r="CJ18" s="230">
        <f t="shared" si="34"/>
        <v>0.28039429789695719</v>
      </c>
      <c r="CK18" s="230">
        <f t="shared" si="34"/>
        <v>0.26300212025139608</v>
      </c>
      <c r="CL18" s="230">
        <f t="shared" si="34"/>
        <v>0.25179777583667146</v>
      </c>
      <c r="CM18" s="230">
        <f t="shared" si="34"/>
        <v>0.24104447227103989</v>
      </c>
      <c r="CN18" s="230">
        <f t="shared" si="34"/>
        <v>0.23348044218802436</v>
      </c>
      <c r="CO18" s="230">
        <f t="shared" si="34"/>
        <v>0.22450006192465244</v>
      </c>
      <c r="CP18" s="230">
        <f t="shared" si="34"/>
        <v>0.21898866028550712</v>
      </c>
      <c r="CQ18" s="230">
        <f t="shared" si="34"/>
        <v>0.21250625775482232</v>
      </c>
      <c r="CR18" s="230">
        <f t="shared" si="34"/>
        <v>0.20554173467173811</v>
      </c>
      <c r="CS18" s="230">
        <f t="shared" si="34"/>
        <v>0.19870041906550912</v>
      </c>
      <c r="CT18" s="230">
        <f t="shared" si="34"/>
        <v>0.19251888114663054</v>
      </c>
      <c r="CU18" s="230">
        <f t="shared" si="34"/>
        <v>0.18680884940526726</v>
      </c>
      <c r="CV18" s="230">
        <f t="shared" si="34"/>
        <v>0.17979123183397699</v>
      </c>
      <c r="CW18" s="230">
        <f t="shared" si="34"/>
        <v>0.17264454717436722</v>
      </c>
      <c r="CX18" s="230">
        <f t="shared" si="34"/>
        <v>0.16518902611202221</v>
      </c>
      <c r="CY18" s="230">
        <f t="shared" si="34"/>
        <v>0.15607473851864104</v>
      </c>
      <c r="CZ18" s="33"/>
      <c r="DA18" s="33"/>
      <c r="DB18" s="229">
        <f t="shared" si="8"/>
        <v>0.2362694255721533</v>
      </c>
      <c r="DC18" s="229">
        <f t="shared" si="32"/>
        <v>0.2145748987854251</v>
      </c>
      <c r="DE18" s="34" t="s">
        <v>342</v>
      </c>
      <c r="DF18" s="230">
        <f t="shared" ref="DF18:EC18" si="35">$DC18*DF$32</f>
        <v>0.35289276507341993</v>
      </c>
      <c r="DG18" s="230">
        <f t="shared" si="35"/>
        <v>0.34232141074602851</v>
      </c>
      <c r="DH18" s="230">
        <f t="shared" si="35"/>
        <v>0.33207992207724235</v>
      </c>
      <c r="DI18" s="230">
        <f t="shared" si="35"/>
        <v>0.32171336088654068</v>
      </c>
      <c r="DJ18" s="230">
        <f t="shared" si="35"/>
        <v>0.3067343875012688</v>
      </c>
      <c r="DK18" s="230">
        <f t="shared" si="35"/>
        <v>0.29571228919049308</v>
      </c>
      <c r="DL18" s="230">
        <f t="shared" si="35"/>
        <v>0.28387987355428806</v>
      </c>
      <c r="DM18" s="230">
        <f t="shared" si="35"/>
        <v>0.26688719941107547</v>
      </c>
      <c r="DN18" s="230">
        <f t="shared" si="35"/>
        <v>0.25466400461536987</v>
      </c>
      <c r="DO18" s="230">
        <f t="shared" si="35"/>
        <v>0.23893555129027724</v>
      </c>
      <c r="DP18" s="230">
        <f t="shared" si="35"/>
        <v>0.22836161777632805</v>
      </c>
      <c r="DQ18" s="230">
        <f t="shared" si="35"/>
        <v>0.21855448675075664</v>
      </c>
      <c r="DR18" s="230">
        <f t="shared" si="35"/>
        <v>0.21165178971025039</v>
      </c>
      <c r="DS18" s="230">
        <f t="shared" si="35"/>
        <v>0.20356559886285505</v>
      </c>
      <c r="DT18" s="230">
        <f t="shared" si="35"/>
        <v>0.19860057284858865</v>
      </c>
      <c r="DU18" s="230">
        <f t="shared" si="35"/>
        <v>0.19237658193466012</v>
      </c>
      <c r="DV18" s="230">
        <f t="shared" si="35"/>
        <v>0.18543836308588607</v>
      </c>
      <c r="DW18" s="230">
        <f t="shared" si="35"/>
        <v>0.17935947152056822</v>
      </c>
      <c r="DX18" s="230">
        <f t="shared" si="35"/>
        <v>0.17364118164718303</v>
      </c>
      <c r="DY18" s="230">
        <f t="shared" si="35"/>
        <v>0.16822710873633578</v>
      </c>
      <c r="DZ18" s="230">
        <f t="shared" si="35"/>
        <v>0.16174591294550095</v>
      </c>
      <c r="EA18" s="230">
        <f t="shared" si="35"/>
        <v>0.15534018233940178</v>
      </c>
      <c r="EB18" s="230">
        <f t="shared" si="35"/>
        <v>0.14847844679793387</v>
      </c>
      <c r="EC18" s="230">
        <f t="shared" si="35"/>
        <v>0.1440396690239561</v>
      </c>
      <c r="ED18" s="33">
        <f t="shared" si="11"/>
        <v>0.2153433508858007</v>
      </c>
      <c r="EE18" s="33">
        <f t="shared" si="12"/>
        <v>0.2145748987854251</v>
      </c>
      <c r="EF18" s="43">
        <v>0.84498503568451666</v>
      </c>
    </row>
    <row r="19" spans="1:136" ht="14.5" x14ac:dyDescent="0.35">
      <c r="A19" s="34" t="s">
        <v>343</v>
      </c>
      <c r="B19" s="15">
        <v>56</v>
      </c>
      <c r="C19" s="15">
        <v>65</v>
      </c>
      <c r="D19" s="15">
        <v>109</v>
      </c>
      <c r="E19" s="15">
        <v>209</v>
      </c>
      <c r="F19" s="15">
        <v>461</v>
      </c>
      <c r="G19" s="15">
        <v>976</v>
      </c>
      <c r="H19" s="15">
        <v>1575</v>
      </c>
      <c r="I19" s="15">
        <v>1811</v>
      </c>
      <c r="J19" s="15">
        <v>2054</v>
      </c>
      <c r="K19" s="15">
        <v>2447</v>
      </c>
      <c r="L19" s="15">
        <v>2639</v>
      </c>
      <c r="M19" s="15">
        <v>2780</v>
      </c>
      <c r="N19" s="15">
        <v>2583</v>
      </c>
      <c r="O19" s="15">
        <v>2458</v>
      </c>
      <c r="P19" s="15">
        <v>2020</v>
      </c>
      <c r="Q19" s="15">
        <v>1724</v>
      </c>
      <c r="R19" s="15">
        <v>1238</v>
      </c>
      <c r="S19" s="15">
        <v>816</v>
      </c>
      <c r="T19" s="15">
        <v>501</v>
      </c>
      <c r="U19" s="15">
        <v>259</v>
      </c>
      <c r="V19" s="15">
        <v>136</v>
      </c>
      <c r="W19" s="15">
        <v>51</v>
      </c>
      <c r="X19" s="15">
        <v>34</v>
      </c>
      <c r="Y19" s="15">
        <v>26</v>
      </c>
      <c r="Z19" s="15">
        <v>56</v>
      </c>
      <c r="AA19" s="15">
        <v>64</v>
      </c>
      <c r="AB19" s="15">
        <v>103</v>
      </c>
      <c r="AC19" s="15">
        <v>184</v>
      </c>
      <c r="AD19" s="15">
        <v>398</v>
      </c>
      <c r="AE19" s="15">
        <v>804</v>
      </c>
      <c r="AF19" s="15">
        <v>1237</v>
      </c>
      <c r="AG19" s="15">
        <v>1307</v>
      </c>
      <c r="AH19" s="15">
        <v>1440</v>
      </c>
      <c r="AI19" s="15">
        <v>1599</v>
      </c>
      <c r="AJ19" s="15">
        <v>1680</v>
      </c>
      <c r="AK19" s="15">
        <v>1716</v>
      </c>
      <c r="AL19" s="15">
        <v>1516</v>
      </c>
      <c r="AM19" s="15">
        <v>1393</v>
      </c>
      <c r="AN19" s="15">
        <v>1081</v>
      </c>
      <c r="AO19" s="15">
        <v>934</v>
      </c>
      <c r="AP19" s="15">
        <v>645</v>
      </c>
      <c r="AQ19" s="15">
        <v>410</v>
      </c>
      <c r="AR19" s="15">
        <v>256</v>
      </c>
      <c r="AS19" s="15">
        <v>119</v>
      </c>
      <c r="AT19" s="15">
        <v>49</v>
      </c>
      <c r="AU19" s="15">
        <v>21</v>
      </c>
      <c r="AV19" s="15">
        <v>13</v>
      </c>
      <c r="AW19" s="15">
        <v>11</v>
      </c>
      <c r="AX19" s="172">
        <v>1</v>
      </c>
      <c r="AY19" s="172">
        <v>0.98461538461538467</v>
      </c>
      <c r="AZ19" s="172">
        <v>0.94495412844036697</v>
      </c>
      <c r="BA19" s="172">
        <v>0.88038277511961727</v>
      </c>
      <c r="BB19" s="172">
        <v>0.8633405639913232</v>
      </c>
      <c r="BC19" s="172">
        <v>0.82377049180327866</v>
      </c>
      <c r="BD19" s="172">
        <v>0.78539682539682543</v>
      </c>
      <c r="BE19" s="172">
        <v>0.72170071783544998</v>
      </c>
      <c r="BF19" s="172">
        <v>0.70107108081791625</v>
      </c>
      <c r="BG19" s="172">
        <v>0.65345320800980788</v>
      </c>
      <c r="BH19" s="172">
        <v>0.63660477453580899</v>
      </c>
      <c r="BI19" s="172">
        <v>0.61726618705035974</v>
      </c>
      <c r="BJ19" s="172">
        <v>0.58691444057297715</v>
      </c>
      <c r="BK19" s="172">
        <v>0.56672091131000812</v>
      </c>
      <c r="BL19" s="172">
        <v>0.53514851485148518</v>
      </c>
      <c r="BM19" s="172">
        <v>0.54176334106728541</v>
      </c>
      <c r="BN19" s="172">
        <v>0.52100161550888535</v>
      </c>
      <c r="BO19" s="172">
        <v>0.50245098039215685</v>
      </c>
      <c r="BP19" s="172">
        <v>0.51097804391217561</v>
      </c>
      <c r="BQ19" s="172">
        <v>0.45945945945945948</v>
      </c>
      <c r="BR19" s="172">
        <v>0.36029411764705882</v>
      </c>
      <c r="BS19" s="172">
        <v>0.41176470588235292</v>
      </c>
      <c r="BT19" s="172">
        <v>0.38235294117647056</v>
      </c>
      <c r="BU19" s="172">
        <v>0.42307692307692307</v>
      </c>
      <c r="BV19" s="15">
        <v>27028</v>
      </c>
      <c r="BW19" s="15">
        <v>17036</v>
      </c>
      <c r="BX19" s="172">
        <v>0.6303093088648809</v>
      </c>
      <c r="CA19" s="34" t="s">
        <v>343</v>
      </c>
      <c r="CB19" s="172">
        <v>0.98</v>
      </c>
      <c r="CC19" s="172">
        <v>0.96</v>
      </c>
      <c r="CD19" s="172">
        <f t="shared" ref="CD19:CO19" si="36">+AZ19</f>
        <v>0.94495412844036697</v>
      </c>
      <c r="CE19" s="172">
        <f t="shared" si="36"/>
        <v>0.88038277511961727</v>
      </c>
      <c r="CF19" s="172">
        <f t="shared" si="36"/>
        <v>0.8633405639913232</v>
      </c>
      <c r="CG19" s="172">
        <f t="shared" si="36"/>
        <v>0.82377049180327866</v>
      </c>
      <c r="CH19" s="172">
        <f t="shared" si="36"/>
        <v>0.78539682539682543</v>
      </c>
      <c r="CI19" s="172">
        <f t="shared" si="36"/>
        <v>0.72170071783544998</v>
      </c>
      <c r="CJ19" s="172">
        <f t="shared" si="36"/>
        <v>0.70107108081791625</v>
      </c>
      <c r="CK19" s="172">
        <f t="shared" si="36"/>
        <v>0.65345320800980788</v>
      </c>
      <c r="CL19" s="172">
        <f t="shared" si="36"/>
        <v>0.63660477453580899</v>
      </c>
      <c r="CM19" s="172">
        <f t="shared" si="36"/>
        <v>0.61726618705035974</v>
      </c>
      <c r="CN19" s="172">
        <f t="shared" si="36"/>
        <v>0.58691444057297715</v>
      </c>
      <c r="CO19" s="33">
        <f t="shared" si="36"/>
        <v>0.56672091131000812</v>
      </c>
      <c r="CP19" s="33">
        <v>0.55200000000000005</v>
      </c>
      <c r="CQ19" s="33">
        <v>0.53700000000000003</v>
      </c>
      <c r="CR19" s="33">
        <f t="shared" ref="CR19:CS19" si="37">+BN19</f>
        <v>0.52100161550888535</v>
      </c>
      <c r="CS19" s="33">
        <f t="shared" si="37"/>
        <v>0.50245098039215685</v>
      </c>
      <c r="CT19" s="172">
        <v>0.48</v>
      </c>
      <c r="CU19" s="172">
        <f t="shared" ref="CU19:CU20" si="38">+BQ19</f>
        <v>0.45945945945945948</v>
      </c>
      <c r="CV19" s="172">
        <v>0.44</v>
      </c>
      <c r="CW19" s="172">
        <v>0.42</v>
      </c>
      <c r="CX19" s="172">
        <v>0.4</v>
      </c>
      <c r="CY19" s="172">
        <v>0.38</v>
      </c>
      <c r="CZ19" s="33">
        <f t="shared" ref="CZ19:CZ20" si="39">SUMPRODUCT(CB19:CY19,B19:Y19)/SUM(B19:Y19)</f>
        <v>0.6309874204528636</v>
      </c>
      <c r="DA19" s="33">
        <f t="shared" ref="DA19:DA20" si="40">BX19</f>
        <v>0.6303093088648809</v>
      </c>
      <c r="DB19" s="229">
        <f t="shared" si="8"/>
        <v>0.5992334351774945</v>
      </c>
      <c r="DC19" s="229">
        <f t="shared" ref="DC19:DC20" si="41">BX43</f>
        <v>0.73502304147465436</v>
      </c>
      <c r="DE19" s="34" t="s">
        <v>343</v>
      </c>
      <c r="DF19" s="172">
        <f t="shared" ref="DF19:EC19" si="42">MIN(0.98,CB19*$EF19)</f>
        <v>0.98</v>
      </c>
      <c r="DG19" s="172">
        <f t="shared" si="42"/>
        <v>0.98</v>
      </c>
      <c r="DH19" s="172">
        <f t="shared" si="42"/>
        <v>0.98</v>
      </c>
      <c r="DI19" s="172">
        <f t="shared" si="42"/>
        <v>0.98</v>
      </c>
      <c r="DJ19" s="172">
        <f t="shared" si="42"/>
        <v>0.98</v>
      </c>
      <c r="DK19" s="172">
        <f t="shared" si="42"/>
        <v>0.98</v>
      </c>
      <c r="DL19" s="172">
        <f t="shared" si="42"/>
        <v>0.98</v>
      </c>
      <c r="DM19" s="172">
        <f t="shared" si="42"/>
        <v>0.90077531579771519</v>
      </c>
      <c r="DN19" s="172">
        <f t="shared" si="42"/>
        <v>0.87502687556476799</v>
      </c>
      <c r="DO19" s="172">
        <f t="shared" si="42"/>
        <v>0.81559364603302331</v>
      </c>
      <c r="DP19" s="172">
        <f t="shared" si="42"/>
        <v>0.79456463413352496</v>
      </c>
      <c r="DQ19" s="172">
        <f t="shared" si="42"/>
        <v>0.7704275897620948</v>
      </c>
      <c r="DR19" s="172">
        <f t="shared" si="42"/>
        <v>0.73254470653568493</v>
      </c>
      <c r="DS19" s="172">
        <f t="shared" si="42"/>
        <v>0.70734058486946727</v>
      </c>
      <c r="DT19" s="172">
        <f t="shared" si="42"/>
        <v>0.68896699425717955</v>
      </c>
      <c r="DU19" s="172">
        <f t="shared" si="42"/>
        <v>0.67024506506540837</v>
      </c>
      <c r="DV19" s="172">
        <f t="shared" si="42"/>
        <v>0.65027702362371642</v>
      </c>
      <c r="DW19" s="172">
        <f t="shared" si="42"/>
        <v>0.62712344514919816</v>
      </c>
      <c r="DX19" s="172">
        <f t="shared" si="42"/>
        <v>0.59910173413667778</v>
      </c>
      <c r="DY19" s="172">
        <f t="shared" si="42"/>
        <v>0.5734644977659642</v>
      </c>
      <c r="DZ19" s="172">
        <f t="shared" si="42"/>
        <v>0.54917658962528804</v>
      </c>
      <c r="EA19" s="172">
        <f t="shared" si="42"/>
        <v>0.52421401736959305</v>
      </c>
      <c r="EB19" s="172">
        <f t="shared" si="42"/>
        <v>0.49925144511389824</v>
      </c>
      <c r="EC19" s="172">
        <f t="shared" si="42"/>
        <v>0.47428887285820331</v>
      </c>
      <c r="ED19" s="33">
        <f t="shared" si="11"/>
        <v>0.73407205122901309</v>
      </c>
      <c r="EE19" s="33">
        <f t="shared" si="12"/>
        <v>0.73502304147465436</v>
      </c>
      <c r="EF19" s="43">
        <v>1.2481286127847455</v>
      </c>
    </row>
    <row r="20" spans="1:136" ht="14.5" x14ac:dyDescent="0.35">
      <c r="A20" s="34" t="s">
        <v>344</v>
      </c>
      <c r="B20" s="15">
        <v>43</v>
      </c>
      <c r="C20" s="15">
        <v>66</v>
      </c>
      <c r="D20" s="15">
        <v>106</v>
      </c>
      <c r="E20" s="15">
        <v>212</v>
      </c>
      <c r="F20" s="15">
        <v>458</v>
      </c>
      <c r="G20" s="15">
        <v>876</v>
      </c>
      <c r="H20" s="15">
        <v>1517</v>
      </c>
      <c r="I20" s="15">
        <v>1741</v>
      </c>
      <c r="J20" s="15">
        <v>1974</v>
      </c>
      <c r="K20" s="15">
        <v>2399</v>
      </c>
      <c r="L20" s="15">
        <v>2463</v>
      </c>
      <c r="M20" s="15">
        <v>2619</v>
      </c>
      <c r="N20" s="15">
        <v>2555</v>
      </c>
      <c r="O20" s="15">
        <v>2230</v>
      </c>
      <c r="P20" s="15">
        <v>1952</v>
      </c>
      <c r="Q20" s="15">
        <v>1563</v>
      </c>
      <c r="R20" s="15">
        <v>1166</v>
      </c>
      <c r="S20" s="15">
        <v>795</v>
      </c>
      <c r="T20" s="15">
        <v>513</v>
      </c>
      <c r="U20" s="15">
        <v>238</v>
      </c>
      <c r="V20" s="15">
        <v>121</v>
      </c>
      <c r="W20" s="15">
        <v>59</v>
      </c>
      <c r="X20" s="15">
        <v>28</v>
      </c>
      <c r="Y20" s="15">
        <v>15</v>
      </c>
      <c r="Z20" s="15">
        <v>26</v>
      </c>
      <c r="AA20" s="15">
        <v>43</v>
      </c>
      <c r="AB20" s="15">
        <v>61</v>
      </c>
      <c r="AC20" s="15">
        <v>117</v>
      </c>
      <c r="AD20" s="15">
        <v>226</v>
      </c>
      <c r="AE20" s="15">
        <v>434</v>
      </c>
      <c r="AF20" s="15">
        <v>763</v>
      </c>
      <c r="AG20" s="15">
        <v>805</v>
      </c>
      <c r="AH20" s="15">
        <v>890</v>
      </c>
      <c r="AI20" s="15">
        <v>1023</v>
      </c>
      <c r="AJ20" s="15">
        <v>999</v>
      </c>
      <c r="AK20" s="15">
        <v>996</v>
      </c>
      <c r="AL20" s="15">
        <v>952</v>
      </c>
      <c r="AM20" s="15">
        <v>856</v>
      </c>
      <c r="AN20" s="15">
        <v>739</v>
      </c>
      <c r="AO20" s="15">
        <v>566</v>
      </c>
      <c r="AP20" s="15">
        <v>425</v>
      </c>
      <c r="AQ20" s="15">
        <v>320</v>
      </c>
      <c r="AR20" s="15">
        <v>191</v>
      </c>
      <c r="AS20" s="15">
        <v>85</v>
      </c>
      <c r="AT20" s="15">
        <v>38</v>
      </c>
      <c r="AU20" s="15">
        <v>20</v>
      </c>
      <c r="AV20" s="15">
        <v>6</v>
      </c>
      <c r="AW20" s="15">
        <v>3</v>
      </c>
      <c r="AX20" s="172">
        <v>0.60465116279069764</v>
      </c>
      <c r="AY20" s="172">
        <v>0.65151515151515149</v>
      </c>
      <c r="AZ20" s="172">
        <v>0.57547169811320753</v>
      </c>
      <c r="BA20" s="172">
        <v>0.55188679245283023</v>
      </c>
      <c r="BB20" s="172">
        <v>0.49344978165938863</v>
      </c>
      <c r="BC20" s="172">
        <v>0.4954337899543379</v>
      </c>
      <c r="BD20" s="172">
        <v>0.50296638101516156</v>
      </c>
      <c r="BE20" s="172">
        <v>0.46237794371051122</v>
      </c>
      <c r="BF20" s="172">
        <v>0.45086119554204662</v>
      </c>
      <c r="BG20" s="172">
        <v>0.4264276781992497</v>
      </c>
      <c r="BH20" s="172">
        <v>0.4056029232643118</v>
      </c>
      <c r="BI20" s="172">
        <v>0.38029782359679265</v>
      </c>
      <c r="BJ20" s="172">
        <v>0.37260273972602742</v>
      </c>
      <c r="BK20" s="172">
        <v>0.38385650224215245</v>
      </c>
      <c r="BL20" s="172">
        <v>0.3785860655737705</v>
      </c>
      <c r="BM20" s="172">
        <v>0.36212412028150992</v>
      </c>
      <c r="BN20" s="172">
        <v>0.36449399656946829</v>
      </c>
      <c r="BO20" s="172">
        <v>0.40251572327044027</v>
      </c>
      <c r="BP20" s="172">
        <v>0.37231968810916177</v>
      </c>
      <c r="BQ20" s="172">
        <v>0.35714285714285715</v>
      </c>
      <c r="BR20" s="172">
        <v>0.31404958677685951</v>
      </c>
      <c r="BS20" s="172">
        <v>0.33898305084745761</v>
      </c>
      <c r="BT20" s="172">
        <v>0.21428571428571427</v>
      </c>
      <c r="BU20" s="172">
        <v>0.2</v>
      </c>
      <c r="BV20" s="15">
        <v>25709</v>
      </c>
      <c r="BW20" s="15">
        <v>10584</v>
      </c>
      <c r="BX20" s="172">
        <v>0.41168462406161266</v>
      </c>
      <c r="CA20" s="34" t="s">
        <v>344</v>
      </c>
      <c r="CB20" s="230">
        <v>0.62</v>
      </c>
      <c r="CC20" s="172">
        <v>0.6</v>
      </c>
      <c r="CD20" s="172">
        <f t="shared" ref="CD20:CF20" si="43">+AZ20</f>
        <v>0.57547169811320753</v>
      </c>
      <c r="CE20" s="33">
        <f t="shared" si="43"/>
        <v>0.55188679245283023</v>
      </c>
      <c r="CF20" s="33">
        <f t="shared" si="43"/>
        <v>0.49344978165938863</v>
      </c>
      <c r="CG20" s="33">
        <v>0.48</v>
      </c>
      <c r="CH20" s="33">
        <v>0.47</v>
      </c>
      <c r="CI20" s="33">
        <f t="shared" ref="CI20:CL20" si="44">+BE20</f>
        <v>0.46237794371051122</v>
      </c>
      <c r="CJ20" s="33">
        <f t="shared" si="44"/>
        <v>0.45086119554204662</v>
      </c>
      <c r="CK20" s="172">
        <f t="shared" si="44"/>
        <v>0.4264276781992497</v>
      </c>
      <c r="CL20" s="172">
        <f t="shared" si="44"/>
        <v>0.4056029232643118</v>
      </c>
      <c r="CM20" s="33">
        <f t="shared" ref="CM20:CT20" si="45">CL20-0.5%</f>
        <v>0.40060292326431179</v>
      </c>
      <c r="CN20" s="33">
        <f t="shared" si="45"/>
        <v>0.39560292326431179</v>
      </c>
      <c r="CO20" s="33">
        <f t="shared" si="45"/>
        <v>0.39060292326431179</v>
      </c>
      <c r="CP20" s="33">
        <f t="shared" si="45"/>
        <v>0.38560292326431178</v>
      </c>
      <c r="CQ20" s="33">
        <f t="shared" si="45"/>
        <v>0.38060292326431178</v>
      </c>
      <c r="CR20" s="33">
        <f t="shared" si="45"/>
        <v>0.37560292326431177</v>
      </c>
      <c r="CS20" s="33">
        <f t="shared" si="45"/>
        <v>0.37060292326431177</v>
      </c>
      <c r="CT20" s="33">
        <f t="shared" si="45"/>
        <v>0.36560292326431176</v>
      </c>
      <c r="CU20" s="33">
        <f t="shared" si="38"/>
        <v>0.35714285714285715</v>
      </c>
      <c r="CV20" s="172">
        <v>0.34</v>
      </c>
      <c r="CW20" s="172">
        <v>0.33</v>
      </c>
      <c r="CX20" s="172">
        <v>0.32</v>
      </c>
      <c r="CY20" s="172">
        <v>0.31</v>
      </c>
      <c r="CZ20" s="33">
        <f t="shared" si="39"/>
        <v>0.41536640675556902</v>
      </c>
      <c r="DA20" s="33">
        <f t="shared" si="40"/>
        <v>0.41168462406161266</v>
      </c>
      <c r="DB20" s="229">
        <f t="shared" si="8"/>
        <v>0.40543891854302705</v>
      </c>
      <c r="DC20" s="229">
        <f t="shared" si="41"/>
        <v>0.40875912408759124</v>
      </c>
      <c r="DE20" s="34" t="s">
        <v>344</v>
      </c>
      <c r="DF20" s="172">
        <f t="shared" ref="DF20:EC20" si="46">CB20*$EF20</f>
        <v>0.6315755736449199</v>
      </c>
      <c r="DG20" s="172">
        <f t="shared" si="46"/>
        <v>0.61120216804347083</v>
      </c>
      <c r="DH20" s="172">
        <f t="shared" si="46"/>
        <v>0.58621591589075028</v>
      </c>
      <c r="DI20" s="172">
        <f t="shared" si="46"/>
        <v>0.56219067343621143</v>
      </c>
      <c r="DJ20" s="172">
        <f t="shared" si="46"/>
        <v>0.50266262728465938</v>
      </c>
      <c r="DK20" s="172">
        <f t="shared" si="46"/>
        <v>0.48896173443477664</v>
      </c>
      <c r="DL20" s="172">
        <f t="shared" si="46"/>
        <v>0.47877503163405216</v>
      </c>
      <c r="DM20" s="172">
        <f t="shared" si="46"/>
        <v>0.47101066941891062</v>
      </c>
      <c r="DN20" s="172">
        <f t="shared" si="46"/>
        <v>0.45927890033661689</v>
      </c>
      <c r="DO20" s="172">
        <f t="shared" si="46"/>
        <v>0.43438920238187489</v>
      </c>
      <c r="DP20" s="172">
        <f t="shared" si="46"/>
        <v>0.41317564343986152</v>
      </c>
      <c r="DQ20" s="172">
        <f t="shared" si="46"/>
        <v>0.40808229203949925</v>
      </c>
      <c r="DR20" s="172">
        <f t="shared" si="46"/>
        <v>0.40298894063913698</v>
      </c>
      <c r="DS20" s="172">
        <f t="shared" si="46"/>
        <v>0.39789558923877472</v>
      </c>
      <c r="DT20" s="172">
        <f t="shared" si="46"/>
        <v>0.39280223783841245</v>
      </c>
      <c r="DU20" s="172">
        <f t="shared" si="46"/>
        <v>0.38770888643805024</v>
      </c>
      <c r="DV20" s="172">
        <f t="shared" si="46"/>
        <v>0.38261553503768797</v>
      </c>
      <c r="DW20" s="172">
        <f t="shared" si="46"/>
        <v>0.3775221836373257</v>
      </c>
      <c r="DX20" s="172">
        <f t="shared" si="46"/>
        <v>0.37242883223696344</v>
      </c>
      <c r="DY20" s="172">
        <f t="shared" si="46"/>
        <v>0.36381081431158979</v>
      </c>
      <c r="DZ20" s="172">
        <f t="shared" si="46"/>
        <v>0.3463478952246335</v>
      </c>
      <c r="EA20" s="172">
        <f t="shared" si="46"/>
        <v>0.33616119242390896</v>
      </c>
      <c r="EB20" s="172">
        <f t="shared" si="46"/>
        <v>0.32597448962318448</v>
      </c>
      <c r="EC20" s="172">
        <f t="shared" si="46"/>
        <v>0.31578778682245995</v>
      </c>
      <c r="ED20" s="33">
        <f t="shared" si="11"/>
        <v>0.4087591240875913</v>
      </c>
      <c r="EE20" s="33">
        <f t="shared" si="12"/>
        <v>0.40875912408759124</v>
      </c>
      <c r="EF20" s="43">
        <v>1.0186702800724514</v>
      </c>
    </row>
    <row r="21" spans="1:136" ht="15.75" customHeight="1" x14ac:dyDescent="0.35">
      <c r="A21" s="34" t="s">
        <v>345</v>
      </c>
      <c r="B21" s="15">
        <v>172</v>
      </c>
      <c r="C21" s="15">
        <v>262</v>
      </c>
      <c r="D21" s="15">
        <v>440</v>
      </c>
      <c r="E21" s="15">
        <v>864</v>
      </c>
      <c r="F21" s="15">
        <v>1705</v>
      </c>
      <c r="G21" s="15">
        <v>3656</v>
      </c>
      <c r="H21" s="15">
        <v>6021</v>
      </c>
      <c r="I21" s="15">
        <v>7252</v>
      </c>
      <c r="J21" s="15">
        <v>8477</v>
      </c>
      <c r="K21" s="15">
        <v>9835</v>
      </c>
      <c r="L21" s="15">
        <v>10772</v>
      </c>
      <c r="M21" s="15">
        <v>11313</v>
      </c>
      <c r="N21" s="15">
        <v>10953</v>
      </c>
      <c r="O21" s="15">
        <v>10116</v>
      </c>
      <c r="P21" s="15">
        <v>8929</v>
      </c>
      <c r="Q21" s="15">
        <v>7201</v>
      </c>
      <c r="R21" s="15">
        <v>5335</v>
      </c>
      <c r="S21" s="15">
        <v>3645</v>
      </c>
      <c r="T21" s="15">
        <v>2149</v>
      </c>
      <c r="U21" s="15">
        <v>1060</v>
      </c>
      <c r="V21" s="15">
        <v>564</v>
      </c>
      <c r="W21" s="15">
        <v>295</v>
      </c>
      <c r="X21" s="15">
        <v>145</v>
      </c>
      <c r="Y21" s="15">
        <v>83</v>
      </c>
      <c r="Z21" s="15">
        <v>127</v>
      </c>
      <c r="AA21" s="15">
        <v>189</v>
      </c>
      <c r="AB21" s="15">
        <v>302</v>
      </c>
      <c r="AC21" s="15">
        <v>558</v>
      </c>
      <c r="AD21" s="15">
        <v>994</v>
      </c>
      <c r="AE21" s="15">
        <v>2001</v>
      </c>
      <c r="AF21" s="15">
        <v>3112</v>
      </c>
      <c r="AG21" s="15">
        <v>3561</v>
      </c>
      <c r="AH21" s="15">
        <v>3692</v>
      </c>
      <c r="AI21" s="15">
        <v>3931</v>
      </c>
      <c r="AJ21" s="15">
        <v>4068</v>
      </c>
      <c r="AK21" s="15">
        <v>3908</v>
      </c>
      <c r="AL21" s="15">
        <v>3681</v>
      </c>
      <c r="AM21" s="15">
        <v>3130</v>
      </c>
      <c r="AN21" s="15">
        <v>2684</v>
      </c>
      <c r="AO21" s="15">
        <v>2077</v>
      </c>
      <c r="AP21" s="15">
        <v>1472</v>
      </c>
      <c r="AQ21" s="15">
        <v>947</v>
      </c>
      <c r="AR21" s="15">
        <v>572</v>
      </c>
      <c r="AS21" s="15">
        <v>247</v>
      </c>
      <c r="AT21" s="15">
        <v>137</v>
      </c>
      <c r="AU21" s="15">
        <v>60</v>
      </c>
      <c r="AV21" s="15">
        <v>28</v>
      </c>
      <c r="AW21" s="15">
        <v>13</v>
      </c>
      <c r="AX21" s="172">
        <v>0.73837209302325579</v>
      </c>
      <c r="AY21" s="172">
        <v>0.72137404580152675</v>
      </c>
      <c r="AZ21" s="172">
        <v>0.6863636363636364</v>
      </c>
      <c r="BA21" s="172">
        <v>0.64583333333333337</v>
      </c>
      <c r="BB21" s="172">
        <v>0.58299120234604107</v>
      </c>
      <c r="BC21" s="172">
        <v>0.54731947483588617</v>
      </c>
      <c r="BD21" s="172">
        <v>0.51685766483972762</v>
      </c>
      <c r="BE21" s="172">
        <v>0.49103695532266961</v>
      </c>
      <c r="BF21" s="172">
        <v>0.43553143800872951</v>
      </c>
      <c r="BG21" s="172">
        <v>0.39969496695475343</v>
      </c>
      <c r="BH21" s="172">
        <v>0.37764574823616787</v>
      </c>
      <c r="BI21" s="172">
        <v>0.34544329532396356</v>
      </c>
      <c r="BJ21" s="172">
        <v>0.33607230895645029</v>
      </c>
      <c r="BK21" s="172">
        <v>0.30941083432186633</v>
      </c>
      <c r="BL21" s="172">
        <v>0.30059357150856758</v>
      </c>
      <c r="BM21" s="172">
        <v>0.28843216219969448</v>
      </c>
      <c r="BN21" s="172">
        <v>0.27591377694470476</v>
      </c>
      <c r="BO21" s="172">
        <v>0.25980795610425239</v>
      </c>
      <c r="BP21" s="172">
        <v>0.26617031177291761</v>
      </c>
      <c r="BQ21" s="172">
        <v>0.23301886792452831</v>
      </c>
      <c r="BR21" s="172">
        <v>0.24290780141843971</v>
      </c>
      <c r="BS21" s="172">
        <v>0.20338983050847459</v>
      </c>
      <c r="BT21" s="172">
        <v>0.19310344827586207</v>
      </c>
      <c r="BU21" s="172">
        <v>0.15662650602409639</v>
      </c>
      <c r="BV21" s="15">
        <v>111244</v>
      </c>
      <c r="BW21" s="15">
        <v>41491</v>
      </c>
      <c r="BX21" s="172">
        <v>0.37297292438243862</v>
      </c>
      <c r="CA21" s="34" t="s">
        <v>345</v>
      </c>
      <c r="CB21" s="229">
        <f t="shared" ref="CB21:CY21" si="47">CB28</f>
        <v>0.7652484013772749</v>
      </c>
      <c r="CC21" s="229">
        <f t="shared" si="47"/>
        <v>0.75070741369552918</v>
      </c>
      <c r="CD21" s="229">
        <f t="shared" si="47"/>
        <v>0.72152608463372514</v>
      </c>
      <c r="CE21" s="229">
        <f t="shared" si="47"/>
        <v>0.68786433748418818</v>
      </c>
      <c r="CF21" s="229">
        <f t="shared" si="47"/>
        <v>0.63549691231008787</v>
      </c>
      <c r="CG21" s="229">
        <f t="shared" si="47"/>
        <v>0.60278949214423039</v>
      </c>
      <c r="CH21" s="229">
        <f t="shared" si="47"/>
        <v>0.57340648825739304</v>
      </c>
      <c r="CI21" s="229">
        <f t="shared" si="47"/>
        <v>0.54917265569818485</v>
      </c>
      <c r="CJ21" s="229">
        <f t="shared" si="47"/>
        <v>0.50104174508604749</v>
      </c>
      <c r="CK21" s="229">
        <f t="shared" si="47"/>
        <v>0.46636191645639397</v>
      </c>
      <c r="CL21" s="229">
        <f t="shared" si="47"/>
        <v>0.44256220476889707</v>
      </c>
      <c r="CM21" s="229">
        <f t="shared" si="47"/>
        <v>0.41449828034736624</v>
      </c>
      <c r="CN21" s="229">
        <f t="shared" si="47"/>
        <v>0.40497127049279663</v>
      </c>
      <c r="CO21" s="229">
        <f t="shared" si="47"/>
        <v>0.37820814805343639</v>
      </c>
      <c r="CP21" s="229">
        <f t="shared" si="47"/>
        <v>0.36900364752764425</v>
      </c>
      <c r="CQ21" s="229">
        <f t="shared" si="47"/>
        <v>0.3596353326068365</v>
      </c>
      <c r="CR21" s="229">
        <f t="shared" si="47"/>
        <v>0.34923066724404794</v>
      </c>
      <c r="CS21" s="229">
        <f t="shared" si="47"/>
        <v>0.34</v>
      </c>
      <c r="CT21" s="229">
        <f t="shared" si="47"/>
        <v>0.33</v>
      </c>
      <c r="CU21" s="229">
        <f t="shared" si="47"/>
        <v>0.32</v>
      </c>
      <c r="CV21" s="229">
        <f t="shared" si="47"/>
        <v>0.3</v>
      </c>
      <c r="CW21" s="229">
        <f t="shared" si="47"/>
        <v>0.27608010906868508</v>
      </c>
      <c r="CX21" s="229">
        <f t="shared" si="47"/>
        <v>0.25813980627844557</v>
      </c>
      <c r="CY21" s="229">
        <f t="shared" si="47"/>
        <v>0.21667650665334484</v>
      </c>
      <c r="DB21" s="229">
        <f t="shared" ref="DB21:DC21" si="48">DB23</f>
        <v>0.48522531032752286</v>
      </c>
      <c r="DC21" s="229">
        <f t="shared" si="48"/>
        <v>0.40675057208237986</v>
      </c>
      <c r="DE21" s="34" t="s">
        <v>345</v>
      </c>
      <c r="DF21" s="172">
        <f t="shared" ref="DF21:EC21" si="49">CB21*$EF21</f>
        <v>0.74777238725058592</v>
      </c>
      <c r="DG21" s="172">
        <f t="shared" si="49"/>
        <v>0.73356347279589273</v>
      </c>
      <c r="DH21" s="172">
        <f t="shared" si="49"/>
        <v>0.7050485591333262</v>
      </c>
      <c r="DI21" s="172">
        <f t="shared" si="49"/>
        <v>0.67215554690392176</v>
      </c>
      <c r="DJ21" s="172">
        <f t="shared" si="49"/>
        <v>0.62098403910837963</v>
      </c>
      <c r="DK21" s="172">
        <f t="shared" si="49"/>
        <v>0.58902355985195409</v>
      </c>
      <c r="DL21" s="172">
        <f t="shared" si="49"/>
        <v>0.56031157702192225</v>
      </c>
      <c r="DM21" s="172">
        <f t="shared" si="49"/>
        <v>0.53663117364908841</v>
      </c>
      <c r="DN21" s="172">
        <f t="shared" si="49"/>
        <v>0.4895994309310287</v>
      </c>
      <c r="DO21" s="172">
        <f t="shared" si="49"/>
        <v>0.45571158719667482</v>
      </c>
      <c r="DP21" s="172">
        <f t="shared" si="49"/>
        <v>0.43245539065656435</v>
      </c>
      <c r="DQ21" s="172">
        <f t="shared" si="49"/>
        <v>0.40503236341137305</v>
      </c>
      <c r="DR21" s="172">
        <f t="shared" si="49"/>
        <v>0.39572292233382261</v>
      </c>
      <c r="DS21" s="172">
        <f t="shared" si="49"/>
        <v>0.36957099059408721</v>
      </c>
      <c r="DT21" s="172">
        <f t="shared" si="49"/>
        <v>0.36057669368443901</v>
      </c>
      <c r="DU21" s="172">
        <f t="shared" si="49"/>
        <v>0.35142232341690288</v>
      </c>
      <c r="DV21" s="172">
        <f t="shared" si="49"/>
        <v>0.34125526989170368</v>
      </c>
      <c r="DW21" s="172">
        <f t="shared" si="49"/>
        <v>0.3322354038343886</v>
      </c>
      <c r="DX21" s="172">
        <f t="shared" si="49"/>
        <v>0.32246377430984774</v>
      </c>
      <c r="DY21" s="172">
        <f t="shared" si="49"/>
        <v>0.31269214478530688</v>
      </c>
      <c r="DZ21" s="172">
        <f t="shared" si="49"/>
        <v>0.29314888573622522</v>
      </c>
      <c r="EA21" s="172">
        <f t="shared" si="49"/>
        <v>0.26977525449140183</v>
      </c>
      <c r="EB21" s="172">
        <f t="shared" si="49"/>
        <v>0.25224465524897116</v>
      </c>
      <c r="EC21" s="172">
        <f t="shared" si="49"/>
        <v>0.21172825496881942</v>
      </c>
      <c r="ED21" s="33">
        <f t="shared" si="11"/>
        <v>0.40675057208237997</v>
      </c>
      <c r="EE21" s="33">
        <f t="shared" si="12"/>
        <v>0.40675057208237986</v>
      </c>
      <c r="EF21" s="43">
        <v>0.97716295245408402</v>
      </c>
    </row>
    <row r="22" spans="1:136" ht="15.75" customHeight="1" x14ac:dyDescent="0.35">
      <c r="A22" s="34" t="s">
        <v>346</v>
      </c>
      <c r="B22" s="15">
        <v>56</v>
      </c>
      <c r="C22" s="15">
        <v>80</v>
      </c>
      <c r="D22" s="15">
        <v>129</v>
      </c>
      <c r="E22" s="15">
        <v>249</v>
      </c>
      <c r="F22" s="15">
        <v>487</v>
      </c>
      <c r="G22" s="15">
        <v>968</v>
      </c>
      <c r="H22" s="15">
        <v>1463</v>
      </c>
      <c r="I22" s="15">
        <v>1685</v>
      </c>
      <c r="J22" s="15">
        <v>1998</v>
      </c>
      <c r="K22" s="15">
        <v>2190</v>
      </c>
      <c r="L22" s="15">
        <v>2217</v>
      </c>
      <c r="M22" s="15">
        <v>2398</v>
      </c>
      <c r="N22" s="15">
        <v>2283</v>
      </c>
      <c r="O22" s="15">
        <v>2034</v>
      </c>
      <c r="P22" s="15">
        <v>1765</v>
      </c>
      <c r="Q22" s="15">
        <v>1484</v>
      </c>
      <c r="R22" s="15">
        <v>1132</v>
      </c>
      <c r="S22" s="15">
        <v>753</v>
      </c>
      <c r="T22" s="15">
        <v>438</v>
      </c>
      <c r="U22" s="15">
        <v>223</v>
      </c>
      <c r="V22" s="15">
        <v>125</v>
      </c>
      <c r="W22" s="15">
        <v>61</v>
      </c>
      <c r="X22" s="15">
        <v>26</v>
      </c>
      <c r="Y22" s="15">
        <v>14</v>
      </c>
      <c r="Z22" s="15">
        <v>56</v>
      </c>
      <c r="AA22" s="15">
        <v>80</v>
      </c>
      <c r="AB22" s="15">
        <v>129</v>
      </c>
      <c r="AC22" s="15">
        <v>249</v>
      </c>
      <c r="AD22" s="15">
        <v>487</v>
      </c>
      <c r="AE22" s="15">
        <v>968</v>
      </c>
      <c r="AF22" s="15">
        <v>1463</v>
      </c>
      <c r="AG22" s="15">
        <v>1685</v>
      </c>
      <c r="AH22" s="15">
        <v>1998</v>
      </c>
      <c r="AI22" s="15">
        <v>2190</v>
      </c>
      <c r="AJ22" s="15">
        <v>2217</v>
      </c>
      <c r="AK22" s="15">
        <v>2398</v>
      </c>
      <c r="AL22" s="15">
        <v>2283</v>
      </c>
      <c r="AM22" s="15">
        <v>2034</v>
      </c>
      <c r="AN22" s="15">
        <v>1765</v>
      </c>
      <c r="AO22" s="15">
        <v>1484</v>
      </c>
      <c r="AP22" s="15">
        <v>1132</v>
      </c>
      <c r="AQ22" s="15">
        <v>753</v>
      </c>
      <c r="AR22" s="15">
        <v>438</v>
      </c>
      <c r="AS22" s="15">
        <v>223</v>
      </c>
      <c r="AT22" s="15">
        <v>125</v>
      </c>
      <c r="AU22" s="15">
        <v>61</v>
      </c>
      <c r="AV22" s="15">
        <v>26</v>
      </c>
      <c r="AW22" s="15">
        <v>14</v>
      </c>
      <c r="AX22" s="172">
        <v>1</v>
      </c>
      <c r="AY22" s="172">
        <v>1</v>
      </c>
      <c r="AZ22" s="172">
        <v>1</v>
      </c>
      <c r="BA22" s="172">
        <v>1</v>
      </c>
      <c r="BB22" s="172">
        <v>1</v>
      </c>
      <c r="BC22" s="172">
        <v>1</v>
      </c>
      <c r="BD22" s="172">
        <v>1</v>
      </c>
      <c r="BE22" s="172">
        <v>1</v>
      </c>
      <c r="BF22" s="172">
        <v>1</v>
      </c>
      <c r="BG22" s="172">
        <v>1</v>
      </c>
      <c r="BH22" s="172">
        <v>1</v>
      </c>
      <c r="BI22" s="172">
        <v>1</v>
      </c>
      <c r="BJ22" s="172">
        <v>1</v>
      </c>
      <c r="BK22" s="172">
        <v>1</v>
      </c>
      <c r="BL22" s="172">
        <v>1</v>
      </c>
      <c r="BM22" s="172">
        <v>1</v>
      </c>
      <c r="BN22" s="172">
        <v>1</v>
      </c>
      <c r="BO22" s="172">
        <v>1</v>
      </c>
      <c r="BP22" s="172">
        <v>1</v>
      </c>
      <c r="BQ22" s="172">
        <v>1</v>
      </c>
      <c r="BR22" s="172">
        <v>1</v>
      </c>
      <c r="BS22" s="172">
        <v>1</v>
      </c>
      <c r="BT22" s="172">
        <v>1</v>
      </c>
      <c r="BU22" s="172">
        <v>1</v>
      </c>
      <c r="BV22" s="15">
        <v>24258</v>
      </c>
      <c r="BW22" s="15">
        <v>24258</v>
      </c>
      <c r="BX22" s="172">
        <v>1</v>
      </c>
      <c r="CA22" s="34" t="s">
        <v>346</v>
      </c>
      <c r="CB22" s="229">
        <f t="shared" ref="CB22:CY22" si="50">CB26</f>
        <v>0.90263157894736845</v>
      </c>
      <c r="CC22" s="229">
        <f t="shared" si="50"/>
        <v>0.8865497076023392</v>
      </c>
      <c r="CD22" s="229">
        <f t="shared" si="50"/>
        <v>0.85746924428822491</v>
      </c>
      <c r="CE22" s="229">
        <f t="shared" si="50"/>
        <v>0.82506738544474389</v>
      </c>
      <c r="CF22" s="229">
        <f t="shared" si="50"/>
        <v>0.77563868613138687</v>
      </c>
      <c r="CG22" s="229">
        <f t="shared" si="50"/>
        <v>0.74208477508650517</v>
      </c>
      <c r="CH22" s="229">
        <f t="shared" si="50"/>
        <v>0.71130411544628536</v>
      </c>
      <c r="CI22" s="229">
        <f t="shared" si="50"/>
        <v>0.68699787400693746</v>
      </c>
      <c r="CJ22" s="229">
        <f t="shared" si="50"/>
        <v>0.64319809069212408</v>
      </c>
      <c r="CK22" s="229">
        <f t="shared" si="50"/>
        <v>0.60902286902286895</v>
      </c>
      <c r="CL22" s="229">
        <f t="shared" si="50"/>
        <v>0.58387096774193548</v>
      </c>
      <c r="CM22" s="229">
        <f t="shared" si="50"/>
        <v>0.5599226898111006</v>
      </c>
      <c r="CN22" s="229">
        <f t="shared" si="50"/>
        <v>0.55058930190389843</v>
      </c>
      <c r="CO22" s="229">
        <f t="shared" si="50"/>
        <v>0.52502057613168729</v>
      </c>
      <c r="CP22" s="229">
        <f t="shared" si="50"/>
        <v>0.51602767907237701</v>
      </c>
      <c r="CQ22" s="229">
        <f t="shared" si="50"/>
        <v>0.51001727115716755</v>
      </c>
      <c r="CR22" s="229">
        <f t="shared" si="50"/>
        <v>0.50265965671872581</v>
      </c>
      <c r="CS22" s="229">
        <f t="shared" si="50"/>
        <v>0.49</v>
      </c>
      <c r="CT22" s="229">
        <f t="shared" si="50"/>
        <v>0.48</v>
      </c>
      <c r="CU22" s="229">
        <f t="shared" si="50"/>
        <v>0.47</v>
      </c>
      <c r="CV22" s="229">
        <f t="shared" si="50"/>
        <v>0.46</v>
      </c>
      <c r="CW22" s="229">
        <f t="shared" si="50"/>
        <v>0.43988764044943818</v>
      </c>
      <c r="CX22" s="229">
        <f t="shared" si="50"/>
        <v>0.41578947368421049</v>
      </c>
      <c r="CY22" s="229">
        <f t="shared" si="50"/>
        <v>0.37835051546391751</v>
      </c>
      <c r="DB22" s="229">
        <f t="shared" ref="DB22:DC22" si="51">DB23</f>
        <v>0.48522531032752286</v>
      </c>
      <c r="DC22" s="229">
        <f t="shared" si="51"/>
        <v>0.40675057208237986</v>
      </c>
      <c r="DE22" s="34" t="s">
        <v>346</v>
      </c>
      <c r="DF22" s="172">
        <f t="shared" ref="DF22:EC22" si="52">CB22*$EF22</f>
        <v>0.64907458478404034</v>
      </c>
      <c r="DG22" s="172">
        <f t="shared" si="52"/>
        <v>0.63751024977816984</v>
      </c>
      <c r="DH22" s="172">
        <f t="shared" si="52"/>
        <v>0.6165987393777157</v>
      </c>
      <c r="DI22" s="172">
        <f t="shared" si="52"/>
        <v>0.59329884209338879</v>
      </c>
      <c r="DJ22" s="172">
        <f t="shared" si="52"/>
        <v>0.55775509065423912</v>
      </c>
      <c r="DK22" s="172">
        <f t="shared" si="52"/>
        <v>0.53362676256634367</v>
      </c>
      <c r="DL22" s="172">
        <f t="shared" si="52"/>
        <v>0.51149265564904134</v>
      </c>
      <c r="DM22" s="172">
        <f t="shared" si="52"/>
        <v>0.49401424702932106</v>
      </c>
      <c r="DN22" s="172">
        <f t="shared" si="52"/>
        <v>0.46251820054505427</v>
      </c>
      <c r="DO22" s="172">
        <f t="shared" si="52"/>
        <v>0.437943093344902</v>
      </c>
      <c r="DP22" s="172">
        <f t="shared" si="52"/>
        <v>0.41985657802545184</v>
      </c>
      <c r="DQ22" s="172">
        <f t="shared" si="52"/>
        <v>0.40263557787788684</v>
      </c>
      <c r="DR22" s="172">
        <f t="shared" si="52"/>
        <v>0.39592401911815406</v>
      </c>
      <c r="DS22" s="172">
        <f t="shared" si="52"/>
        <v>0.37753776890141683</v>
      </c>
      <c r="DT22" s="172">
        <f t="shared" si="52"/>
        <v>0.37107105417425817</v>
      </c>
      <c r="DU22" s="172">
        <f t="shared" si="52"/>
        <v>0.36674902167180928</v>
      </c>
      <c r="DV22" s="172">
        <f t="shared" si="52"/>
        <v>0.36145822457583143</v>
      </c>
      <c r="DW22" s="172">
        <f t="shared" si="52"/>
        <v>0.35235477459705045</v>
      </c>
      <c r="DX22" s="172">
        <f t="shared" si="52"/>
        <v>0.34516386082976369</v>
      </c>
      <c r="DY22" s="172">
        <f t="shared" si="52"/>
        <v>0.33797294706247694</v>
      </c>
      <c r="DZ22" s="172">
        <f t="shared" si="52"/>
        <v>0.33078203329519024</v>
      </c>
      <c r="EA22" s="172">
        <f t="shared" si="52"/>
        <v>0.31631940897671462</v>
      </c>
      <c r="EB22" s="172">
        <f t="shared" si="52"/>
        <v>0.29899062506086987</v>
      </c>
      <c r="EC22" s="172">
        <f t="shared" si="52"/>
        <v>0.27206859305095205</v>
      </c>
      <c r="ED22" s="33">
        <f t="shared" si="11"/>
        <v>0.40675057208237986</v>
      </c>
      <c r="EE22" s="33">
        <f t="shared" si="12"/>
        <v>0.40675057208237986</v>
      </c>
      <c r="EF22" s="43">
        <v>0.7190913767286744</v>
      </c>
    </row>
    <row r="23" spans="1:136" ht="15.75" customHeight="1" x14ac:dyDescent="0.35">
      <c r="A23" s="220" t="s">
        <v>119</v>
      </c>
      <c r="B23" s="221">
        <v>1157</v>
      </c>
      <c r="C23" s="221">
        <v>1669</v>
      </c>
      <c r="D23" s="221">
        <v>2768</v>
      </c>
      <c r="E23" s="221">
        <v>5031</v>
      </c>
      <c r="F23" s="221">
        <v>10500</v>
      </c>
      <c r="G23" s="221">
        <v>21836</v>
      </c>
      <c r="H23" s="221">
        <v>35860</v>
      </c>
      <c r="I23" s="221">
        <v>42664</v>
      </c>
      <c r="J23" s="221">
        <v>49559</v>
      </c>
      <c r="K23" s="221">
        <v>57196</v>
      </c>
      <c r="L23" s="221">
        <v>61380</v>
      </c>
      <c r="M23" s="221">
        <v>63941</v>
      </c>
      <c r="N23" s="221">
        <v>62419</v>
      </c>
      <c r="O23" s="221">
        <v>57301</v>
      </c>
      <c r="P23" s="221">
        <v>50205</v>
      </c>
      <c r="Q23" s="221">
        <v>41403</v>
      </c>
      <c r="R23" s="221">
        <v>30524</v>
      </c>
      <c r="S23" s="221">
        <v>21155</v>
      </c>
      <c r="T23" s="221">
        <v>12455</v>
      </c>
      <c r="U23" s="221">
        <v>6407</v>
      </c>
      <c r="V23" s="221">
        <v>3285</v>
      </c>
      <c r="W23" s="221">
        <v>1650</v>
      </c>
      <c r="X23" s="221">
        <v>792</v>
      </c>
      <c r="Y23" s="221">
        <v>514</v>
      </c>
      <c r="Z23" s="221">
        <v>768</v>
      </c>
      <c r="AA23" s="221">
        <v>1066</v>
      </c>
      <c r="AB23" s="221">
        <v>1694</v>
      </c>
      <c r="AC23" s="221">
        <v>3001</v>
      </c>
      <c r="AD23" s="221">
        <v>6032</v>
      </c>
      <c r="AE23" s="221">
        <v>12029</v>
      </c>
      <c r="AF23" s="221">
        <v>18872</v>
      </c>
      <c r="AG23" s="221">
        <v>21257</v>
      </c>
      <c r="AH23" s="221">
        <v>23413</v>
      </c>
      <c r="AI23" s="221">
        <v>25369</v>
      </c>
      <c r="AJ23" s="221">
        <v>26190</v>
      </c>
      <c r="AK23" s="221">
        <v>25894</v>
      </c>
      <c r="AL23" s="221">
        <v>24258</v>
      </c>
      <c r="AM23" s="221">
        <v>21574</v>
      </c>
      <c r="AN23" s="221">
        <v>18237</v>
      </c>
      <c r="AO23" s="221">
        <v>14555</v>
      </c>
      <c r="AP23" s="221">
        <v>10349</v>
      </c>
      <c r="AQ23" s="221">
        <v>6799</v>
      </c>
      <c r="AR23" s="221">
        <v>3937</v>
      </c>
      <c r="AS23" s="221">
        <v>1880</v>
      </c>
      <c r="AT23" s="221">
        <v>947</v>
      </c>
      <c r="AU23" s="221">
        <v>473</v>
      </c>
      <c r="AV23" s="221">
        <v>195</v>
      </c>
      <c r="AW23" s="221">
        <v>149</v>
      </c>
      <c r="AX23" s="231">
        <v>0.66378565254969746</v>
      </c>
      <c r="AY23" s="231">
        <v>0.63870581186339126</v>
      </c>
      <c r="AZ23" s="231">
        <v>0.61199421965317924</v>
      </c>
      <c r="BA23" s="231">
        <v>0.59650168952494531</v>
      </c>
      <c r="BB23" s="231">
        <v>0.57447619047619047</v>
      </c>
      <c r="BC23" s="231">
        <v>0.55087928191976554</v>
      </c>
      <c r="BD23" s="231">
        <v>0.5262688232013385</v>
      </c>
      <c r="BE23" s="231">
        <v>0.49824207762985184</v>
      </c>
      <c r="BF23" s="231">
        <v>0.47242680441493978</v>
      </c>
      <c r="BG23" s="231">
        <v>0.44354500314707324</v>
      </c>
      <c r="BH23" s="231">
        <v>0.42668621700879766</v>
      </c>
      <c r="BI23" s="231">
        <v>0.40496707902597706</v>
      </c>
      <c r="BJ23" s="231">
        <v>0.3886316666399654</v>
      </c>
      <c r="BK23" s="231">
        <v>0.37650302787036877</v>
      </c>
      <c r="BL23" s="231">
        <v>0.36325067224380042</v>
      </c>
      <c r="BM23" s="231">
        <v>0.35154457406468131</v>
      </c>
      <c r="BN23" s="231">
        <v>0.33904468614860439</v>
      </c>
      <c r="BO23" s="231">
        <v>0.32138974237768847</v>
      </c>
      <c r="BP23" s="231">
        <v>0.31609795262946605</v>
      </c>
      <c r="BQ23" s="231">
        <v>0.29342906196347746</v>
      </c>
      <c r="BR23" s="231">
        <v>0.28828006088280062</v>
      </c>
      <c r="BS23" s="231">
        <v>0.28666666666666668</v>
      </c>
      <c r="BT23" s="231">
        <v>0.24621212121212122</v>
      </c>
      <c r="BU23" s="231">
        <v>0.2898832684824903</v>
      </c>
      <c r="BV23" s="221">
        <v>641671</v>
      </c>
      <c r="BW23" s="221">
        <v>268938</v>
      </c>
      <c r="BX23" s="231">
        <v>0.41912132541442576</v>
      </c>
      <c r="CA23" s="220" t="s">
        <v>347</v>
      </c>
      <c r="CB23" s="172">
        <f t="shared" ref="CB23:CY23" si="53">SUM(CB9*B9+CB10*B10+CB15*B15)/(B9+B10+B15)</f>
        <v>0.5859381419909665</v>
      </c>
      <c r="CC23" s="172">
        <f t="shared" si="53"/>
        <v>0.5644894995744163</v>
      </c>
      <c r="CD23" s="172">
        <f t="shared" si="53"/>
        <v>0.49914941763770898</v>
      </c>
      <c r="CE23" s="172">
        <f t="shared" si="53"/>
        <v>0.47665935416794408</v>
      </c>
      <c r="CF23" s="172">
        <f t="shared" si="53"/>
        <v>0.44894380262815214</v>
      </c>
      <c r="CG23" s="172">
        <f t="shared" si="53"/>
        <v>0.41224917915872006</v>
      </c>
      <c r="CH23" s="172">
        <f t="shared" si="53"/>
        <v>0.38626814931996184</v>
      </c>
      <c r="CI23" s="172">
        <f t="shared" si="53"/>
        <v>0.35943090964894664</v>
      </c>
      <c r="CJ23" s="172">
        <f t="shared" si="53"/>
        <v>0.33542645989077435</v>
      </c>
      <c r="CK23" s="172">
        <f t="shared" si="53"/>
        <v>0.30379013703588859</v>
      </c>
      <c r="CL23" s="172">
        <f t="shared" si="53"/>
        <v>0.28147148888120571</v>
      </c>
      <c r="CM23" s="172">
        <f t="shared" si="53"/>
        <v>0.26657514934392984</v>
      </c>
      <c r="CN23" s="172">
        <f t="shared" si="53"/>
        <v>0.2498821583564006</v>
      </c>
      <c r="CO23" s="172">
        <f t="shared" si="53"/>
        <v>0.24262253465005654</v>
      </c>
      <c r="CP23" s="172">
        <f t="shared" si="53"/>
        <v>0.23757436099367957</v>
      </c>
      <c r="CQ23" s="172">
        <f t="shared" si="53"/>
        <v>0.22208506342053685</v>
      </c>
      <c r="CR23" s="172">
        <f t="shared" si="53"/>
        <v>0.20460737484688052</v>
      </c>
      <c r="CS23" s="172">
        <f t="shared" si="53"/>
        <v>0.19624505865667677</v>
      </c>
      <c r="CT23" s="172">
        <f t="shared" si="53"/>
        <v>0.18929048836181264</v>
      </c>
      <c r="CU23" s="172">
        <f t="shared" si="53"/>
        <v>0.17204774639880271</v>
      </c>
      <c r="CV23" s="172">
        <f t="shared" si="53"/>
        <v>0.17456523954689535</v>
      </c>
      <c r="CW23" s="172">
        <f t="shared" si="53"/>
        <v>0.15121850756081523</v>
      </c>
      <c r="CX23" s="172">
        <f t="shared" si="53"/>
        <v>0.16532492168465018</v>
      </c>
      <c r="CY23" s="172">
        <f t="shared" si="53"/>
        <v>0.13253955154157582</v>
      </c>
      <c r="DB23" s="172">
        <f>BX25</f>
        <v>0.48522531032752286</v>
      </c>
      <c r="DC23" s="172">
        <f>BX49</f>
        <v>0.40675057208237986</v>
      </c>
      <c r="DD23" s="15" t="s">
        <v>348</v>
      </c>
      <c r="DE23" s="220" t="s">
        <v>119</v>
      </c>
      <c r="ED23" s="33">
        <f t="shared" si="11"/>
        <v>0</v>
      </c>
      <c r="EE23" s="33">
        <f t="shared" si="12"/>
        <v>0.40675057208237986</v>
      </c>
    </row>
    <row r="24" spans="1:136" ht="15.75" customHeight="1" x14ac:dyDescent="0.35"/>
    <row r="25" spans="1:136" ht="15.75" customHeight="1" x14ac:dyDescent="0.35">
      <c r="A25" s="34" t="s">
        <v>349</v>
      </c>
      <c r="B25" s="15">
        <f t="shared" ref="B25:AW25" si="54">+B21+B22</f>
        <v>228</v>
      </c>
      <c r="C25" s="15">
        <f t="shared" si="54"/>
        <v>342</v>
      </c>
      <c r="D25" s="15">
        <f t="shared" si="54"/>
        <v>569</v>
      </c>
      <c r="E25" s="15">
        <f t="shared" si="54"/>
        <v>1113</v>
      </c>
      <c r="F25" s="15">
        <f t="shared" si="54"/>
        <v>2192</v>
      </c>
      <c r="G25" s="15">
        <f t="shared" si="54"/>
        <v>4624</v>
      </c>
      <c r="H25" s="15">
        <f t="shared" si="54"/>
        <v>7484</v>
      </c>
      <c r="I25" s="15">
        <f t="shared" si="54"/>
        <v>8937</v>
      </c>
      <c r="J25" s="15">
        <f t="shared" si="54"/>
        <v>10475</v>
      </c>
      <c r="K25" s="15">
        <f t="shared" si="54"/>
        <v>12025</v>
      </c>
      <c r="L25" s="15">
        <f t="shared" si="54"/>
        <v>12989</v>
      </c>
      <c r="M25" s="15">
        <f t="shared" si="54"/>
        <v>13711</v>
      </c>
      <c r="N25" s="15">
        <f t="shared" si="54"/>
        <v>13236</v>
      </c>
      <c r="O25" s="15">
        <f t="shared" si="54"/>
        <v>12150</v>
      </c>
      <c r="P25" s="15">
        <f t="shared" si="54"/>
        <v>10694</v>
      </c>
      <c r="Q25" s="15">
        <f t="shared" si="54"/>
        <v>8685</v>
      </c>
      <c r="R25" s="15">
        <f t="shared" si="54"/>
        <v>6467</v>
      </c>
      <c r="S25" s="15">
        <f t="shared" si="54"/>
        <v>4398</v>
      </c>
      <c r="T25" s="15">
        <f t="shared" si="54"/>
        <v>2587</v>
      </c>
      <c r="U25" s="15">
        <f t="shared" si="54"/>
        <v>1283</v>
      </c>
      <c r="V25" s="15">
        <f t="shared" si="54"/>
        <v>689</v>
      </c>
      <c r="W25" s="15">
        <f t="shared" si="54"/>
        <v>356</v>
      </c>
      <c r="X25" s="15">
        <f t="shared" si="54"/>
        <v>171</v>
      </c>
      <c r="Y25" s="15">
        <f t="shared" si="54"/>
        <v>97</v>
      </c>
      <c r="Z25" s="15">
        <f t="shared" si="54"/>
        <v>183</v>
      </c>
      <c r="AA25" s="15">
        <f t="shared" si="54"/>
        <v>269</v>
      </c>
      <c r="AB25" s="15">
        <f t="shared" si="54"/>
        <v>431</v>
      </c>
      <c r="AC25" s="15">
        <f t="shared" si="54"/>
        <v>807</v>
      </c>
      <c r="AD25" s="15">
        <f t="shared" si="54"/>
        <v>1481</v>
      </c>
      <c r="AE25" s="15">
        <f t="shared" si="54"/>
        <v>2969</v>
      </c>
      <c r="AF25" s="15">
        <f t="shared" si="54"/>
        <v>4575</v>
      </c>
      <c r="AG25" s="15">
        <f t="shared" si="54"/>
        <v>5246</v>
      </c>
      <c r="AH25" s="15">
        <f t="shared" si="54"/>
        <v>5690</v>
      </c>
      <c r="AI25" s="15">
        <f t="shared" si="54"/>
        <v>6121</v>
      </c>
      <c r="AJ25" s="15">
        <f t="shared" si="54"/>
        <v>6285</v>
      </c>
      <c r="AK25" s="15">
        <f t="shared" si="54"/>
        <v>6306</v>
      </c>
      <c r="AL25" s="15">
        <f t="shared" si="54"/>
        <v>5964</v>
      </c>
      <c r="AM25" s="15">
        <f t="shared" si="54"/>
        <v>5164</v>
      </c>
      <c r="AN25" s="15">
        <f t="shared" si="54"/>
        <v>4449</v>
      </c>
      <c r="AO25" s="15">
        <f t="shared" si="54"/>
        <v>3561</v>
      </c>
      <c r="AP25" s="15">
        <f t="shared" si="54"/>
        <v>2604</v>
      </c>
      <c r="AQ25" s="15">
        <f t="shared" si="54"/>
        <v>1700</v>
      </c>
      <c r="AR25" s="15">
        <f t="shared" si="54"/>
        <v>1010</v>
      </c>
      <c r="AS25" s="15">
        <f t="shared" si="54"/>
        <v>470</v>
      </c>
      <c r="AT25" s="15">
        <f t="shared" si="54"/>
        <v>262</v>
      </c>
      <c r="AU25" s="15">
        <f t="shared" si="54"/>
        <v>121</v>
      </c>
      <c r="AV25" s="15">
        <f t="shared" si="54"/>
        <v>54</v>
      </c>
      <c r="AW25" s="15">
        <f t="shared" si="54"/>
        <v>27</v>
      </c>
      <c r="AX25" s="172">
        <f t="shared" ref="AX25:BU25" si="55">+Z25/B25</f>
        <v>0.80263157894736847</v>
      </c>
      <c r="AY25" s="172">
        <f t="shared" si="55"/>
        <v>0.78654970760233922</v>
      </c>
      <c r="AZ25" s="172">
        <f t="shared" si="55"/>
        <v>0.75746924428822493</v>
      </c>
      <c r="BA25" s="172">
        <f t="shared" si="55"/>
        <v>0.72506738544474392</v>
      </c>
      <c r="BB25" s="172">
        <f t="shared" si="55"/>
        <v>0.67563868613138689</v>
      </c>
      <c r="BC25" s="172">
        <f t="shared" si="55"/>
        <v>0.64208477508650519</v>
      </c>
      <c r="BD25" s="172">
        <f t="shared" si="55"/>
        <v>0.61130411544628538</v>
      </c>
      <c r="BE25" s="172">
        <f t="shared" si="55"/>
        <v>0.58699787400693748</v>
      </c>
      <c r="BF25" s="172">
        <f t="shared" si="55"/>
        <v>0.5431980906921241</v>
      </c>
      <c r="BG25" s="172">
        <f t="shared" si="55"/>
        <v>0.50902286902286897</v>
      </c>
      <c r="BH25" s="172">
        <f t="shared" si="55"/>
        <v>0.4838709677419355</v>
      </c>
      <c r="BI25" s="172">
        <f t="shared" si="55"/>
        <v>0.45992268981110057</v>
      </c>
      <c r="BJ25" s="172">
        <f t="shared" si="55"/>
        <v>0.45058930190389845</v>
      </c>
      <c r="BK25" s="172">
        <f t="shared" si="55"/>
        <v>0.42502057613168726</v>
      </c>
      <c r="BL25" s="172">
        <f t="shared" si="55"/>
        <v>0.41602767907237703</v>
      </c>
      <c r="BM25" s="172">
        <f t="shared" si="55"/>
        <v>0.41001727115716752</v>
      </c>
      <c r="BN25" s="172">
        <f t="shared" si="55"/>
        <v>0.40265965671872583</v>
      </c>
      <c r="BO25" s="172">
        <f t="shared" si="55"/>
        <v>0.38653933606184632</v>
      </c>
      <c r="BP25" s="172">
        <f t="shared" si="55"/>
        <v>0.39041360649400852</v>
      </c>
      <c r="BQ25" s="172">
        <f t="shared" si="55"/>
        <v>0.36632891660171474</v>
      </c>
      <c r="BR25" s="172">
        <f t="shared" si="55"/>
        <v>0.3802612481857765</v>
      </c>
      <c r="BS25" s="172">
        <f t="shared" si="55"/>
        <v>0.3398876404494382</v>
      </c>
      <c r="BT25" s="172">
        <f t="shared" si="55"/>
        <v>0.31578947368421051</v>
      </c>
      <c r="BU25" s="172">
        <f t="shared" si="55"/>
        <v>0.27835051546391754</v>
      </c>
      <c r="BV25" s="172">
        <f t="shared" ref="BV25:BW25" si="56">BV21+BV22</f>
        <v>135502</v>
      </c>
      <c r="BW25" s="172">
        <f t="shared" si="56"/>
        <v>65749</v>
      </c>
      <c r="BX25" s="172">
        <f>BW25/BV25</f>
        <v>0.48522531032752286</v>
      </c>
      <c r="CA25" s="34" t="s">
        <v>350</v>
      </c>
      <c r="CB25" s="172">
        <f t="shared" ref="CB25:CY25" si="57">AX25</f>
        <v>0.80263157894736847</v>
      </c>
      <c r="CC25" s="172">
        <f t="shared" si="57"/>
        <v>0.78654970760233922</v>
      </c>
      <c r="CD25" s="172">
        <f t="shared" si="57"/>
        <v>0.75746924428822493</v>
      </c>
      <c r="CE25" s="172">
        <f t="shared" si="57"/>
        <v>0.72506738544474392</v>
      </c>
      <c r="CF25" s="172">
        <f t="shared" si="57"/>
        <v>0.67563868613138689</v>
      </c>
      <c r="CG25" s="172">
        <f t="shared" si="57"/>
        <v>0.64208477508650519</v>
      </c>
      <c r="CH25" s="172">
        <f t="shared" si="57"/>
        <v>0.61130411544628538</v>
      </c>
      <c r="CI25" s="172">
        <f t="shared" si="57"/>
        <v>0.58699787400693748</v>
      </c>
      <c r="CJ25" s="172">
        <f t="shared" si="57"/>
        <v>0.5431980906921241</v>
      </c>
      <c r="CK25" s="172">
        <f t="shared" si="57"/>
        <v>0.50902286902286897</v>
      </c>
      <c r="CL25" s="172">
        <f t="shared" si="57"/>
        <v>0.4838709677419355</v>
      </c>
      <c r="CM25" s="172">
        <f t="shared" si="57"/>
        <v>0.45992268981110057</v>
      </c>
      <c r="CN25" s="172">
        <f t="shared" si="57"/>
        <v>0.45058930190389845</v>
      </c>
      <c r="CO25" s="172">
        <f t="shared" si="57"/>
        <v>0.42502057613168726</v>
      </c>
      <c r="CP25" s="172">
        <f t="shared" si="57"/>
        <v>0.41602767907237703</v>
      </c>
      <c r="CQ25" s="172">
        <f t="shared" si="57"/>
        <v>0.41001727115716752</v>
      </c>
      <c r="CR25" s="172">
        <f t="shared" si="57"/>
        <v>0.40265965671872583</v>
      </c>
      <c r="CS25" s="172">
        <f t="shared" si="57"/>
        <v>0.38653933606184632</v>
      </c>
      <c r="CT25" s="172">
        <f t="shared" si="57"/>
        <v>0.39041360649400852</v>
      </c>
      <c r="CU25" s="172">
        <f t="shared" si="57"/>
        <v>0.36632891660171474</v>
      </c>
      <c r="CV25" s="172">
        <f t="shared" si="57"/>
        <v>0.3802612481857765</v>
      </c>
      <c r="CW25" s="172">
        <f t="shared" si="57"/>
        <v>0.3398876404494382</v>
      </c>
      <c r="CX25" s="172">
        <f t="shared" si="57"/>
        <v>0.31578947368421051</v>
      </c>
      <c r="CY25" s="172">
        <f t="shared" si="57"/>
        <v>0.27835051546391754</v>
      </c>
      <c r="CZ25" s="172">
        <f>(CZ26*SUM(B26:Y26)+CZ28*SUM(B28:Y28))/SUM(B26:Y26,B28:Y28)</f>
        <v>0.48525322739461363</v>
      </c>
      <c r="DA25" s="172">
        <f t="shared" ref="DA25:DA26" si="58">BX25</f>
        <v>0.48522531032752286</v>
      </c>
      <c r="DB25" s="172"/>
      <c r="DC25" s="172"/>
      <c r="DD25" s="15" t="s">
        <v>351</v>
      </c>
      <c r="DE25" s="34" t="s">
        <v>350</v>
      </c>
      <c r="DF25" s="172">
        <f t="shared" ref="DF25:EC25" si="59">BZ25</f>
        <v>0</v>
      </c>
      <c r="DG25" s="172" t="str">
        <f t="shared" si="59"/>
        <v>total wing conv%</v>
      </c>
      <c r="DH25" s="172">
        <f t="shared" si="59"/>
        <v>0.80263157894736847</v>
      </c>
      <c r="DI25" s="172">
        <f t="shared" si="59"/>
        <v>0.78654970760233922</v>
      </c>
      <c r="DJ25" s="172">
        <f t="shared" si="59"/>
        <v>0.75746924428822493</v>
      </c>
      <c r="DK25" s="172">
        <f t="shared" si="59"/>
        <v>0.72506738544474392</v>
      </c>
      <c r="DL25" s="172">
        <f t="shared" si="59"/>
        <v>0.67563868613138689</v>
      </c>
      <c r="DM25" s="172">
        <f t="shared" si="59"/>
        <v>0.64208477508650519</v>
      </c>
      <c r="DN25" s="172">
        <f t="shared" si="59"/>
        <v>0.61130411544628538</v>
      </c>
      <c r="DO25" s="172">
        <f t="shared" si="59"/>
        <v>0.58699787400693748</v>
      </c>
      <c r="DP25" s="172">
        <f t="shared" si="59"/>
        <v>0.5431980906921241</v>
      </c>
      <c r="DQ25" s="172">
        <f t="shared" si="59"/>
        <v>0.50902286902286897</v>
      </c>
      <c r="DR25" s="172">
        <f t="shared" si="59"/>
        <v>0.4838709677419355</v>
      </c>
      <c r="DS25" s="172">
        <f t="shared" si="59"/>
        <v>0.45992268981110057</v>
      </c>
      <c r="DT25" s="172">
        <f t="shared" si="59"/>
        <v>0.45058930190389845</v>
      </c>
      <c r="DU25" s="172">
        <f t="shared" si="59"/>
        <v>0.42502057613168726</v>
      </c>
      <c r="DV25" s="172">
        <f t="shared" si="59"/>
        <v>0.41602767907237703</v>
      </c>
      <c r="DW25" s="172">
        <f t="shared" si="59"/>
        <v>0.41001727115716752</v>
      </c>
      <c r="DX25" s="172">
        <f t="shared" si="59"/>
        <v>0.40265965671872583</v>
      </c>
      <c r="DY25" s="172">
        <f t="shared" si="59"/>
        <v>0.38653933606184632</v>
      </c>
      <c r="DZ25" s="172">
        <f t="shared" si="59"/>
        <v>0.39041360649400852</v>
      </c>
      <c r="EA25" s="172">
        <f t="shared" si="59"/>
        <v>0.36632891660171474</v>
      </c>
      <c r="EB25" s="172">
        <f t="shared" si="59"/>
        <v>0.3802612481857765</v>
      </c>
      <c r="EC25" s="172">
        <f t="shared" si="59"/>
        <v>0.3398876404494382</v>
      </c>
      <c r="ED25" s="172">
        <f>(ED26*SUM(AD26:BA26)+ED28*SUM(AD28:BA28))/SUM(AD26:BA26,AD28:BA28)</f>
        <v>0.38539961566914505</v>
      </c>
      <c r="EE25" s="172">
        <f t="shared" ref="EE25:EE26" si="60">CZ25</f>
        <v>0.48525322739461363</v>
      </c>
    </row>
    <row r="26" spans="1:136" ht="15.75" customHeight="1" x14ac:dyDescent="0.35">
      <c r="A26" s="34" t="s">
        <v>352</v>
      </c>
      <c r="B26" s="232">
        <f t="shared" ref="B26:Y26" si="61">+B22/AX26</f>
        <v>62.04081632653061</v>
      </c>
      <c r="C26" s="232">
        <f t="shared" si="61"/>
        <v>90.237467018469658</v>
      </c>
      <c r="D26" s="232">
        <f t="shared" si="61"/>
        <v>150.44271367083419</v>
      </c>
      <c r="E26" s="232">
        <f t="shared" si="61"/>
        <v>301.79353152564522</v>
      </c>
      <c r="F26" s="232">
        <f t="shared" si="61"/>
        <v>627.86966239265973</v>
      </c>
      <c r="G26" s="232">
        <f t="shared" si="61"/>
        <v>1304.4331759631639</v>
      </c>
      <c r="H26" s="232">
        <f t="shared" si="61"/>
        <v>2056.785513017996</v>
      </c>
      <c r="I26" s="232">
        <f t="shared" si="61"/>
        <v>2452.7004576770851</v>
      </c>
      <c r="J26" s="232">
        <f t="shared" si="61"/>
        <v>3106.3525046382192</v>
      </c>
      <c r="K26" s="232">
        <f t="shared" si="61"/>
        <v>3595.9240800163861</v>
      </c>
      <c r="L26" s="232">
        <f t="shared" si="61"/>
        <v>3797.0718232044201</v>
      </c>
      <c r="M26" s="232">
        <f t="shared" si="61"/>
        <v>4282.7341053262298</v>
      </c>
      <c r="N26" s="232">
        <f t="shared" si="61"/>
        <v>4146.4663263625889</v>
      </c>
      <c r="O26" s="232">
        <f t="shared" si="61"/>
        <v>3874.1338767831944</v>
      </c>
      <c r="P26" s="232">
        <f t="shared" si="61"/>
        <v>3420.3591620759644</v>
      </c>
      <c r="Q26" s="232">
        <f t="shared" si="61"/>
        <v>2909.7053843548933</v>
      </c>
      <c r="R26" s="232">
        <f t="shared" si="61"/>
        <v>2252.0207955209648</v>
      </c>
      <c r="S26" s="232">
        <f t="shared" si="61"/>
        <v>1547.6652023553604</v>
      </c>
      <c r="T26" s="232">
        <f t="shared" si="61"/>
        <v>893.12366989832105</v>
      </c>
      <c r="U26" s="232">
        <f t="shared" si="61"/>
        <v>478.2032425204747</v>
      </c>
      <c r="V26" s="232">
        <f t="shared" si="61"/>
        <v>260.27500755515257</v>
      </c>
      <c r="W26" s="232">
        <f t="shared" si="61"/>
        <v>138.67177522349937</v>
      </c>
      <c r="X26" s="232">
        <f t="shared" si="61"/>
        <v>62.53164556962026</v>
      </c>
      <c r="Y26" s="232">
        <f t="shared" si="61"/>
        <v>37.002724795640326</v>
      </c>
      <c r="AX26" s="172">
        <f t="shared" ref="AX26:BU26" si="62">+AX25+0.1</f>
        <v>0.90263157894736845</v>
      </c>
      <c r="AY26" s="172">
        <f t="shared" si="62"/>
        <v>0.8865497076023392</v>
      </c>
      <c r="AZ26" s="172">
        <f t="shared" si="62"/>
        <v>0.85746924428822491</v>
      </c>
      <c r="BA26" s="172">
        <f t="shared" si="62"/>
        <v>0.82506738544474389</v>
      </c>
      <c r="BB26" s="172">
        <f t="shared" si="62"/>
        <v>0.77563868613138687</v>
      </c>
      <c r="BC26" s="172">
        <f t="shared" si="62"/>
        <v>0.74208477508650517</v>
      </c>
      <c r="BD26" s="172">
        <f t="shared" si="62"/>
        <v>0.71130411544628536</v>
      </c>
      <c r="BE26" s="172">
        <f t="shared" si="62"/>
        <v>0.68699787400693746</v>
      </c>
      <c r="BF26" s="172">
        <f t="shared" si="62"/>
        <v>0.64319809069212408</v>
      </c>
      <c r="BG26" s="172">
        <f t="shared" si="62"/>
        <v>0.60902286902286895</v>
      </c>
      <c r="BH26" s="172">
        <f t="shared" si="62"/>
        <v>0.58387096774193548</v>
      </c>
      <c r="BI26" s="172">
        <f t="shared" si="62"/>
        <v>0.5599226898111006</v>
      </c>
      <c r="BJ26" s="172">
        <f t="shared" si="62"/>
        <v>0.55058930190389843</v>
      </c>
      <c r="BK26" s="172">
        <f t="shared" si="62"/>
        <v>0.52502057613168729</v>
      </c>
      <c r="BL26" s="172">
        <f t="shared" si="62"/>
        <v>0.51602767907237701</v>
      </c>
      <c r="BM26" s="172">
        <f t="shared" si="62"/>
        <v>0.51001727115716755</v>
      </c>
      <c r="BN26" s="172">
        <f t="shared" si="62"/>
        <v>0.50265965671872581</v>
      </c>
      <c r="BO26" s="172">
        <f t="shared" si="62"/>
        <v>0.48653933606184629</v>
      </c>
      <c r="BP26" s="172">
        <f t="shared" si="62"/>
        <v>0.49041360649400856</v>
      </c>
      <c r="BQ26" s="172">
        <f t="shared" si="62"/>
        <v>0.46632891660171472</v>
      </c>
      <c r="BR26" s="172">
        <f t="shared" si="62"/>
        <v>0.48026124818577653</v>
      </c>
      <c r="BS26" s="172">
        <f t="shared" si="62"/>
        <v>0.43988764044943818</v>
      </c>
      <c r="BT26" s="172">
        <f t="shared" si="62"/>
        <v>0.41578947368421049</v>
      </c>
      <c r="BU26" s="172">
        <f t="shared" si="62"/>
        <v>0.37835051546391751</v>
      </c>
      <c r="BX26" s="172">
        <f>+BX25+0.1</f>
        <v>0.5852253103275229</v>
      </c>
      <c r="CA26" s="34" t="s">
        <v>353</v>
      </c>
      <c r="CB26" s="172">
        <f t="shared" ref="CB26:CR26" si="63">AX26</f>
        <v>0.90263157894736845</v>
      </c>
      <c r="CC26" s="172">
        <f t="shared" si="63"/>
        <v>0.8865497076023392</v>
      </c>
      <c r="CD26" s="172">
        <f t="shared" si="63"/>
        <v>0.85746924428822491</v>
      </c>
      <c r="CE26" s="172">
        <f t="shared" si="63"/>
        <v>0.82506738544474389</v>
      </c>
      <c r="CF26" s="172">
        <f t="shared" si="63"/>
        <v>0.77563868613138687</v>
      </c>
      <c r="CG26" s="172">
        <f t="shared" si="63"/>
        <v>0.74208477508650517</v>
      </c>
      <c r="CH26" s="172">
        <f t="shared" si="63"/>
        <v>0.71130411544628536</v>
      </c>
      <c r="CI26" s="172">
        <f t="shared" si="63"/>
        <v>0.68699787400693746</v>
      </c>
      <c r="CJ26" s="172">
        <f t="shared" si="63"/>
        <v>0.64319809069212408</v>
      </c>
      <c r="CK26" s="172">
        <f t="shared" si="63"/>
        <v>0.60902286902286895</v>
      </c>
      <c r="CL26" s="172">
        <f t="shared" si="63"/>
        <v>0.58387096774193548</v>
      </c>
      <c r="CM26" s="172">
        <f t="shared" si="63"/>
        <v>0.5599226898111006</v>
      </c>
      <c r="CN26" s="172">
        <f t="shared" si="63"/>
        <v>0.55058930190389843</v>
      </c>
      <c r="CO26" s="172">
        <f t="shared" si="63"/>
        <v>0.52502057613168729</v>
      </c>
      <c r="CP26" s="172">
        <f t="shared" si="63"/>
        <v>0.51602767907237701</v>
      </c>
      <c r="CQ26" s="172">
        <f t="shared" si="63"/>
        <v>0.51001727115716755</v>
      </c>
      <c r="CR26" s="33">
        <f t="shared" si="63"/>
        <v>0.50265965671872581</v>
      </c>
      <c r="CS26" s="33">
        <v>0.49</v>
      </c>
      <c r="CT26" s="33">
        <v>0.48</v>
      </c>
      <c r="CU26" s="33">
        <v>0.47</v>
      </c>
      <c r="CV26" s="33">
        <v>0.46</v>
      </c>
      <c r="CW26" s="172">
        <f t="shared" ref="CW26:CY26" si="64">BS26</f>
        <v>0.43988764044943818</v>
      </c>
      <c r="CX26" s="172">
        <f t="shared" si="64"/>
        <v>0.41578947368421049</v>
      </c>
      <c r="CY26" s="172">
        <f t="shared" si="64"/>
        <v>0.37835051546391751</v>
      </c>
      <c r="CZ26" s="172">
        <f>SUMPRODUCT(CB26:CY26,B26:Y26)/SUM(B26:Y26)</f>
        <v>0.57948340935130516</v>
      </c>
      <c r="DA26" s="172">
        <f t="shared" si="58"/>
        <v>0.5852253103275229</v>
      </c>
      <c r="DB26" s="172"/>
      <c r="DC26" s="172"/>
      <c r="DD26" s="15" t="s">
        <v>354</v>
      </c>
      <c r="DE26" s="34" t="s">
        <v>353</v>
      </c>
      <c r="DF26" s="172">
        <f t="shared" ref="DF26:DV26" si="65">BZ26</f>
        <v>0</v>
      </c>
      <c r="DG26" s="172" t="str">
        <f t="shared" si="65"/>
        <v>head conv%</v>
      </c>
      <c r="DH26" s="172">
        <f t="shared" si="65"/>
        <v>0.90263157894736845</v>
      </c>
      <c r="DI26" s="172">
        <f t="shared" si="65"/>
        <v>0.8865497076023392</v>
      </c>
      <c r="DJ26" s="172">
        <f t="shared" si="65"/>
        <v>0.85746924428822491</v>
      </c>
      <c r="DK26" s="172">
        <f t="shared" si="65"/>
        <v>0.82506738544474389</v>
      </c>
      <c r="DL26" s="172">
        <f t="shared" si="65"/>
        <v>0.77563868613138687</v>
      </c>
      <c r="DM26" s="172">
        <f t="shared" si="65"/>
        <v>0.74208477508650517</v>
      </c>
      <c r="DN26" s="172">
        <f t="shared" si="65"/>
        <v>0.71130411544628536</v>
      </c>
      <c r="DO26" s="172">
        <f t="shared" si="65"/>
        <v>0.68699787400693746</v>
      </c>
      <c r="DP26" s="172">
        <f t="shared" si="65"/>
        <v>0.64319809069212408</v>
      </c>
      <c r="DQ26" s="172">
        <f t="shared" si="65"/>
        <v>0.60902286902286895</v>
      </c>
      <c r="DR26" s="172">
        <f t="shared" si="65"/>
        <v>0.58387096774193548</v>
      </c>
      <c r="DS26" s="172">
        <f t="shared" si="65"/>
        <v>0.5599226898111006</v>
      </c>
      <c r="DT26" s="172">
        <f t="shared" si="65"/>
        <v>0.55058930190389843</v>
      </c>
      <c r="DU26" s="172">
        <f t="shared" si="65"/>
        <v>0.52502057613168729</v>
      </c>
      <c r="DV26" s="33">
        <f t="shared" si="65"/>
        <v>0.51602767907237701</v>
      </c>
      <c r="DW26" s="33">
        <v>0.49</v>
      </c>
      <c r="DX26" s="33">
        <v>0.48</v>
      </c>
      <c r="DY26" s="33">
        <v>0.47</v>
      </c>
      <c r="DZ26" s="33">
        <v>0.46</v>
      </c>
      <c r="EA26" s="172">
        <f t="shared" ref="EA26:EC26" si="66">CU26</f>
        <v>0.47</v>
      </c>
      <c r="EB26" s="172">
        <f t="shared" si="66"/>
        <v>0.46</v>
      </c>
      <c r="EC26" s="172">
        <f t="shared" si="66"/>
        <v>0.43988764044943818</v>
      </c>
      <c r="ED26" s="172">
        <f>SUMPRODUCT(DF26:EC26,AD26:BA26)/SUM(AD26:BA26)</f>
        <v>0.45777385288210326</v>
      </c>
      <c r="EE26" s="172">
        <f t="shared" si="60"/>
        <v>0.57948340935130516</v>
      </c>
    </row>
    <row r="27" spans="1:136" ht="15.75" customHeight="1" x14ac:dyDescent="0.35">
      <c r="A27" s="34" t="s">
        <v>355</v>
      </c>
      <c r="B27" s="232">
        <f t="shared" ref="B27:Y27" si="67">+B26-B22</f>
        <v>6.0408163265306101</v>
      </c>
      <c r="C27" s="232">
        <f t="shared" si="67"/>
        <v>10.237467018469658</v>
      </c>
      <c r="D27" s="232">
        <f t="shared" si="67"/>
        <v>21.442713670834195</v>
      </c>
      <c r="E27" s="232">
        <f t="shared" si="67"/>
        <v>52.793531525645221</v>
      </c>
      <c r="F27" s="232">
        <f t="shared" si="67"/>
        <v>140.86966239265973</v>
      </c>
      <c r="G27" s="232">
        <f t="shared" si="67"/>
        <v>336.43317596316388</v>
      </c>
      <c r="H27" s="232">
        <f t="shared" si="67"/>
        <v>593.78551301799598</v>
      </c>
      <c r="I27" s="232">
        <f t="shared" si="67"/>
        <v>767.70045767708507</v>
      </c>
      <c r="J27" s="232">
        <f t="shared" si="67"/>
        <v>1108.3525046382192</v>
      </c>
      <c r="K27" s="232">
        <f t="shared" si="67"/>
        <v>1405.9240800163861</v>
      </c>
      <c r="L27" s="232">
        <f t="shared" si="67"/>
        <v>1580.0718232044201</v>
      </c>
      <c r="M27" s="232">
        <f t="shared" si="67"/>
        <v>1884.7341053262298</v>
      </c>
      <c r="N27" s="232">
        <f t="shared" si="67"/>
        <v>1863.4663263625889</v>
      </c>
      <c r="O27" s="232">
        <f t="shared" si="67"/>
        <v>1840.1338767831944</v>
      </c>
      <c r="P27" s="232">
        <f t="shared" si="67"/>
        <v>1655.3591620759644</v>
      </c>
      <c r="Q27" s="232">
        <f t="shared" si="67"/>
        <v>1425.7053843548933</v>
      </c>
      <c r="R27" s="232">
        <f t="shared" si="67"/>
        <v>1120.0207955209648</v>
      </c>
      <c r="S27" s="232">
        <f t="shared" si="67"/>
        <v>794.66520235536041</v>
      </c>
      <c r="T27" s="232">
        <f t="shared" si="67"/>
        <v>455.12366989832105</v>
      </c>
      <c r="U27" s="232">
        <f t="shared" si="67"/>
        <v>255.2032425204747</v>
      </c>
      <c r="V27" s="232">
        <f t="shared" si="67"/>
        <v>135.27500755515257</v>
      </c>
      <c r="W27" s="232">
        <f t="shared" si="67"/>
        <v>77.671775223499367</v>
      </c>
      <c r="X27" s="232">
        <f t="shared" si="67"/>
        <v>36.53164556962026</v>
      </c>
      <c r="Y27" s="232">
        <f t="shared" si="67"/>
        <v>23.002724795640326</v>
      </c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2"/>
      <c r="BR27" s="172"/>
      <c r="BS27" s="172"/>
      <c r="BT27" s="172"/>
      <c r="BU27" s="172"/>
      <c r="BX27" s="172"/>
      <c r="CA27" s="34" t="s">
        <v>356</v>
      </c>
      <c r="CB27" s="172">
        <f t="shared" ref="CB27:CY27" si="68">(CB26*B26+CB28*B28)/B25</f>
        <v>0.80263157894736847</v>
      </c>
      <c r="CC27" s="172">
        <f t="shared" si="68"/>
        <v>0.78654970760233922</v>
      </c>
      <c r="CD27" s="172">
        <f t="shared" si="68"/>
        <v>0.75746924428822493</v>
      </c>
      <c r="CE27" s="172">
        <f t="shared" si="68"/>
        <v>0.72506738544474392</v>
      </c>
      <c r="CF27" s="172">
        <f t="shared" si="68"/>
        <v>0.67563868613138689</v>
      </c>
      <c r="CG27" s="172">
        <f t="shared" si="68"/>
        <v>0.64208477508650519</v>
      </c>
      <c r="CH27" s="172">
        <f t="shared" si="68"/>
        <v>0.61130411544628538</v>
      </c>
      <c r="CI27" s="172">
        <f t="shared" si="68"/>
        <v>0.58699787400693748</v>
      </c>
      <c r="CJ27" s="172">
        <f t="shared" si="68"/>
        <v>0.5431980906921241</v>
      </c>
      <c r="CK27" s="172">
        <f t="shared" si="68"/>
        <v>0.50902286902286897</v>
      </c>
      <c r="CL27" s="172">
        <f t="shared" si="68"/>
        <v>0.4838709677419355</v>
      </c>
      <c r="CM27" s="172">
        <f t="shared" si="68"/>
        <v>0.45992268981110057</v>
      </c>
      <c r="CN27" s="172">
        <f t="shared" si="68"/>
        <v>0.45058930190389845</v>
      </c>
      <c r="CO27" s="172">
        <f t="shared" si="68"/>
        <v>0.42502057613168726</v>
      </c>
      <c r="CP27" s="172">
        <f t="shared" si="68"/>
        <v>0.41602767907237703</v>
      </c>
      <c r="CQ27" s="172">
        <f t="shared" si="68"/>
        <v>0.41001727115716752</v>
      </c>
      <c r="CR27" s="172">
        <f t="shared" si="68"/>
        <v>0.40265965671872583</v>
      </c>
      <c r="CS27" s="172">
        <f t="shared" si="68"/>
        <v>0.39278530703804093</v>
      </c>
      <c r="CT27" s="172">
        <f t="shared" si="68"/>
        <v>0.38178529203121303</v>
      </c>
      <c r="CU27" s="172">
        <f t="shared" si="68"/>
        <v>0.37590840715360185</v>
      </c>
      <c r="CV27" s="172">
        <f t="shared" si="68"/>
        <v>0.3604412209126624</v>
      </c>
      <c r="CW27" s="172">
        <f t="shared" si="68"/>
        <v>0.3398876404494382</v>
      </c>
      <c r="CX27" s="172">
        <f t="shared" si="68"/>
        <v>0.31578947368421051</v>
      </c>
      <c r="CY27" s="172">
        <f t="shared" si="68"/>
        <v>0.27835051546391754</v>
      </c>
      <c r="CZ27" s="172">
        <f>(CZ26*SUM(B26:Y26)+CZ28*SUM(B28:Y28))/SUM(B25:Y25)</f>
        <v>0.48525322739461363</v>
      </c>
      <c r="DA27" s="172" t="e">
        <f>(DA26*AA26+DA28+AA28)/AA25</f>
        <v>#DIV/0!</v>
      </c>
      <c r="DB27" s="172"/>
      <c r="DC27" s="172"/>
      <c r="DE27" s="34" t="s">
        <v>356</v>
      </c>
      <c r="DF27" s="172">
        <f t="shared" ref="DF27:EC27" si="69">(DF26*AD26+DF28*AD28)/AD25</f>
        <v>0</v>
      </c>
      <c r="DG27" s="172" t="e">
        <f t="shared" si="69"/>
        <v>#VALUE!</v>
      </c>
      <c r="DH27" s="172">
        <f t="shared" si="69"/>
        <v>0</v>
      </c>
      <c r="DI27" s="172">
        <f t="shared" si="69"/>
        <v>0</v>
      </c>
      <c r="DJ27" s="172">
        <f t="shared" si="69"/>
        <v>0</v>
      </c>
      <c r="DK27" s="172">
        <f t="shared" si="69"/>
        <v>0</v>
      </c>
      <c r="DL27" s="172">
        <f t="shared" si="69"/>
        <v>0</v>
      </c>
      <c r="DM27" s="172">
        <f t="shared" si="69"/>
        <v>0</v>
      </c>
      <c r="DN27" s="172">
        <f t="shared" si="69"/>
        <v>0</v>
      </c>
      <c r="DO27" s="172">
        <f t="shared" si="69"/>
        <v>0</v>
      </c>
      <c r="DP27" s="172">
        <f t="shared" si="69"/>
        <v>0</v>
      </c>
      <c r="DQ27" s="172">
        <f t="shared" si="69"/>
        <v>0</v>
      </c>
      <c r="DR27" s="172">
        <f t="shared" si="69"/>
        <v>0</v>
      </c>
      <c r="DS27" s="172">
        <f t="shared" si="69"/>
        <v>0</v>
      </c>
      <c r="DT27" s="172">
        <f t="shared" si="69"/>
        <v>0</v>
      </c>
      <c r="DU27" s="172">
        <f t="shared" si="69"/>
        <v>0</v>
      </c>
      <c r="DV27" s="172">
        <f t="shared" si="69"/>
        <v>0</v>
      </c>
      <c r="DW27" s="172">
        <f t="shared" si="69"/>
        <v>0</v>
      </c>
      <c r="DX27" s="172">
        <f t="shared" si="69"/>
        <v>0</v>
      </c>
      <c r="DY27" s="172">
        <f t="shared" si="69"/>
        <v>0</v>
      </c>
      <c r="DZ27" s="172">
        <f t="shared" si="69"/>
        <v>0.80333874674429284</v>
      </c>
      <c r="EA27" s="172">
        <f t="shared" si="69"/>
        <v>0.83517256265739293</v>
      </c>
      <c r="EB27" s="172">
        <f t="shared" si="69"/>
        <v>0.80649304558463308</v>
      </c>
      <c r="EC27" s="172">
        <f t="shared" si="69"/>
        <v>0.7624706583279357</v>
      </c>
      <c r="ED27" s="172">
        <f>(ED26*SUM(AD26:BA26)+ED28*SUM(AD28:BA28))/SUM(AD25:BA25)</f>
        <v>3.848495685583648E-5</v>
      </c>
      <c r="EE27" s="172">
        <f>(EE26*BC26+EE28+BC28)/BC25</f>
        <v>2.2987031314846553</v>
      </c>
    </row>
    <row r="28" spans="1:136" ht="15.75" customHeight="1" x14ac:dyDescent="0.35">
      <c r="A28" s="34" t="s">
        <v>357</v>
      </c>
      <c r="B28" s="232">
        <f t="shared" ref="B28:Y28" si="70">+B21-B27</f>
        <v>165.9591836734694</v>
      </c>
      <c r="C28" s="232">
        <f t="shared" si="70"/>
        <v>251.76253298153034</v>
      </c>
      <c r="D28" s="232">
        <f t="shared" si="70"/>
        <v>418.55728632916578</v>
      </c>
      <c r="E28" s="232">
        <f t="shared" si="70"/>
        <v>811.20646847435478</v>
      </c>
      <c r="F28" s="232">
        <f t="shared" si="70"/>
        <v>1564.1303376073402</v>
      </c>
      <c r="G28" s="232">
        <f t="shared" si="70"/>
        <v>3319.5668240368359</v>
      </c>
      <c r="H28" s="232">
        <f t="shared" si="70"/>
        <v>5427.214486982004</v>
      </c>
      <c r="I28" s="232">
        <f t="shared" si="70"/>
        <v>6484.2995423229149</v>
      </c>
      <c r="J28" s="232">
        <f t="shared" si="70"/>
        <v>7368.6474953617808</v>
      </c>
      <c r="K28" s="232">
        <f t="shared" si="70"/>
        <v>8429.0759199836139</v>
      </c>
      <c r="L28" s="232">
        <f t="shared" si="70"/>
        <v>9191.9281767955799</v>
      </c>
      <c r="M28" s="232">
        <f t="shared" si="70"/>
        <v>9428.2658946737702</v>
      </c>
      <c r="N28" s="232">
        <f t="shared" si="70"/>
        <v>9089.533673637412</v>
      </c>
      <c r="O28" s="232">
        <f t="shared" si="70"/>
        <v>8275.8661232168051</v>
      </c>
      <c r="P28" s="232">
        <f t="shared" si="70"/>
        <v>7273.6408379240356</v>
      </c>
      <c r="Q28" s="232">
        <f t="shared" si="70"/>
        <v>5775.2946156451071</v>
      </c>
      <c r="R28" s="232">
        <f t="shared" si="70"/>
        <v>4214.9792044790356</v>
      </c>
      <c r="S28" s="232">
        <f t="shared" si="70"/>
        <v>2850.3347976446394</v>
      </c>
      <c r="T28" s="232">
        <f t="shared" si="70"/>
        <v>1693.8763301016788</v>
      </c>
      <c r="U28" s="232">
        <f t="shared" si="70"/>
        <v>804.79675747952524</v>
      </c>
      <c r="V28" s="232">
        <f t="shared" si="70"/>
        <v>428.72499244484743</v>
      </c>
      <c r="W28" s="232">
        <f t="shared" si="70"/>
        <v>217.32822477650063</v>
      </c>
      <c r="X28" s="232">
        <f t="shared" si="70"/>
        <v>108.46835443037975</v>
      </c>
      <c r="Y28" s="232">
        <f t="shared" si="70"/>
        <v>59.997275204359674</v>
      </c>
      <c r="AX28" s="172">
        <f t="shared" ref="AX28:BU28" si="71">+Z21/B28</f>
        <v>0.7652484013772749</v>
      </c>
      <c r="AY28" s="172">
        <f t="shared" si="71"/>
        <v>0.75070741369552918</v>
      </c>
      <c r="AZ28" s="172">
        <f t="shared" si="71"/>
        <v>0.72152608463372514</v>
      </c>
      <c r="BA28" s="172">
        <f t="shared" si="71"/>
        <v>0.68786433748418818</v>
      </c>
      <c r="BB28" s="172">
        <f t="shared" si="71"/>
        <v>0.63549691231008787</v>
      </c>
      <c r="BC28" s="172">
        <f t="shared" si="71"/>
        <v>0.60278949214423039</v>
      </c>
      <c r="BD28" s="172">
        <f t="shared" si="71"/>
        <v>0.57340648825739304</v>
      </c>
      <c r="BE28" s="172">
        <f t="shared" si="71"/>
        <v>0.54917265569818485</v>
      </c>
      <c r="BF28" s="172">
        <f t="shared" si="71"/>
        <v>0.50104174508604749</v>
      </c>
      <c r="BG28" s="172">
        <f t="shared" si="71"/>
        <v>0.46636191645639397</v>
      </c>
      <c r="BH28" s="172">
        <f t="shared" si="71"/>
        <v>0.44256220476889707</v>
      </c>
      <c r="BI28" s="172">
        <f t="shared" si="71"/>
        <v>0.41449828034736624</v>
      </c>
      <c r="BJ28" s="172">
        <f t="shared" si="71"/>
        <v>0.40497127049279663</v>
      </c>
      <c r="BK28" s="172">
        <f t="shared" si="71"/>
        <v>0.37820814805343639</v>
      </c>
      <c r="BL28" s="172">
        <f t="shared" si="71"/>
        <v>0.36900364752764425</v>
      </c>
      <c r="BM28" s="172">
        <f t="shared" si="71"/>
        <v>0.3596353326068365</v>
      </c>
      <c r="BN28" s="172">
        <f t="shared" si="71"/>
        <v>0.34923066724404794</v>
      </c>
      <c r="BO28" s="172">
        <f t="shared" si="71"/>
        <v>0.33224167237566232</v>
      </c>
      <c r="BP28" s="172">
        <f t="shared" si="71"/>
        <v>0.3376869903871107</v>
      </c>
      <c r="BQ28" s="172">
        <f t="shared" si="71"/>
        <v>0.30690978524013734</v>
      </c>
      <c r="BR28" s="172">
        <f t="shared" si="71"/>
        <v>0.31955216610709747</v>
      </c>
      <c r="BS28" s="172">
        <f t="shared" si="71"/>
        <v>0.27608010906868508</v>
      </c>
      <c r="BT28" s="172">
        <f t="shared" si="71"/>
        <v>0.25813980627844557</v>
      </c>
      <c r="BU28" s="172">
        <f t="shared" si="71"/>
        <v>0.21667650665334484</v>
      </c>
      <c r="BX28" s="172" t="e">
        <f>+AZ21/AB28</f>
        <v>#DIV/0!</v>
      </c>
      <c r="CA28" s="34" t="s">
        <v>358</v>
      </c>
      <c r="CB28" s="172">
        <f t="shared" ref="CB28:CR28" si="72">AX28</f>
        <v>0.7652484013772749</v>
      </c>
      <c r="CC28" s="172">
        <f t="shared" si="72"/>
        <v>0.75070741369552918</v>
      </c>
      <c r="CD28" s="172">
        <f t="shared" si="72"/>
        <v>0.72152608463372514</v>
      </c>
      <c r="CE28" s="172">
        <f t="shared" si="72"/>
        <v>0.68786433748418818</v>
      </c>
      <c r="CF28" s="172">
        <f t="shared" si="72"/>
        <v>0.63549691231008787</v>
      </c>
      <c r="CG28" s="172">
        <f t="shared" si="72"/>
        <v>0.60278949214423039</v>
      </c>
      <c r="CH28" s="172">
        <f t="shared" si="72"/>
        <v>0.57340648825739304</v>
      </c>
      <c r="CI28" s="172">
        <f t="shared" si="72"/>
        <v>0.54917265569818485</v>
      </c>
      <c r="CJ28" s="172">
        <f t="shared" si="72"/>
        <v>0.50104174508604749</v>
      </c>
      <c r="CK28" s="172">
        <f t="shared" si="72"/>
        <v>0.46636191645639397</v>
      </c>
      <c r="CL28" s="172">
        <f t="shared" si="72"/>
        <v>0.44256220476889707</v>
      </c>
      <c r="CM28" s="172">
        <f t="shared" si="72"/>
        <v>0.41449828034736624</v>
      </c>
      <c r="CN28" s="172">
        <f t="shared" si="72"/>
        <v>0.40497127049279663</v>
      </c>
      <c r="CO28" s="172">
        <f t="shared" si="72"/>
        <v>0.37820814805343639</v>
      </c>
      <c r="CP28" s="172">
        <f t="shared" si="72"/>
        <v>0.36900364752764425</v>
      </c>
      <c r="CQ28" s="172">
        <f t="shared" si="72"/>
        <v>0.3596353326068365</v>
      </c>
      <c r="CR28" s="33">
        <f t="shared" si="72"/>
        <v>0.34923066724404794</v>
      </c>
      <c r="CS28" s="33">
        <v>0.34</v>
      </c>
      <c r="CT28" s="33">
        <v>0.33</v>
      </c>
      <c r="CU28" s="33">
        <v>0.32</v>
      </c>
      <c r="CV28" s="33">
        <v>0.3</v>
      </c>
      <c r="CW28" s="33">
        <f t="shared" ref="CW28:CY28" si="73">BS28</f>
        <v>0.27608010906868508</v>
      </c>
      <c r="CX28" s="172">
        <f t="shared" si="73"/>
        <v>0.25813980627844557</v>
      </c>
      <c r="CY28" s="172">
        <f t="shared" si="73"/>
        <v>0.21667650665334484</v>
      </c>
      <c r="CZ28" s="172">
        <f>SUMPRODUCT(CB28:CY28,B28:Y28)/SUM(B28:Y28)</f>
        <v>0.44314697553091509</v>
      </c>
      <c r="DA28" s="172" t="e">
        <f>BX28</f>
        <v>#DIV/0!</v>
      </c>
      <c r="DB28" s="172"/>
      <c r="DC28" s="172"/>
      <c r="DD28" s="15" t="s">
        <v>359</v>
      </c>
      <c r="DE28" s="34" t="s">
        <v>358</v>
      </c>
      <c r="DF28" s="172">
        <f t="shared" ref="DF28:DV28" si="74">BZ28</f>
        <v>0</v>
      </c>
      <c r="DG28" s="172" t="str">
        <f t="shared" si="74"/>
        <v>w-a conv%</v>
      </c>
      <c r="DH28" s="172">
        <f t="shared" si="74"/>
        <v>0.7652484013772749</v>
      </c>
      <c r="DI28" s="172">
        <f t="shared" si="74"/>
        <v>0.75070741369552918</v>
      </c>
      <c r="DJ28" s="172">
        <f t="shared" si="74"/>
        <v>0.72152608463372514</v>
      </c>
      <c r="DK28" s="172">
        <f t="shared" si="74"/>
        <v>0.68786433748418818</v>
      </c>
      <c r="DL28" s="172">
        <f t="shared" si="74"/>
        <v>0.63549691231008787</v>
      </c>
      <c r="DM28" s="172">
        <f t="shared" si="74"/>
        <v>0.60278949214423039</v>
      </c>
      <c r="DN28" s="172">
        <f t="shared" si="74"/>
        <v>0.57340648825739304</v>
      </c>
      <c r="DO28" s="172">
        <f t="shared" si="74"/>
        <v>0.54917265569818485</v>
      </c>
      <c r="DP28" s="172">
        <f t="shared" si="74"/>
        <v>0.50104174508604749</v>
      </c>
      <c r="DQ28" s="172">
        <f t="shared" si="74"/>
        <v>0.46636191645639397</v>
      </c>
      <c r="DR28" s="172">
        <f t="shared" si="74"/>
        <v>0.44256220476889707</v>
      </c>
      <c r="DS28" s="172">
        <f t="shared" si="74"/>
        <v>0.41449828034736624</v>
      </c>
      <c r="DT28" s="172">
        <f t="shared" si="74"/>
        <v>0.40497127049279663</v>
      </c>
      <c r="DU28" s="172">
        <f t="shared" si="74"/>
        <v>0.37820814805343639</v>
      </c>
      <c r="DV28" s="33">
        <f t="shared" si="74"/>
        <v>0.36900364752764425</v>
      </c>
      <c r="DW28" s="33">
        <v>0.34</v>
      </c>
      <c r="DX28" s="33">
        <v>0.33</v>
      </c>
      <c r="DY28" s="33">
        <v>0.32</v>
      </c>
      <c r="DZ28" s="33">
        <v>0.3</v>
      </c>
      <c r="EA28" s="33">
        <f t="shared" ref="EA28:EC28" si="75">CU28</f>
        <v>0.32</v>
      </c>
      <c r="EB28" s="172">
        <f t="shared" si="75"/>
        <v>0.3</v>
      </c>
      <c r="EC28" s="172">
        <f t="shared" si="75"/>
        <v>0.27608010906868508</v>
      </c>
      <c r="ED28" s="172">
        <f>SUMPRODUCT(DF28:EC28,AD28:BA28)/SUM(AD28:BA28)</f>
        <v>0.29950792434893631</v>
      </c>
      <c r="EE28" s="172">
        <f>CZ28</f>
        <v>0.44314697553091509</v>
      </c>
    </row>
    <row r="29" spans="1:136" ht="15.75" customHeight="1" x14ac:dyDescent="0.35">
      <c r="DG29" s="15" t="e">
        <f t="shared" ref="DG29:EC29" si="76">IF(DG27&gt;DF27,0,1)</f>
        <v>#VALUE!</v>
      </c>
      <c r="DH29" s="15" t="e">
        <f t="shared" si="76"/>
        <v>#VALUE!</v>
      </c>
      <c r="DI29" s="15">
        <f t="shared" si="76"/>
        <v>1</v>
      </c>
      <c r="DJ29" s="15">
        <f t="shared" si="76"/>
        <v>1</v>
      </c>
      <c r="DK29" s="15">
        <f t="shared" si="76"/>
        <v>1</v>
      </c>
      <c r="DL29" s="15">
        <f t="shared" si="76"/>
        <v>1</v>
      </c>
      <c r="DM29" s="15">
        <f t="shared" si="76"/>
        <v>1</v>
      </c>
      <c r="DN29" s="15">
        <f t="shared" si="76"/>
        <v>1</v>
      </c>
      <c r="DO29" s="15">
        <f t="shared" si="76"/>
        <v>1</v>
      </c>
      <c r="DP29" s="15">
        <f t="shared" si="76"/>
        <v>1</v>
      </c>
      <c r="DQ29" s="15">
        <f t="shared" si="76"/>
        <v>1</v>
      </c>
      <c r="DR29" s="15">
        <f t="shared" si="76"/>
        <v>1</v>
      </c>
      <c r="DS29" s="15">
        <f t="shared" si="76"/>
        <v>1</v>
      </c>
      <c r="DT29" s="15">
        <f t="shared" si="76"/>
        <v>1</v>
      </c>
      <c r="DU29" s="15">
        <f t="shared" si="76"/>
        <v>1</v>
      </c>
      <c r="DV29" s="15">
        <f t="shared" si="76"/>
        <v>1</v>
      </c>
      <c r="DW29" s="15">
        <f t="shared" si="76"/>
        <v>1</v>
      </c>
      <c r="DX29" s="15">
        <f t="shared" si="76"/>
        <v>1</v>
      </c>
      <c r="DY29" s="15">
        <f t="shared" si="76"/>
        <v>1</v>
      </c>
      <c r="DZ29" s="15">
        <f t="shared" si="76"/>
        <v>0</v>
      </c>
      <c r="EA29" s="15">
        <f t="shared" si="76"/>
        <v>0</v>
      </c>
      <c r="EB29" s="15">
        <f t="shared" si="76"/>
        <v>1</v>
      </c>
      <c r="EC29" s="15">
        <f t="shared" si="76"/>
        <v>1</v>
      </c>
    </row>
    <row r="30" spans="1:136" ht="15.75" customHeight="1" x14ac:dyDescent="0.35">
      <c r="A30" s="207" t="s">
        <v>30</v>
      </c>
      <c r="B30" s="207" t="s">
        <v>321</v>
      </c>
      <c r="C30" s="207">
        <v>1.5</v>
      </c>
      <c r="D30" s="207">
        <v>2</v>
      </c>
      <c r="E30" s="207">
        <v>2.5</v>
      </c>
      <c r="F30" s="207">
        <v>3</v>
      </c>
      <c r="G30" s="207">
        <v>3.5</v>
      </c>
      <c r="H30" s="207">
        <v>4</v>
      </c>
      <c r="I30" s="207">
        <v>4.5</v>
      </c>
      <c r="J30" s="207">
        <v>5</v>
      </c>
      <c r="K30" s="207">
        <v>5.5</v>
      </c>
      <c r="L30" s="207">
        <v>6</v>
      </c>
      <c r="M30" s="207">
        <v>6.5</v>
      </c>
      <c r="N30" s="207">
        <v>7</v>
      </c>
      <c r="O30" s="207">
        <v>7.5</v>
      </c>
      <c r="P30" s="207">
        <v>8</v>
      </c>
      <c r="Q30" s="207">
        <v>8.5</v>
      </c>
      <c r="R30" s="207">
        <v>9</v>
      </c>
      <c r="S30" s="207">
        <v>9.5</v>
      </c>
      <c r="T30" s="207">
        <v>10</v>
      </c>
      <c r="U30" s="207">
        <v>10.5</v>
      </c>
      <c r="V30" s="207">
        <v>11</v>
      </c>
      <c r="W30" s="207">
        <v>11.5</v>
      </c>
      <c r="X30" s="207">
        <v>12</v>
      </c>
      <c r="Y30" s="207" t="s">
        <v>322</v>
      </c>
      <c r="Z30" s="207" t="s">
        <v>321</v>
      </c>
      <c r="AA30" s="207">
        <v>1.5</v>
      </c>
      <c r="AB30" s="207">
        <v>2</v>
      </c>
      <c r="AC30" s="207">
        <v>2.5</v>
      </c>
      <c r="AD30" s="207">
        <v>3</v>
      </c>
      <c r="AE30" s="207">
        <v>3.5</v>
      </c>
      <c r="AF30" s="207">
        <v>4</v>
      </c>
      <c r="AG30" s="207">
        <v>4.5</v>
      </c>
      <c r="AH30" s="207">
        <v>5</v>
      </c>
      <c r="AI30" s="207">
        <v>5.5</v>
      </c>
      <c r="AJ30" s="207">
        <v>6</v>
      </c>
      <c r="AK30" s="207">
        <v>6.5</v>
      </c>
      <c r="AL30" s="207">
        <v>7</v>
      </c>
      <c r="AM30" s="207">
        <v>7.5</v>
      </c>
      <c r="AN30" s="207">
        <v>8</v>
      </c>
      <c r="AO30" s="207">
        <v>8.5</v>
      </c>
      <c r="AP30" s="207">
        <v>9</v>
      </c>
      <c r="AQ30" s="207">
        <v>9.5</v>
      </c>
      <c r="AR30" s="207">
        <v>10</v>
      </c>
      <c r="AS30" s="207">
        <v>10.5</v>
      </c>
      <c r="AT30" s="207">
        <v>11</v>
      </c>
      <c r="AU30" s="207">
        <v>11.5</v>
      </c>
      <c r="AV30" s="207">
        <v>12</v>
      </c>
      <c r="AW30" s="207" t="s">
        <v>322</v>
      </c>
      <c r="AX30" s="207" t="s">
        <v>321</v>
      </c>
      <c r="AY30" s="207">
        <v>1.5</v>
      </c>
      <c r="AZ30" s="207">
        <v>2</v>
      </c>
      <c r="BA30" s="207">
        <v>2.5</v>
      </c>
      <c r="BB30" s="207">
        <v>3</v>
      </c>
      <c r="BC30" s="207">
        <v>3.5</v>
      </c>
      <c r="BD30" s="207">
        <v>4</v>
      </c>
      <c r="BE30" s="207">
        <v>4.5</v>
      </c>
      <c r="BF30" s="207">
        <v>5</v>
      </c>
      <c r="BG30" s="207">
        <v>5.5</v>
      </c>
      <c r="BH30" s="207">
        <v>6</v>
      </c>
      <c r="BI30" s="207">
        <v>6.5</v>
      </c>
      <c r="BJ30" s="207">
        <v>7</v>
      </c>
      <c r="BK30" s="207">
        <v>7.5</v>
      </c>
      <c r="BL30" s="207">
        <v>8</v>
      </c>
      <c r="BM30" s="207">
        <v>8.5</v>
      </c>
      <c r="BN30" s="207">
        <v>9</v>
      </c>
      <c r="BO30" s="207">
        <v>9.5</v>
      </c>
      <c r="BP30" s="207">
        <v>10</v>
      </c>
      <c r="BQ30" s="207">
        <v>10.5</v>
      </c>
      <c r="BR30" s="207">
        <v>11</v>
      </c>
      <c r="BS30" s="207">
        <v>11.5</v>
      </c>
      <c r="BT30" s="207">
        <v>12</v>
      </c>
      <c r="BU30" s="207" t="s">
        <v>322</v>
      </c>
      <c r="BV30" s="207"/>
      <c r="BW30" s="207"/>
      <c r="BX30" s="207"/>
      <c r="CA30" s="207" t="s">
        <v>30</v>
      </c>
      <c r="DE30" s="207" t="s">
        <v>30</v>
      </c>
      <c r="DH30" s="15" t="e">
        <f t="shared" ref="DH30:EC30" si="77">IF(DH29&gt;DG29,0,1)</f>
        <v>#VALUE!</v>
      </c>
      <c r="DI30" s="15" t="e">
        <f t="shared" si="77"/>
        <v>#VALUE!</v>
      </c>
      <c r="DJ30" s="15">
        <f t="shared" si="77"/>
        <v>1</v>
      </c>
      <c r="DK30" s="15">
        <f t="shared" si="77"/>
        <v>1</v>
      </c>
      <c r="DL30" s="15">
        <f t="shared" si="77"/>
        <v>1</v>
      </c>
      <c r="DM30" s="15">
        <f t="shared" si="77"/>
        <v>1</v>
      </c>
      <c r="DN30" s="15">
        <f t="shared" si="77"/>
        <v>1</v>
      </c>
      <c r="DO30" s="15">
        <f t="shared" si="77"/>
        <v>1</v>
      </c>
      <c r="DP30" s="15">
        <f t="shared" si="77"/>
        <v>1</v>
      </c>
      <c r="DQ30" s="15">
        <f t="shared" si="77"/>
        <v>1</v>
      </c>
      <c r="DR30" s="15">
        <f t="shared" si="77"/>
        <v>1</v>
      </c>
      <c r="DS30" s="15">
        <f t="shared" si="77"/>
        <v>1</v>
      </c>
      <c r="DT30" s="15">
        <f t="shared" si="77"/>
        <v>1</v>
      </c>
      <c r="DU30" s="15">
        <f t="shared" si="77"/>
        <v>1</v>
      </c>
      <c r="DV30" s="15">
        <f t="shared" si="77"/>
        <v>1</v>
      </c>
      <c r="DW30" s="15">
        <f t="shared" si="77"/>
        <v>1</v>
      </c>
      <c r="DX30" s="15">
        <f t="shared" si="77"/>
        <v>1</v>
      </c>
      <c r="DY30" s="15">
        <f t="shared" si="77"/>
        <v>1</v>
      </c>
      <c r="DZ30" s="15">
        <f t="shared" si="77"/>
        <v>1</v>
      </c>
      <c r="EA30" s="15">
        <f t="shared" si="77"/>
        <v>1</v>
      </c>
      <c r="EB30" s="15">
        <f t="shared" si="77"/>
        <v>0</v>
      </c>
      <c r="EC30" s="15">
        <f t="shared" si="77"/>
        <v>1</v>
      </c>
    </row>
    <row r="31" spans="1:136" ht="15.75" customHeight="1" x14ac:dyDescent="0.35">
      <c r="A31" s="34" t="s">
        <v>327</v>
      </c>
      <c r="B31" s="15">
        <v>8</v>
      </c>
      <c r="C31" s="15">
        <v>3</v>
      </c>
      <c r="D31" s="15">
        <v>9</v>
      </c>
      <c r="E31" s="15">
        <v>19</v>
      </c>
      <c r="F31" s="15">
        <v>31</v>
      </c>
      <c r="G31" s="15">
        <v>56</v>
      </c>
      <c r="H31" s="15">
        <v>86</v>
      </c>
      <c r="I31" s="15">
        <v>109</v>
      </c>
      <c r="J31" s="15">
        <v>112</v>
      </c>
      <c r="K31" s="15">
        <v>173</v>
      </c>
      <c r="L31" s="15">
        <v>142</v>
      </c>
      <c r="M31" s="15">
        <v>196</v>
      </c>
      <c r="N31" s="15">
        <v>230</v>
      </c>
      <c r="O31" s="15">
        <v>211</v>
      </c>
      <c r="P31" s="15">
        <v>260</v>
      </c>
      <c r="Q31" s="15">
        <v>239</v>
      </c>
      <c r="R31" s="15">
        <v>207</v>
      </c>
      <c r="S31" s="15">
        <v>153</v>
      </c>
      <c r="T31" s="15">
        <v>105</v>
      </c>
      <c r="U31" s="15">
        <v>52</v>
      </c>
      <c r="V31" s="15">
        <v>36</v>
      </c>
      <c r="W31" s="15">
        <v>19</v>
      </c>
      <c r="X31" s="15">
        <v>8</v>
      </c>
      <c r="Y31" s="15">
        <v>7</v>
      </c>
      <c r="Z31" s="15">
        <v>8</v>
      </c>
      <c r="AA31" s="15">
        <v>3</v>
      </c>
      <c r="AB31" s="15">
        <v>6</v>
      </c>
      <c r="AC31" s="15">
        <v>15</v>
      </c>
      <c r="AD31" s="15">
        <v>28</v>
      </c>
      <c r="AE31" s="15">
        <v>51</v>
      </c>
      <c r="AF31" s="15">
        <v>73</v>
      </c>
      <c r="AG31" s="15">
        <v>74</v>
      </c>
      <c r="AH31" s="15">
        <v>87</v>
      </c>
      <c r="AI31" s="15">
        <v>123</v>
      </c>
      <c r="AJ31" s="15">
        <v>101</v>
      </c>
      <c r="AK31" s="15">
        <v>144</v>
      </c>
      <c r="AL31" s="15">
        <v>176</v>
      </c>
      <c r="AM31" s="15">
        <v>145</v>
      </c>
      <c r="AN31" s="15">
        <v>178</v>
      </c>
      <c r="AO31" s="15">
        <v>162</v>
      </c>
      <c r="AP31" s="15">
        <v>147</v>
      </c>
      <c r="AQ31" s="15">
        <v>105</v>
      </c>
      <c r="AR31" s="15">
        <v>73</v>
      </c>
      <c r="AS31" s="15">
        <v>38</v>
      </c>
      <c r="AT31" s="15">
        <v>22</v>
      </c>
      <c r="AU31" s="15">
        <v>11</v>
      </c>
      <c r="AV31" s="15">
        <v>6</v>
      </c>
      <c r="AW31" s="15">
        <v>4</v>
      </c>
      <c r="AX31" s="172">
        <v>1</v>
      </c>
      <c r="AY31" s="172">
        <v>1</v>
      </c>
      <c r="AZ31" s="172">
        <v>0.66666666666666663</v>
      </c>
      <c r="BA31" s="172">
        <v>0.78947368421052633</v>
      </c>
      <c r="BB31" s="172">
        <v>0.90322580645161288</v>
      </c>
      <c r="BC31" s="172">
        <v>0.9107142857142857</v>
      </c>
      <c r="BD31" s="172">
        <v>0.84883720930232553</v>
      </c>
      <c r="BE31" s="172">
        <v>0.67889908256880738</v>
      </c>
      <c r="BF31" s="172">
        <v>0.7767857142857143</v>
      </c>
      <c r="BG31" s="172">
        <v>0.71098265895953761</v>
      </c>
      <c r="BH31" s="172">
        <v>0.71126760563380287</v>
      </c>
      <c r="BI31" s="172">
        <v>0.73469387755102045</v>
      </c>
      <c r="BJ31" s="172">
        <v>0.76521739130434785</v>
      </c>
      <c r="BK31" s="172">
        <v>0.6872037914691943</v>
      </c>
      <c r="BL31" s="172">
        <v>0.68461538461538463</v>
      </c>
      <c r="BM31" s="172">
        <v>0.67782426778242677</v>
      </c>
      <c r="BN31" s="172">
        <v>0.71014492753623193</v>
      </c>
      <c r="BO31" s="172">
        <v>0.68627450980392157</v>
      </c>
      <c r="BP31" s="172">
        <v>0.69523809523809521</v>
      </c>
      <c r="BQ31" s="172">
        <v>0.73076923076923073</v>
      </c>
      <c r="BR31" s="172">
        <v>0.61111111111111116</v>
      </c>
      <c r="BS31" s="172">
        <v>0.57894736842105265</v>
      </c>
      <c r="BT31" s="172">
        <v>0.75</v>
      </c>
      <c r="BU31" s="172">
        <v>0.5714285714285714</v>
      </c>
      <c r="BV31" s="15">
        <v>2471</v>
      </c>
      <c r="BW31" s="15">
        <v>1780</v>
      </c>
      <c r="BX31" s="172">
        <v>0.72035613112100361</v>
      </c>
      <c r="CA31" s="34" t="s">
        <v>327</v>
      </c>
      <c r="CB31" s="172">
        <f t="shared" ref="CB31:CY31" si="78">AVERAGE(CB9:CB12,CB14,CB16,CB19,CB20,CB26,CB28)</f>
        <v>0.67570342959305729</v>
      </c>
      <c r="CC31" s="172">
        <f t="shared" si="78"/>
        <v>0.65378153606966871</v>
      </c>
      <c r="CD31" s="172">
        <f t="shared" si="78"/>
        <v>0.63264211554755245</v>
      </c>
      <c r="CE31" s="172">
        <f t="shared" si="78"/>
        <v>0.60609672479481891</v>
      </c>
      <c r="CF31" s="172">
        <f t="shared" si="78"/>
        <v>0.57545163822810008</v>
      </c>
      <c r="CG31" s="172">
        <f t="shared" si="78"/>
        <v>0.55022465269975229</v>
      </c>
      <c r="CH31" s="172">
        <f t="shared" si="78"/>
        <v>0.52383560448377509</v>
      </c>
      <c r="CI31" s="172">
        <f t="shared" si="78"/>
        <v>0.494055006010515</v>
      </c>
      <c r="CJ31" s="172">
        <f t="shared" si="78"/>
        <v>0.47039245575872901</v>
      </c>
      <c r="CK31" s="172">
        <f t="shared" si="78"/>
        <v>0.441215153598704</v>
      </c>
      <c r="CL31" s="172">
        <f t="shared" si="78"/>
        <v>0.42241862626580601</v>
      </c>
      <c r="CM31" s="172">
        <f t="shared" si="78"/>
        <v>0.40437876985754412</v>
      </c>
      <c r="CN31" s="172">
        <f t="shared" si="78"/>
        <v>0.39168927255724545</v>
      </c>
      <c r="CO31" s="172">
        <f t="shared" si="78"/>
        <v>0.37662369113344935</v>
      </c>
      <c r="CP31" s="172">
        <f t="shared" si="78"/>
        <v>0.36737770513746104</v>
      </c>
      <c r="CQ31" s="172">
        <f t="shared" si="78"/>
        <v>0.35650275772057022</v>
      </c>
      <c r="CR31" s="172">
        <f t="shared" si="78"/>
        <v>0.34481899973828678</v>
      </c>
      <c r="CS31" s="172">
        <f t="shared" si="78"/>
        <v>0.33334193592931732</v>
      </c>
      <c r="CT31" s="172">
        <f t="shared" si="78"/>
        <v>0.32297172218447301</v>
      </c>
      <c r="CU31" s="172">
        <f t="shared" si="78"/>
        <v>0.3133925122168465</v>
      </c>
      <c r="CV31" s="172">
        <f t="shared" si="78"/>
        <v>0.30161968235656189</v>
      </c>
      <c r="CW31" s="172">
        <f t="shared" si="78"/>
        <v>0.28963032817646195</v>
      </c>
      <c r="CX31" s="172">
        <f t="shared" si="78"/>
        <v>0.27712286676308395</v>
      </c>
      <c r="CY31" s="172">
        <f t="shared" si="78"/>
        <v>0.26183264097854453</v>
      </c>
      <c r="CZ31" s="172">
        <f>AVERAGE(CZ9:CZ20,CZ26,CZ28)</f>
        <v>0.42025812276494146</v>
      </c>
      <c r="DE31" s="34" t="s">
        <v>327</v>
      </c>
      <c r="DF31" s="172">
        <f t="shared" ref="DF31:ED31" si="79">AVERAGE(DF9:DF12,DF14,DF16,DF19:DF22)</f>
        <v>0.7075834763515888</v>
      </c>
      <c r="DG31" s="172">
        <f t="shared" si="79"/>
        <v>0.68638690791765167</v>
      </c>
      <c r="DH31" s="172">
        <f t="shared" si="79"/>
        <v>0.66585175142679121</v>
      </c>
      <c r="DI31" s="172">
        <f t="shared" si="79"/>
        <v>0.64506581266263996</v>
      </c>
      <c r="DJ31" s="172">
        <f t="shared" si="79"/>
        <v>0.61503154982383257</v>
      </c>
      <c r="DK31" s="172">
        <f t="shared" si="79"/>
        <v>0.59293119693673091</v>
      </c>
      <c r="DL31" s="172">
        <f t="shared" si="79"/>
        <v>0.56920608092943348</v>
      </c>
      <c r="DM31" s="172">
        <f t="shared" si="79"/>
        <v>0.53513415701151867</v>
      </c>
      <c r="DN31" s="172">
        <f t="shared" si="79"/>
        <v>0.51062549171239136</v>
      </c>
      <c r="DO31" s="172">
        <f t="shared" si="79"/>
        <v>0.47908845048376969</v>
      </c>
      <c r="DP31" s="172">
        <f t="shared" si="79"/>
        <v>0.45788671053607166</v>
      </c>
      <c r="DQ31" s="172">
        <f t="shared" si="79"/>
        <v>0.43822248233160394</v>
      </c>
      <c r="DR31" s="172">
        <f t="shared" si="79"/>
        <v>0.42438191983917922</v>
      </c>
      <c r="DS31" s="172">
        <f t="shared" si="79"/>
        <v>0.40816833997433843</v>
      </c>
      <c r="DT31" s="172">
        <f t="shared" si="79"/>
        <v>0.39821299173527841</v>
      </c>
      <c r="DU31" s="172">
        <f t="shared" si="79"/>
        <v>0.38573329942211354</v>
      </c>
      <c r="DV31" s="172">
        <f t="shared" si="79"/>
        <v>0.37182151233381133</v>
      </c>
      <c r="DW31" s="172">
        <f t="shared" si="79"/>
        <v>0.35963275798160171</v>
      </c>
      <c r="DX31" s="172">
        <f t="shared" si="79"/>
        <v>0.34816704423551748</v>
      </c>
      <c r="DY31" s="172">
        <f t="shared" si="79"/>
        <v>0.33731131436335293</v>
      </c>
      <c r="DZ31" s="172">
        <f t="shared" si="79"/>
        <v>0.32431590186845505</v>
      </c>
      <c r="EA31" s="172">
        <f t="shared" si="79"/>
        <v>0.31147180422907039</v>
      </c>
      <c r="EB31" s="172">
        <f t="shared" si="79"/>
        <v>0.29771337342863452</v>
      </c>
      <c r="EC31" s="172">
        <f t="shared" si="79"/>
        <v>0.28211054158867443</v>
      </c>
      <c r="ED31" s="172">
        <f t="shared" si="79"/>
        <v>0.4302430308787798</v>
      </c>
    </row>
    <row r="32" spans="1:136" ht="15.75" customHeight="1" x14ac:dyDescent="0.35">
      <c r="A32" s="34" t="s">
        <v>329</v>
      </c>
      <c r="B32" s="15">
        <v>2</v>
      </c>
      <c r="C32" s="15">
        <v>5</v>
      </c>
      <c r="D32" s="15">
        <v>9</v>
      </c>
      <c r="E32" s="15">
        <v>16</v>
      </c>
      <c r="F32" s="15">
        <v>20</v>
      </c>
      <c r="G32" s="15">
        <v>44</v>
      </c>
      <c r="H32" s="15">
        <v>56</v>
      </c>
      <c r="I32" s="15">
        <v>104</v>
      </c>
      <c r="J32" s="15">
        <v>92</v>
      </c>
      <c r="K32" s="15">
        <v>131</v>
      </c>
      <c r="L32" s="15">
        <v>108</v>
      </c>
      <c r="M32" s="15">
        <v>169</v>
      </c>
      <c r="N32" s="15">
        <v>200</v>
      </c>
      <c r="O32" s="15">
        <v>202</v>
      </c>
      <c r="P32" s="15">
        <v>227</v>
      </c>
      <c r="Q32" s="15">
        <v>198</v>
      </c>
      <c r="R32" s="15">
        <v>199</v>
      </c>
      <c r="S32" s="15">
        <v>159</v>
      </c>
      <c r="T32" s="15">
        <v>118</v>
      </c>
      <c r="U32" s="15">
        <v>77</v>
      </c>
      <c r="V32" s="15">
        <v>39</v>
      </c>
      <c r="W32" s="15">
        <v>16</v>
      </c>
      <c r="X32" s="15">
        <v>10</v>
      </c>
      <c r="Y32" s="15">
        <v>4</v>
      </c>
      <c r="Z32" s="15">
        <v>1</v>
      </c>
      <c r="AA32" s="15">
        <v>4</v>
      </c>
      <c r="AB32" s="15">
        <v>6</v>
      </c>
      <c r="AC32" s="15">
        <v>14</v>
      </c>
      <c r="AD32" s="15">
        <v>16</v>
      </c>
      <c r="AE32" s="15">
        <v>34</v>
      </c>
      <c r="AF32" s="15">
        <v>45</v>
      </c>
      <c r="AG32" s="15">
        <v>87</v>
      </c>
      <c r="AH32" s="15">
        <v>71</v>
      </c>
      <c r="AI32" s="15">
        <v>112</v>
      </c>
      <c r="AJ32" s="15">
        <v>81</v>
      </c>
      <c r="AK32" s="15">
        <v>121</v>
      </c>
      <c r="AL32" s="15">
        <v>148</v>
      </c>
      <c r="AM32" s="15">
        <v>146</v>
      </c>
      <c r="AN32" s="15">
        <v>169</v>
      </c>
      <c r="AO32" s="15">
        <v>133</v>
      </c>
      <c r="AP32" s="15">
        <v>124</v>
      </c>
      <c r="AQ32" s="15">
        <v>91</v>
      </c>
      <c r="AR32" s="15">
        <v>85</v>
      </c>
      <c r="AS32" s="15">
        <v>51</v>
      </c>
      <c r="AT32" s="15">
        <v>23</v>
      </c>
      <c r="AU32" s="15">
        <v>11</v>
      </c>
      <c r="AV32" s="15">
        <v>6</v>
      </c>
      <c r="AW32" s="15">
        <v>1</v>
      </c>
      <c r="AX32" s="172">
        <v>0.5</v>
      </c>
      <c r="AY32" s="172">
        <v>0.8</v>
      </c>
      <c r="AZ32" s="172">
        <v>0.66666666666666663</v>
      </c>
      <c r="BA32" s="172">
        <v>0.875</v>
      </c>
      <c r="BB32" s="172">
        <v>0.8</v>
      </c>
      <c r="BC32" s="172">
        <v>0.77272727272727271</v>
      </c>
      <c r="BD32" s="172">
        <v>0.8035714285714286</v>
      </c>
      <c r="BE32" s="172">
        <v>0.83653846153846156</v>
      </c>
      <c r="BF32" s="172">
        <v>0.77173913043478259</v>
      </c>
      <c r="BG32" s="172">
        <v>0.85496183206106868</v>
      </c>
      <c r="BH32" s="172">
        <v>0.75</v>
      </c>
      <c r="BI32" s="172">
        <v>0.71597633136094674</v>
      </c>
      <c r="BJ32" s="172">
        <v>0.74</v>
      </c>
      <c r="BK32" s="172">
        <v>0.72277227722772275</v>
      </c>
      <c r="BL32" s="172">
        <v>0.74449339207048459</v>
      </c>
      <c r="BM32" s="172">
        <v>0.67171717171717171</v>
      </c>
      <c r="BN32" s="172">
        <v>0.62311557788944727</v>
      </c>
      <c r="BO32" s="172">
        <v>0.57232704402515722</v>
      </c>
      <c r="BP32" s="172">
        <v>0.72033898305084743</v>
      </c>
      <c r="BQ32" s="172">
        <v>0.66233766233766234</v>
      </c>
      <c r="BR32" s="172">
        <v>0.58974358974358976</v>
      </c>
      <c r="BS32" s="172">
        <v>0.6875</v>
      </c>
      <c r="BT32" s="172">
        <v>0.6</v>
      </c>
      <c r="BU32" s="172">
        <v>0.25</v>
      </c>
      <c r="BV32" s="15">
        <v>2205</v>
      </c>
      <c r="BW32" s="15">
        <v>1580</v>
      </c>
      <c r="BX32" s="172">
        <v>0.71655328798185947</v>
      </c>
      <c r="CA32" s="34" t="s">
        <v>329</v>
      </c>
      <c r="CB32" s="43">
        <f t="shared" ref="CB32:CY32" si="80">+CB31/$CZ31</f>
        <v>1.6078295528174511</v>
      </c>
      <c r="CC32" s="43">
        <f t="shared" si="80"/>
        <v>1.5556666264255443</v>
      </c>
      <c r="CD32" s="43">
        <f t="shared" si="80"/>
        <v>1.5053655867144333</v>
      </c>
      <c r="CE32" s="43">
        <f t="shared" si="80"/>
        <v>1.4422010949061908</v>
      </c>
      <c r="CF32" s="43">
        <f t="shared" si="80"/>
        <v>1.3692814179107762</v>
      </c>
      <c r="CG32" s="43">
        <f t="shared" si="80"/>
        <v>1.3092540581482197</v>
      </c>
      <c r="CH32" s="43">
        <f t="shared" si="80"/>
        <v>1.2464615818425633</v>
      </c>
      <c r="CI32" s="43">
        <f t="shared" si="80"/>
        <v>1.1755989456195461</v>
      </c>
      <c r="CJ32" s="43">
        <f t="shared" si="80"/>
        <v>1.1192941439512132</v>
      </c>
      <c r="CK32" s="43">
        <f t="shared" si="80"/>
        <v>1.0498670452718037</v>
      </c>
      <c r="CL32" s="43">
        <f t="shared" si="80"/>
        <v>1.0051408964725066</v>
      </c>
      <c r="CM32" s="43">
        <f t="shared" si="80"/>
        <v>0.96221523857070346</v>
      </c>
      <c r="CN32" s="43">
        <f t="shared" si="80"/>
        <v>0.9320207066558589</v>
      </c>
      <c r="CO32" s="43">
        <f t="shared" si="80"/>
        <v>0.89617230633303502</v>
      </c>
      <c r="CP32" s="43">
        <f t="shared" si="80"/>
        <v>0.87417157512727606</v>
      </c>
      <c r="CQ32" s="43">
        <f t="shared" si="80"/>
        <v>0.84829474651217895</v>
      </c>
      <c r="CR32" s="43">
        <f t="shared" si="80"/>
        <v>0.82049336124587113</v>
      </c>
      <c r="CS32" s="43">
        <f t="shared" si="80"/>
        <v>0.79318380269775757</v>
      </c>
      <c r="CT32" s="43">
        <f t="shared" si="80"/>
        <v>0.76850798280731236</v>
      </c>
      <c r="CU32" s="43">
        <f t="shared" si="80"/>
        <v>0.74571434849370666</v>
      </c>
      <c r="CV32" s="43">
        <f t="shared" si="80"/>
        <v>0.71770101758452776</v>
      </c>
      <c r="CW32" s="43">
        <f t="shared" si="80"/>
        <v>0.6891724692218687</v>
      </c>
      <c r="CX32" s="43">
        <f t="shared" si="80"/>
        <v>0.65941108987936004</v>
      </c>
      <c r="CY32" s="43">
        <f t="shared" si="80"/>
        <v>0.62302815054687855</v>
      </c>
      <c r="DE32" s="34" t="s">
        <v>329</v>
      </c>
      <c r="DF32" s="43">
        <f t="shared" ref="DF32:EB32" si="81">+DF31/$ED31</f>
        <v>1.6446134523232967</v>
      </c>
      <c r="DG32" s="43">
        <f t="shared" si="81"/>
        <v>1.5953469519673404</v>
      </c>
      <c r="DH32" s="43">
        <f t="shared" si="81"/>
        <v>1.5476177500580917</v>
      </c>
      <c r="DI32" s="43">
        <f t="shared" si="81"/>
        <v>1.4993056629995387</v>
      </c>
      <c r="DJ32" s="43">
        <f t="shared" si="81"/>
        <v>1.4294979945813848</v>
      </c>
      <c r="DK32" s="43">
        <f t="shared" si="81"/>
        <v>1.3781308571707886</v>
      </c>
      <c r="DL32" s="43">
        <f t="shared" si="81"/>
        <v>1.322987335243569</v>
      </c>
      <c r="DM32" s="43">
        <f t="shared" si="81"/>
        <v>1.2437950614063329</v>
      </c>
      <c r="DN32" s="43">
        <f t="shared" si="81"/>
        <v>1.1868303611320068</v>
      </c>
      <c r="DO32" s="43">
        <f t="shared" si="81"/>
        <v>1.1135298333716694</v>
      </c>
      <c r="DP32" s="43">
        <f t="shared" si="81"/>
        <v>1.064251313033076</v>
      </c>
      <c r="DQ32" s="43">
        <f t="shared" si="81"/>
        <v>1.0185463816497526</v>
      </c>
      <c r="DR32" s="43">
        <f t="shared" si="81"/>
        <v>0.9863772086496575</v>
      </c>
      <c r="DS32" s="43">
        <f t="shared" si="81"/>
        <v>0.94869250790802262</v>
      </c>
      <c r="DT32" s="43">
        <f t="shared" si="81"/>
        <v>0.92555361308681883</v>
      </c>
      <c r="DU32" s="43">
        <f t="shared" si="81"/>
        <v>0.89654746675209529</v>
      </c>
      <c r="DV32" s="43">
        <f t="shared" si="81"/>
        <v>0.86421274872101617</v>
      </c>
      <c r="DW32" s="43">
        <f t="shared" si="81"/>
        <v>0.83588282010528969</v>
      </c>
      <c r="DX32" s="43">
        <f t="shared" si="81"/>
        <v>0.80923343145007942</v>
      </c>
      <c r="DY32" s="43">
        <f t="shared" si="81"/>
        <v>0.78400180863914981</v>
      </c>
      <c r="DZ32" s="43">
        <f t="shared" si="81"/>
        <v>0.75379699051959881</v>
      </c>
      <c r="EA32" s="43">
        <f t="shared" si="81"/>
        <v>0.72394386863834415</v>
      </c>
      <c r="EB32" s="43">
        <f t="shared" si="81"/>
        <v>0.69196559168093708</v>
      </c>
      <c r="EC32" s="43">
        <f>+EC31/$CZ31</f>
        <v>0.67127921224371989</v>
      </c>
    </row>
    <row r="33" spans="1:109" ht="15.75" customHeight="1" x14ac:dyDescent="0.35">
      <c r="A33" s="34" t="s">
        <v>333</v>
      </c>
      <c r="C33" s="15">
        <v>3</v>
      </c>
      <c r="D33" s="15">
        <v>1</v>
      </c>
      <c r="F33" s="15">
        <v>1</v>
      </c>
      <c r="G33" s="15">
        <v>5</v>
      </c>
      <c r="H33" s="15">
        <v>8</v>
      </c>
      <c r="I33" s="15">
        <v>14</v>
      </c>
      <c r="J33" s="15">
        <v>7</v>
      </c>
      <c r="K33" s="15">
        <v>14</v>
      </c>
      <c r="L33" s="15">
        <v>12</v>
      </c>
      <c r="M33" s="15">
        <v>13</v>
      </c>
      <c r="N33" s="15">
        <v>21</v>
      </c>
      <c r="O33" s="15">
        <v>15</v>
      </c>
      <c r="P33" s="15">
        <v>12</v>
      </c>
      <c r="Q33" s="15">
        <v>13</v>
      </c>
      <c r="R33" s="15">
        <v>13</v>
      </c>
      <c r="S33" s="15">
        <v>4</v>
      </c>
      <c r="T33" s="15">
        <v>9</v>
      </c>
      <c r="U33" s="15">
        <v>4</v>
      </c>
      <c r="W33" s="15">
        <v>2</v>
      </c>
      <c r="Y33" s="15">
        <v>2</v>
      </c>
      <c r="AA33" s="15">
        <v>3</v>
      </c>
      <c r="AB33" s="15">
        <v>0</v>
      </c>
      <c r="AD33" s="15">
        <v>1</v>
      </c>
      <c r="AE33" s="15">
        <v>5</v>
      </c>
      <c r="AF33" s="15">
        <v>7</v>
      </c>
      <c r="AG33" s="15">
        <v>7</v>
      </c>
      <c r="AH33" s="15">
        <v>4</v>
      </c>
      <c r="AI33" s="15">
        <v>7</v>
      </c>
      <c r="AJ33" s="15">
        <v>4</v>
      </c>
      <c r="AK33" s="15">
        <v>5</v>
      </c>
      <c r="AL33" s="15">
        <v>10</v>
      </c>
      <c r="AM33" s="15">
        <v>6</v>
      </c>
      <c r="AN33" s="15">
        <v>4</v>
      </c>
      <c r="AO33" s="15">
        <v>4</v>
      </c>
      <c r="AP33" s="15">
        <v>5</v>
      </c>
      <c r="AQ33" s="15">
        <v>0</v>
      </c>
      <c r="AR33" s="15">
        <v>3</v>
      </c>
      <c r="AS33" s="15">
        <v>1</v>
      </c>
      <c r="AU33" s="15">
        <v>0</v>
      </c>
      <c r="AW33" s="15">
        <v>0</v>
      </c>
      <c r="AX33" s="172" t="e">
        <v>#DIV/0!</v>
      </c>
      <c r="AY33" s="172">
        <v>1</v>
      </c>
      <c r="AZ33" s="172">
        <v>0</v>
      </c>
      <c r="BA33" s="172" t="e">
        <v>#DIV/0!</v>
      </c>
      <c r="BB33" s="172">
        <v>1</v>
      </c>
      <c r="BC33" s="172">
        <v>1</v>
      </c>
      <c r="BD33" s="172">
        <v>0.875</v>
      </c>
      <c r="BE33" s="172">
        <v>0.5</v>
      </c>
      <c r="BF33" s="172">
        <v>0.5714285714285714</v>
      </c>
      <c r="BG33" s="172">
        <v>0.5</v>
      </c>
      <c r="BH33" s="172">
        <v>0.33333333333333331</v>
      </c>
      <c r="BI33" s="172">
        <v>0.38461538461538464</v>
      </c>
      <c r="BJ33" s="172">
        <v>0.47619047619047616</v>
      </c>
      <c r="BK33" s="172">
        <v>0.4</v>
      </c>
      <c r="BL33" s="172">
        <v>0.33333333333333331</v>
      </c>
      <c r="BM33" s="172">
        <v>0.30769230769230771</v>
      </c>
      <c r="BN33" s="172">
        <v>0.38461538461538464</v>
      </c>
      <c r="BO33" s="172">
        <v>0</v>
      </c>
      <c r="BP33" s="172">
        <v>0.33333333333333331</v>
      </c>
      <c r="BQ33" s="172">
        <v>0.25</v>
      </c>
      <c r="BR33" s="172" t="e">
        <v>#DIV/0!</v>
      </c>
      <c r="BS33" s="172">
        <v>0</v>
      </c>
      <c r="BT33" s="172" t="e">
        <v>#DIV/0!</v>
      </c>
      <c r="BU33" s="172">
        <v>0</v>
      </c>
      <c r="BV33" s="15">
        <v>173</v>
      </c>
      <c r="BW33" s="15">
        <v>76</v>
      </c>
      <c r="BX33" s="172">
        <v>0.43930635838150289</v>
      </c>
      <c r="CA33" s="34" t="s">
        <v>333</v>
      </c>
      <c r="DE33" s="34" t="s">
        <v>333</v>
      </c>
    </row>
    <row r="34" spans="1:109" ht="15.75" customHeight="1" x14ac:dyDescent="0.35">
      <c r="A34" s="34" t="s">
        <v>334</v>
      </c>
      <c r="B34" s="15">
        <v>2</v>
      </c>
      <c r="C34" s="15">
        <v>3</v>
      </c>
      <c r="D34" s="15">
        <v>2</v>
      </c>
      <c r="E34" s="15">
        <v>4</v>
      </c>
      <c r="F34" s="15">
        <v>8</v>
      </c>
      <c r="G34" s="15">
        <v>17</v>
      </c>
      <c r="H34" s="15">
        <v>22</v>
      </c>
      <c r="I34" s="15">
        <v>27</v>
      </c>
      <c r="J34" s="15">
        <v>33</v>
      </c>
      <c r="K34" s="15">
        <v>39</v>
      </c>
      <c r="L34" s="15">
        <v>45</v>
      </c>
      <c r="M34" s="15">
        <v>49</v>
      </c>
      <c r="N34" s="15">
        <v>61</v>
      </c>
      <c r="O34" s="15">
        <v>61</v>
      </c>
      <c r="P34" s="15">
        <v>69</v>
      </c>
      <c r="Q34" s="15">
        <v>76</v>
      </c>
      <c r="R34" s="15">
        <v>50</v>
      </c>
      <c r="S34" s="15">
        <v>40</v>
      </c>
      <c r="T34" s="15">
        <v>45</v>
      </c>
      <c r="U34" s="15">
        <v>24</v>
      </c>
      <c r="V34" s="15">
        <v>6</v>
      </c>
      <c r="W34" s="15">
        <v>7</v>
      </c>
      <c r="X34" s="15">
        <v>2</v>
      </c>
      <c r="Y34" s="15">
        <v>2</v>
      </c>
      <c r="Z34" s="15">
        <v>2</v>
      </c>
      <c r="AA34" s="15">
        <v>1</v>
      </c>
      <c r="AB34" s="15">
        <v>0</v>
      </c>
      <c r="AC34" s="15">
        <v>1</v>
      </c>
      <c r="AD34" s="15">
        <v>0</v>
      </c>
      <c r="AE34" s="15">
        <v>5</v>
      </c>
      <c r="AF34" s="15">
        <v>4</v>
      </c>
      <c r="AG34" s="15">
        <v>4</v>
      </c>
      <c r="AH34" s="15">
        <v>8</v>
      </c>
      <c r="AI34" s="15">
        <v>8</v>
      </c>
      <c r="AJ34" s="15">
        <v>8</v>
      </c>
      <c r="AK34" s="15">
        <v>8</v>
      </c>
      <c r="AL34" s="15">
        <v>11</v>
      </c>
      <c r="AM34" s="15">
        <v>9</v>
      </c>
      <c r="AN34" s="15">
        <v>14</v>
      </c>
      <c r="AO34" s="15">
        <v>9</v>
      </c>
      <c r="AP34" s="15">
        <v>5</v>
      </c>
      <c r="AQ34" s="15">
        <v>3</v>
      </c>
      <c r="AR34" s="15">
        <v>3</v>
      </c>
      <c r="AS34" s="15">
        <v>5</v>
      </c>
      <c r="AT34" s="15">
        <v>0</v>
      </c>
      <c r="AU34" s="15">
        <v>1</v>
      </c>
      <c r="AV34" s="15">
        <v>0</v>
      </c>
      <c r="AW34" s="15">
        <v>0</v>
      </c>
      <c r="AX34" s="172">
        <v>1</v>
      </c>
      <c r="AY34" s="172">
        <v>0.33333333333333331</v>
      </c>
      <c r="AZ34" s="172">
        <v>0</v>
      </c>
      <c r="BA34" s="172">
        <v>0.25</v>
      </c>
      <c r="BB34" s="172">
        <v>0</v>
      </c>
      <c r="BC34" s="172">
        <v>0.29411764705882354</v>
      </c>
      <c r="BD34" s="172">
        <v>0.18181818181818182</v>
      </c>
      <c r="BE34" s="172">
        <v>0.14814814814814814</v>
      </c>
      <c r="BF34" s="172">
        <v>0.24242424242424243</v>
      </c>
      <c r="BG34" s="172">
        <v>0.20512820512820512</v>
      </c>
      <c r="BH34" s="172">
        <v>0.17777777777777778</v>
      </c>
      <c r="BI34" s="172">
        <v>0.16326530612244897</v>
      </c>
      <c r="BJ34" s="172">
        <v>0.18032786885245902</v>
      </c>
      <c r="BK34" s="172">
        <v>0.14754098360655737</v>
      </c>
      <c r="BL34" s="172">
        <v>0.20289855072463769</v>
      </c>
      <c r="BM34" s="172">
        <v>0.11842105263157894</v>
      </c>
      <c r="BN34" s="172">
        <v>0.1</v>
      </c>
      <c r="BO34" s="172">
        <v>7.4999999999999997E-2</v>
      </c>
      <c r="BP34" s="172">
        <v>6.6666666666666666E-2</v>
      </c>
      <c r="BQ34" s="172">
        <v>0.20833333333333334</v>
      </c>
      <c r="BR34" s="172">
        <v>0</v>
      </c>
      <c r="BS34" s="172">
        <v>0.14285714285714285</v>
      </c>
      <c r="BT34" s="172">
        <v>0</v>
      </c>
      <c r="BU34" s="172">
        <v>0</v>
      </c>
      <c r="BV34" s="15">
        <v>694</v>
      </c>
      <c r="BW34" s="15">
        <v>109</v>
      </c>
      <c r="BX34" s="172">
        <v>0.15706051873198848</v>
      </c>
      <c r="CA34" s="34" t="s">
        <v>334</v>
      </c>
      <c r="DE34" s="34" t="s">
        <v>334</v>
      </c>
    </row>
    <row r="35" spans="1:109" ht="15.75" customHeight="1" x14ac:dyDescent="0.35">
      <c r="A35" s="34" t="s">
        <v>335</v>
      </c>
      <c r="B35" s="15">
        <v>4</v>
      </c>
      <c r="C35" s="15">
        <v>4</v>
      </c>
      <c r="D35" s="15">
        <v>3</v>
      </c>
      <c r="E35" s="15">
        <v>5</v>
      </c>
      <c r="F35" s="15">
        <v>14</v>
      </c>
      <c r="G35" s="15">
        <v>26</v>
      </c>
      <c r="H35" s="15">
        <v>53</v>
      </c>
      <c r="I35" s="15">
        <v>49</v>
      </c>
      <c r="J35" s="15">
        <v>69</v>
      </c>
      <c r="K35" s="15">
        <v>70</v>
      </c>
      <c r="L35" s="15">
        <v>109</v>
      </c>
      <c r="M35" s="15">
        <v>91</v>
      </c>
      <c r="N35" s="15">
        <v>125</v>
      </c>
      <c r="O35" s="15">
        <v>101</v>
      </c>
      <c r="P35" s="15">
        <v>131</v>
      </c>
      <c r="Q35" s="15">
        <v>111</v>
      </c>
      <c r="R35" s="15">
        <v>110</v>
      </c>
      <c r="S35" s="15">
        <v>69</v>
      </c>
      <c r="T35" s="15">
        <v>59</v>
      </c>
      <c r="U35" s="15">
        <v>30</v>
      </c>
      <c r="V35" s="15">
        <v>18</v>
      </c>
      <c r="W35" s="15">
        <v>11</v>
      </c>
      <c r="X35" s="15">
        <v>4</v>
      </c>
      <c r="Y35" s="15">
        <v>2</v>
      </c>
      <c r="Z35" s="15">
        <v>1</v>
      </c>
      <c r="AA35" s="15">
        <v>1</v>
      </c>
      <c r="AB35" s="15">
        <v>1</v>
      </c>
      <c r="AC35" s="15">
        <v>2</v>
      </c>
      <c r="AD35" s="15">
        <v>8</v>
      </c>
      <c r="AE35" s="15">
        <v>13</v>
      </c>
      <c r="AF35" s="15">
        <v>24</v>
      </c>
      <c r="AG35" s="15">
        <v>19</v>
      </c>
      <c r="AH35" s="15">
        <v>27</v>
      </c>
      <c r="AI35" s="15">
        <v>29</v>
      </c>
      <c r="AJ35" s="15">
        <v>45</v>
      </c>
      <c r="AK35" s="15">
        <v>29</v>
      </c>
      <c r="AL35" s="15">
        <v>38</v>
      </c>
      <c r="AM35" s="15">
        <v>30</v>
      </c>
      <c r="AN35" s="15">
        <v>49</v>
      </c>
      <c r="AO35" s="15">
        <v>35</v>
      </c>
      <c r="AP35" s="15">
        <v>43</v>
      </c>
      <c r="AQ35" s="15">
        <v>27</v>
      </c>
      <c r="AR35" s="15">
        <v>14</v>
      </c>
      <c r="AS35" s="15">
        <v>10</v>
      </c>
      <c r="AT35" s="15">
        <v>5</v>
      </c>
      <c r="AU35" s="15">
        <v>5</v>
      </c>
      <c r="AV35" s="15">
        <v>2</v>
      </c>
      <c r="AW35" s="15">
        <v>0</v>
      </c>
      <c r="AX35" s="172">
        <v>0.25</v>
      </c>
      <c r="AY35" s="172">
        <v>0.25</v>
      </c>
      <c r="AZ35" s="172">
        <v>0.33333333333333331</v>
      </c>
      <c r="BA35" s="172">
        <v>0.4</v>
      </c>
      <c r="BB35" s="172">
        <v>0.5714285714285714</v>
      </c>
      <c r="BC35" s="172">
        <v>0.5</v>
      </c>
      <c r="BD35" s="172">
        <v>0.45283018867924529</v>
      </c>
      <c r="BE35" s="172">
        <v>0.38775510204081631</v>
      </c>
      <c r="BF35" s="172">
        <v>0.39130434782608697</v>
      </c>
      <c r="BG35" s="172">
        <v>0.41428571428571431</v>
      </c>
      <c r="BH35" s="172">
        <v>0.41284403669724773</v>
      </c>
      <c r="BI35" s="172">
        <v>0.31868131868131866</v>
      </c>
      <c r="BJ35" s="172">
        <v>0.30399999999999999</v>
      </c>
      <c r="BK35" s="172">
        <v>0.29702970297029702</v>
      </c>
      <c r="BL35" s="172">
        <v>0.37404580152671757</v>
      </c>
      <c r="BM35" s="172">
        <v>0.31531531531531531</v>
      </c>
      <c r="BN35" s="172">
        <v>0.39090909090909093</v>
      </c>
      <c r="BO35" s="172">
        <v>0.39130434782608697</v>
      </c>
      <c r="BP35" s="172">
        <v>0.23728813559322035</v>
      </c>
      <c r="BQ35" s="172">
        <v>0.33333333333333331</v>
      </c>
      <c r="BR35" s="172">
        <v>0.27777777777777779</v>
      </c>
      <c r="BS35" s="172">
        <v>0.45454545454545453</v>
      </c>
      <c r="BT35" s="172">
        <v>0.5</v>
      </c>
      <c r="BU35" s="172">
        <v>0</v>
      </c>
      <c r="BV35" s="15">
        <v>1268</v>
      </c>
      <c r="BW35" s="15">
        <v>457</v>
      </c>
      <c r="BX35" s="172">
        <v>0.36041009463722395</v>
      </c>
      <c r="CA35" s="34" t="s">
        <v>335</v>
      </c>
      <c r="DE35" s="34" t="s">
        <v>335</v>
      </c>
    </row>
    <row r="36" spans="1:109" ht="15.75" customHeight="1" x14ac:dyDescent="0.35">
      <c r="A36" s="34" t="s">
        <v>336</v>
      </c>
      <c r="C36" s="15">
        <v>1</v>
      </c>
      <c r="D36" s="15">
        <v>6</v>
      </c>
      <c r="E36" s="15">
        <v>8</v>
      </c>
      <c r="F36" s="15">
        <v>19</v>
      </c>
      <c r="G36" s="15">
        <v>34</v>
      </c>
      <c r="H36" s="15">
        <v>52</v>
      </c>
      <c r="I36" s="15">
        <v>50</v>
      </c>
      <c r="J36" s="15">
        <v>65</v>
      </c>
      <c r="K36" s="15">
        <v>76</v>
      </c>
      <c r="L36" s="15">
        <v>118</v>
      </c>
      <c r="M36" s="15">
        <v>116</v>
      </c>
      <c r="N36" s="15">
        <v>124</v>
      </c>
      <c r="O36" s="15">
        <v>124</v>
      </c>
      <c r="P36" s="15">
        <v>107</v>
      </c>
      <c r="Q36" s="15">
        <v>122</v>
      </c>
      <c r="R36" s="15">
        <v>105</v>
      </c>
      <c r="S36" s="15">
        <v>82</v>
      </c>
      <c r="T36" s="15">
        <v>53</v>
      </c>
      <c r="U36" s="15">
        <v>31</v>
      </c>
      <c r="V36" s="15">
        <v>28</v>
      </c>
      <c r="W36" s="15">
        <v>7</v>
      </c>
      <c r="X36" s="15">
        <v>5</v>
      </c>
      <c r="Y36" s="15">
        <v>1</v>
      </c>
      <c r="AA36" s="15">
        <v>1</v>
      </c>
      <c r="AB36" s="15">
        <v>5</v>
      </c>
      <c r="AC36" s="15">
        <v>4</v>
      </c>
      <c r="AD36" s="15">
        <v>15</v>
      </c>
      <c r="AE36" s="15">
        <v>20</v>
      </c>
      <c r="AF36" s="15">
        <v>37</v>
      </c>
      <c r="AG36" s="15">
        <v>33</v>
      </c>
      <c r="AH36" s="15">
        <v>42</v>
      </c>
      <c r="AI36" s="15">
        <v>49</v>
      </c>
      <c r="AJ36" s="15">
        <v>69</v>
      </c>
      <c r="AK36" s="15">
        <v>69</v>
      </c>
      <c r="AL36" s="15">
        <v>67</v>
      </c>
      <c r="AM36" s="15">
        <v>63</v>
      </c>
      <c r="AN36" s="15">
        <v>65</v>
      </c>
      <c r="AO36" s="15">
        <v>61</v>
      </c>
      <c r="AP36" s="15">
        <v>56</v>
      </c>
      <c r="AQ36" s="15">
        <v>45</v>
      </c>
      <c r="AR36" s="15">
        <v>23</v>
      </c>
      <c r="AS36" s="15">
        <v>13</v>
      </c>
      <c r="AT36" s="15">
        <v>16</v>
      </c>
      <c r="AU36" s="15">
        <v>4</v>
      </c>
      <c r="AV36" s="15">
        <v>4</v>
      </c>
      <c r="AW36" s="15">
        <v>0</v>
      </c>
      <c r="AX36" s="172" t="e">
        <v>#DIV/0!</v>
      </c>
      <c r="AY36" s="172">
        <v>1</v>
      </c>
      <c r="AZ36" s="172">
        <v>0.83333333333333337</v>
      </c>
      <c r="BA36" s="172">
        <v>0.5</v>
      </c>
      <c r="BB36" s="172">
        <v>0.78947368421052633</v>
      </c>
      <c r="BC36" s="172">
        <v>0.58823529411764708</v>
      </c>
      <c r="BD36" s="172">
        <v>0.71153846153846156</v>
      </c>
      <c r="BE36" s="172">
        <v>0.66</v>
      </c>
      <c r="BF36" s="172">
        <v>0.64615384615384619</v>
      </c>
      <c r="BG36" s="172">
        <v>0.64473684210526316</v>
      </c>
      <c r="BH36" s="172">
        <v>0.5847457627118644</v>
      </c>
      <c r="BI36" s="172">
        <v>0.59482758620689657</v>
      </c>
      <c r="BJ36" s="172">
        <v>0.54032258064516125</v>
      </c>
      <c r="BK36" s="172">
        <v>0.50806451612903225</v>
      </c>
      <c r="BL36" s="172">
        <v>0.60747663551401865</v>
      </c>
      <c r="BM36" s="172">
        <v>0.5</v>
      </c>
      <c r="BN36" s="172">
        <v>0.53333333333333333</v>
      </c>
      <c r="BO36" s="172">
        <v>0.54878048780487809</v>
      </c>
      <c r="BP36" s="172">
        <v>0.43396226415094341</v>
      </c>
      <c r="BQ36" s="172">
        <v>0.41935483870967744</v>
      </c>
      <c r="BR36" s="172">
        <v>0.5714285714285714</v>
      </c>
      <c r="BS36" s="172">
        <v>0.5714285714285714</v>
      </c>
      <c r="BT36" s="172">
        <v>0.8</v>
      </c>
      <c r="BU36" s="172">
        <v>0</v>
      </c>
      <c r="BV36" s="15">
        <v>1334</v>
      </c>
      <c r="BW36" s="15">
        <v>761</v>
      </c>
      <c r="BX36" s="172">
        <v>0.57046476761619191</v>
      </c>
      <c r="CA36" s="34" t="s">
        <v>336</v>
      </c>
      <c r="DE36" s="34" t="s">
        <v>336</v>
      </c>
    </row>
    <row r="37" spans="1:109" ht="15.75" customHeight="1" x14ac:dyDescent="0.35">
      <c r="A37" s="34" t="s">
        <v>337</v>
      </c>
      <c r="C37" s="15">
        <v>1</v>
      </c>
      <c r="D37" s="15">
        <v>5</v>
      </c>
      <c r="E37" s="15">
        <v>2</v>
      </c>
      <c r="F37" s="15">
        <v>4</v>
      </c>
      <c r="G37" s="15">
        <v>6</v>
      </c>
      <c r="H37" s="15">
        <v>3</v>
      </c>
      <c r="I37" s="15">
        <v>9</v>
      </c>
      <c r="J37" s="15">
        <v>6</v>
      </c>
      <c r="K37" s="15">
        <v>16</v>
      </c>
      <c r="L37" s="15">
        <v>23</v>
      </c>
      <c r="M37" s="15">
        <v>20</v>
      </c>
      <c r="N37" s="15">
        <v>28</v>
      </c>
      <c r="O37" s="15">
        <v>26</v>
      </c>
      <c r="P37" s="15">
        <v>24</v>
      </c>
      <c r="Q37" s="15">
        <v>27</v>
      </c>
      <c r="R37" s="15">
        <v>16</v>
      </c>
      <c r="S37" s="15">
        <v>17</v>
      </c>
      <c r="T37" s="15">
        <v>15</v>
      </c>
      <c r="U37" s="15">
        <v>9</v>
      </c>
      <c r="V37" s="15">
        <v>8</v>
      </c>
      <c r="W37" s="15">
        <v>2</v>
      </c>
      <c r="X37" s="15">
        <v>1</v>
      </c>
      <c r="Y37" s="15">
        <v>1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72" t="e">
        <v>#DIV/0!</v>
      </c>
      <c r="AY37" s="172">
        <v>0</v>
      </c>
      <c r="AZ37" s="172">
        <v>0</v>
      </c>
      <c r="BA37" s="172">
        <v>0</v>
      </c>
      <c r="BB37" s="172">
        <v>0</v>
      </c>
      <c r="BC37" s="172">
        <v>0</v>
      </c>
      <c r="BD37" s="172">
        <v>0</v>
      </c>
      <c r="BE37" s="172">
        <v>0</v>
      </c>
      <c r="BF37" s="172">
        <v>0</v>
      </c>
      <c r="BG37" s="172">
        <v>0</v>
      </c>
      <c r="BH37" s="172">
        <v>0</v>
      </c>
      <c r="BI37" s="172">
        <v>0</v>
      </c>
      <c r="BJ37" s="172">
        <v>0</v>
      </c>
      <c r="BK37" s="172">
        <v>0</v>
      </c>
      <c r="BL37" s="172">
        <v>0</v>
      </c>
      <c r="BM37" s="172">
        <v>0</v>
      </c>
      <c r="BN37" s="172">
        <v>0</v>
      </c>
      <c r="BO37" s="172">
        <v>0</v>
      </c>
      <c r="BP37" s="172">
        <v>0</v>
      </c>
      <c r="BQ37" s="172">
        <v>0</v>
      </c>
      <c r="BR37" s="172">
        <v>0</v>
      </c>
      <c r="BS37" s="172">
        <v>0</v>
      </c>
      <c r="BT37" s="172">
        <v>0</v>
      </c>
      <c r="BU37" s="172">
        <v>0</v>
      </c>
      <c r="BV37" s="15">
        <v>269</v>
      </c>
      <c r="BW37" s="15">
        <v>0</v>
      </c>
      <c r="BX37" s="172">
        <v>0</v>
      </c>
      <c r="CA37" s="34" t="s">
        <v>337</v>
      </c>
      <c r="DE37" s="34" t="s">
        <v>337</v>
      </c>
    </row>
    <row r="38" spans="1:109" ht="15.75" customHeight="1" x14ac:dyDescent="0.35">
      <c r="A38" s="34" t="s">
        <v>338</v>
      </c>
      <c r="B38" s="15">
        <v>2</v>
      </c>
      <c r="C38" s="15">
        <v>3</v>
      </c>
      <c r="D38" s="15">
        <v>2</v>
      </c>
      <c r="E38" s="15">
        <v>3</v>
      </c>
      <c r="F38" s="15">
        <v>6</v>
      </c>
      <c r="G38" s="15">
        <v>15</v>
      </c>
      <c r="H38" s="15">
        <v>22</v>
      </c>
      <c r="I38" s="15">
        <v>27</v>
      </c>
      <c r="J38" s="15">
        <v>29</v>
      </c>
      <c r="K38" s="15">
        <v>30</v>
      </c>
      <c r="L38" s="15">
        <v>31</v>
      </c>
      <c r="M38" s="15">
        <v>37</v>
      </c>
      <c r="N38" s="15">
        <v>46</v>
      </c>
      <c r="O38" s="15">
        <v>38</v>
      </c>
      <c r="P38" s="15">
        <v>52</v>
      </c>
      <c r="Q38" s="15">
        <v>52</v>
      </c>
      <c r="R38" s="15">
        <v>55</v>
      </c>
      <c r="S38" s="15">
        <v>35</v>
      </c>
      <c r="T38" s="15">
        <v>31</v>
      </c>
      <c r="U38" s="15">
        <v>27</v>
      </c>
      <c r="V38" s="15">
        <v>10</v>
      </c>
      <c r="W38" s="15">
        <v>9</v>
      </c>
      <c r="X38" s="15">
        <v>2</v>
      </c>
      <c r="Z38" s="15">
        <v>1</v>
      </c>
      <c r="AA38" s="15">
        <v>1</v>
      </c>
      <c r="AB38" s="15">
        <v>2</v>
      </c>
      <c r="AC38" s="15">
        <v>0</v>
      </c>
      <c r="AD38" s="15">
        <v>3</v>
      </c>
      <c r="AE38" s="15">
        <v>8</v>
      </c>
      <c r="AF38" s="15">
        <v>10</v>
      </c>
      <c r="AG38" s="15">
        <v>17</v>
      </c>
      <c r="AH38" s="15">
        <v>10</v>
      </c>
      <c r="AI38" s="15">
        <v>12</v>
      </c>
      <c r="AJ38" s="15">
        <v>18</v>
      </c>
      <c r="AK38" s="15">
        <v>17</v>
      </c>
      <c r="AL38" s="15">
        <v>16</v>
      </c>
      <c r="AM38" s="15">
        <v>15</v>
      </c>
      <c r="AN38" s="15">
        <v>20</v>
      </c>
      <c r="AO38" s="15">
        <v>18</v>
      </c>
      <c r="AP38" s="15">
        <v>16</v>
      </c>
      <c r="AQ38" s="15">
        <v>14</v>
      </c>
      <c r="AR38" s="15">
        <v>9</v>
      </c>
      <c r="AS38" s="15">
        <v>12</v>
      </c>
      <c r="AT38" s="15">
        <v>0</v>
      </c>
      <c r="AU38" s="15">
        <v>2</v>
      </c>
      <c r="AV38" s="15">
        <v>0</v>
      </c>
      <c r="AX38" s="172">
        <v>0.5</v>
      </c>
      <c r="AY38" s="172">
        <v>0.33333333333333331</v>
      </c>
      <c r="AZ38" s="172">
        <v>1</v>
      </c>
      <c r="BA38" s="172">
        <v>0</v>
      </c>
      <c r="BB38" s="172">
        <v>0.5</v>
      </c>
      <c r="BC38" s="172">
        <v>0.53333333333333333</v>
      </c>
      <c r="BD38" s="172">
        <v>0.45454545454545453</v>
      </c>
      <c r="BE38" s="172">
        <v>0.62962962962962965</v>
      </c>
      <c r="BF38" s="172">
        <v>0.34482758620689657</v>
      </c>
      <c r="BG38" s="172">
        <v>0.4</v>
      </c>
      <c r="BH38" s="172">
        <v>0.58064516129032262</v>
      </c>
      <c r="BI38" s="172">
        <v>0.45945945945945948</v>
      </c>
      <c r="BJ38" s="172">
        <v>0.34782608695652173</v>
      </c>
      <c r="BK38" s="172">
        <v>0.39473684210526316</v>
      </c>
      <c r="BL38" s="172">
        <v>0.38461538461538464</v>
      </c>
      <c r="BM38" s="172">
        <v>0.34615384615384615</v>
      </c>
      <c r="BN38" s="172">
        <v>0.29090909090909089</v>
      </c>
      <c r="BO38" s="172">
        <v>0.4</v>
      </c>
      <c r="BP38" s="172">
        <v>0.29032258064516131</v>
      </c>
      <c r="BQ38" s="172">
        <v>0.44444444444444442</v>
      </c>
      <c r="BR38" s="172">
        <v>0</v>
      </c>
      <c r="BS38" s="172">
        <v>0.22222222222222221</v>
      </c>
      <c r="BT38" s="172">
        <v>0</v>
      </c>
      <c r="BU38" s="172" t="e">
        <v>#DIV/0!</v>
      </c>
      <c r="BV38" s="15">
        <v>564</v>
      </c>
      <c r="BW38" s="15">
        <v>221</v>
      </c>
      <c r="BX38" s="172">
        <v>0.39184397163120566</v>
      </c>
      <c r="CA38" s="34" t="s">
        <v>338</v>
      </c>
      <c r="DE38" s="34" t="s">
        <v>338</v>
      </c>
    </row>
    <row r="39" spans="1:109" ht="15.75" customHeight="1" x14ac:dyDescent="0.35">
      <c r="A39" s="34" t="s">
        <v>339</v>
      </c>
      <c r="F39" s="15">
        <v>1</v>
      </c>
      <c r="G39" s="15">
        <v>2</v>
      </c>
      <c r="I39" s="15">
        <v>1</v>
      </c>
      <c r="K39" s="15">
        <v>2</v>
      </c>
      <c r="L39" s="15">
        <v>1</v>
      </c>
      <c r="M39" s="15">
        <v>1</v>
      </c>
      <c r="O39" s="15">
        <v>1</v>
      </c>
      <c r="R39" s="15">
        <v>1</v>
      </c>
      <c r="T39" s="15">
        <v>2</v>
      </c>
      <c r="U39" s="15">
        <v>1</v>
      </c>
      <c r="AD39" s="15">
        <v>0</v>
      </c>
      <c r="AE39" s="15">
        <v>1</v>
      </c>
      <c r="AG39" s="15">
        <v>0</v>
      </c>
      <c r="AI39" s="15">
        <v>0</v>
      </c>
      <c r="AJ39" s="15">
        <v>1</v>
      </c>
      <c r="AK39" s="15">
        <v>1</v>
      </c>
      <c r="AM39" s="15">
        <v>0</v>
      </c>
      <c r="AP39" s="15">
        <v>1</v>
      </c>
      <c r="AR39" s="15">
        <v>0</v>
      </c>
      <c r="AS39" s="15">
        <v>0</v>
      </c>
      <c r="AX39" s="172" t="e">
        <v>#DIV/0!</v>
      </c>
      <c r="AY39" s="172" t="e">
        <v>#DIV/0!</v>
      </c>
      <c r="AZ39" s="172" t="e">
        <v>#DIV/0!</v>
      </c>
      <c r="BA39" s="172" t="e">
        <v>#DIV/0!</v>
      </c>
      <c r="BB39" s="172">
        <v>0</v>
      </c>
      <c r="BC39" s="172">
        <v>0.5</v>
      </c>
      <c r="BD39" s="172" t="e">
        <v>#DIV/0!</v>
      </c>
      <c r="BE39" s="172">
        <v>0</v>
      </c>
      <c r="BF39" s="172" t="e">
        <v>#DIV/0!</v>
      </c>
      <c r="BG39" s="172">
        <v>0</v>
      </c>
      <c r="BH39" s="172">
        <v>1</v>
      </c>
      <c r="BI39" s="172">
        <v>1</v>
      </c>
      <c r="BJ39" s="172" t="e">
        <v>#DIV/0!</v>
      </c>
      <c r="BK39" s="172">
        <v>0</v>
      </c>
      <c r="BL39" s="172" t="e">
        <v>#DIV/0!</v>
      </c>
      <c r="BM39" s="172" t="e">
        <v>#DIV/0!</v>
      </c>
      <c r="BN39" s="172">
        <v>1</v>
      </c>
      <c r="BO39" s="172" t="e">
        <v>#DIV/0!</v>
      </c>
      <c r="BP39" s="172">
        <v>0</v>
      </c>
      <c r="BQ39" s="172">
        <v>0</v>
      </c>
      <c r="BR39" s="172" t="e">
        <v>#DIV/0!</v>
      </c>
      <c r="BS39" s="172" t="e">
        <v>#DIV/0!</v>
      </c>
      <c r="BT39" s="172" t="e">
        <v>#DIV/0!</v>
      </c>
      <c r="BU39" s="172" t="e">
        <v>#DIV/0!</v>
      </c>
      <c r="BV39" s="15">
        <v>13</v>
      </c>
      <c r="BW39" s="15">
        <v>4</v>
      </c>
      <c r="BX39" s="172">
        <v>0.30769230769230771</v>
      </c>
      <c r="CA39" s="34" t="s">
        <v>339</v>
      </c>
      <c r="DE39" s="34" t="s">
        <v>339</v>
      </c>
    </row>
    <row r="40" spans="1:109" ht="15.75" customHeight="1" x14ac:dyDescent="0.35">
      <c r="A40" s="34" t="s">
        <v>340</v>
      </c>
      <c r="B40" s="15">
        <v>2</v>
      </c>
      <c r="C40" s="15">
        <v>1</v>
      </c>
      <c r="D40" s="15">
        <v>2</v>
      </c>
      <c r="E40" s="15">
        <v>8</v>
      </c>
      <c r="F40" s="15">
        <v>11</v>
      </c>
      <c r="G40" s="15">
        <v>20</v>
      </c>
      <c r="H40" s="15">
        <v>21</v>
      </c>
      <c r="I40" s="15">
        <v>23</v>
      </c>
      <c r="J40" s="15">
        <v>41</v>
      </c>
      <c r="K40" s="15">
        <v>41</v>
      </c>
      <c r="L40" s="15">
        <v>55</v>
      </c>
      <c r="M40" s="15">
        <v>57</v>
      </c>
      <c r="N40" s="15">
        <v>78</v>
      </c>
      <c r="O40" s="15">
        <v>78</v>
      </c>
      <c r="P40" s="15">
        <v>68</v>
      </c>
      <c r="Q40" s="15">
        <v>66</v>
      </c>
      <c r="R40" s="15">
        <v>58</v>
      </c>
      <c r="S40" s="15">
        <v>30</v>
      </c>
      <c r="T40" s="15">
        <v>31</v>
      </c>
      <c r="U40" s="15">
        <v>19</v>
      </c>
      <c r="V40" s="15">
        <v>12</v>
      </c>
      <c r="W40" s="15">
        <v>7</v>
      </c>
      <c r="X40" s="15">
        <v>2</v>
      </c>
      <c r="Y40" s="15">
        <v>2</v>
      </c>
      <c r="Z40" s="15">
        <v>2</v>
      </c>
      <c r="AA40" s="15">
        <v>0</v>
      </c>
      <c r="AB40" s="15">
        <v>1</v>
      </c>
      <c r="AC40" s="15">
        <v>5</v>
      </c>
      <c r="AD40" s="15">
        <v>4</v>
      </c>
      <c r="AE40" s="15">
        <v>12</v>
      </c>
      <c r="AF40" s="15">
        <v>11</v>
      </c>
      <c r="AG40" s="15">
        <v>13</v>
      </c>
      <c r="AH40" s="15">
        <v>24</v>
      </c>
      <c r="AI40" s="15">
        <v>25</v>
      </c>
      <c r="AJ40" s="15">
        <v>25</v>
      </c>
      <c r="AK40" s="15">
        <v>29</v>
      </c>
      <c r="AL40" s="15">
        <v>29</v>
      </c>
      <c r="AM40" s="15">
        <v>32</v>
      </c>
      <c r="AN40" s="15">
        <v>26</v>
      </c>
      <c r="AO40" s="15">
        <v>25</v>
      </c>
      <c r="AP40" s="15">
        <v>26</v>
      </c>
      <c r="AQ40" s="15">
        <v>10</v>
      </c>
      <c r="AR40" s="15">
        <v>6</v>
      </c>
      <c r="AS40" s="15">
        <v>3</v>
      </c>
      <c r="AT40" s="15">
        <v>3</v>
      </c>
      <c r="AU40" s="15">
        <v>2</v>
      </c>
      <c r="AV40" s="15">
        <v>0</v>
      </c>
      <c r="AW40" s="15">
        <v>0</v>
      </c>
      <c r="AX40" s="172">
        <v>1</v>
      </c>
      <c r="AY40" s="172">
        <v>0</v>
      </c>
      <c r="AZ40" s="172">
        <v>0.5</v>
      </c>
      <c r="BA40" s="172">
        <v>0.625</v>
      </c>
      <c r="BB40" s="172">
        <v>0.36363636363636365</v>
      </c>
      <c r="BC40" s="172">
        <v>0.6</v>
      </c>
      <c r="BD40" s="172">
        <v>0.52380952380952384</v>
      </c>
      <c r="BE40" s="172">
        <v>0.56521739130434778</v>
      </c>
      <c r="BF40" s="172">
        <v>0.58536585365853655</v>
      </c>
      <c r="BG40" s="172">
        <v>0.6097560975609756</v>
      </c>
      <c r="BH40" s="172">
        <v>0.45454545454545453</v>
      </c>
      <c r="BI40" s="172">
        <v>0.50877192982456143</v>
      </c>
      <c r="BJ40" s="172">
        <v>0.37179487179487181</v>
      </c>
      <c r="BK40" s="172">
        <v>0.41025641025641024</v>
      </c>
      <c r="BL40" s="172">
        <v>0.38235294117647056</v>
      </c>
      <c r="BM40" s="172">
        <v>0.37878787878787878</v>
      </c>
      <c r="BN40" s="172">
        <v>0.44827586206896552</v>
      </c>
      <c r="BO40" s="172">
        <v>0.33333333333333331</v>
      </c>
      <c r="BP40" s="172">
        <v>0.19354838709677419</v>
      </c>
      <c r="BQ40" s="172">
        <v>0.15789473684210525</v>
      </c>
      <c r="BR40" s="172">
        <v>0.25</v>
      </c>
      <c r="BS40" s="172">
        <v>0.2857142857142857</v>
      </c>
      <c r="BT40" s="172">
        <v>0</v>
      </c>
      <c r="BU40" s="172">
        <v>0</v>
      </c>
      <c r="BV40" s="15">
        <v>733</v>
      </c>
      <c r="BW40" s="15">
        <v>313</v>
      </c>
      <c r="BX40" s="172">
        <v>0.42701227830832195</v>
      </c>
      <c r="CA40" s="34" t="s">
        <v>340</v>
      </c>
      <c r="DE40" s="34" t="s">
        <v>340</v>
      </c>
    </row>
    <row r="41" spans="1:109" ht="15.75" customHeight="1" x14ac:dyDescent="0.35">
      <c r="A41" s="34" t="s">
        <v>341</v>
      </c>
      <c r="B41" s="15">
        <v>2</v>
      </c>
      <c r="C41" s="15">
        <v>2</v>
      </c>
      <c r="F41" s="15">
        <v>5</v>
      </c>
      <c r="G41" s="15">
        <v>11</v>
      </c>
      <c r="H41" s="15">
        <v>15</v>
      </c>
      <c r="I41" s="15">
        <v>12</v>
      </c>
      <c r="J41" s="15">
        <v>16</v>
      </c>
      <c r="K41" s="15">
        <v>24</v>
      </c>
      <c r="L41" s="15">
        <v>15</v>
      </c>
      <c r="M41" s="15">
        <v>31</v>
      </c>
      <c r="N41" s="15">
        <v>32</v>
      </c>
      <c r="O41" s="15">
        <v>34</v>
      </c>
      <c r="P41" s="15">
        <v>37</v>
      </c>
      <c r="Q41" s="15">
        <v>31</v>
      </c>
      <c r="R41" s="15">
        <v>30</v>
      </c>
      <c r="S41" s="15">
        <v>27</v>
      </c>
      <c r="T41" s="15">
        <v>19</v>
      </c>
      <c r="U41" s="15">
        <v>8</v>
      </c>
      <c r="V41" s="15">
        <v>9</v>
      </c>
      <c r="W41" s="15">
        <v>4</v>
      </c>
      <c r="X41" s="15">
        <v>1</v>
      </c>
      <c r="Y41" s="15">
        <v>1</v>
      </c>
      <c r="Z41" s="15">
        <v>-1</v>
      </c>
      <c r="AA41" s="15">
        <v>0</v>
      </c>
      <c r="AD41" s="15">
        <v>-2</v>
      </c>
      <c r="AE41" s="15">
        <v>-4</v>
      </c>
      <c r="AF41" s="15">
        <v>-2</v>
      </c>
      <c r="AG41" s="15">
        <v>-4</v>
      </c>
      <c r="AH41" s="15">
        <v>-6</v>
      </c>
      <c r="AI41" s="15">
        <v>-8</v>
      </c>
      <c r="AJ41" s="15">
        <v>-6</v>
      </c>
      <c r="AK41" s="15">
        <v>-4</v>
      </c>
      <c r="AL41" s="15">
        <v>-9</v>
      </c>
      <c r="AM41" s="15">
        <v>-5</v>
      </c>
      <c r="AN41" s="15">
        <v>-6</v>
      </c>
      <c r="AO41" s="15">
        <v>-7</v>
      </c>
      <c r="AP41" s="15">
        <v>-5</v>
      </c>
      <c r="AQ41" s="15">
        <v>-2</v>
      </c>
      <c r="AR41" s="15">
        <v>-3</v>
      </c>
      <c r="AS41" s="15">
        <v>-1</v>
      </c>
      <c r="AT41" s="15">
        <v>-1</v>
      </c>
      <c r="AU41" s="15">
        <v>-2</v>
      </c>
      <c r="AV41" s="15">
        <v>0</v>
      </c>
      <c r="AW41" s="15">
        <v>0</v>
      </c>
      <c r="AX41" s="172">
        <v>-0.5</v>
      </c>
      <c r="AY41" s="172">
        <v>0</v>
      </c>
      <c r="AZ41" s="172" t="e">
        <v>#DIV/0!</v>
      </c>
      <c r="BA41" s="172" t="e">
        <v>#DIV/0!</v>
      </c>
      <c r="BB41" s="172">
        <v>-0.4</v>
      </c>
      <c r="BC41" s="172">
        <v>-0.36363636363636365</v>
      </c>
      <c r="BD41" s="172">
        <v>-0.13333333333333333</v>
      </c>
      <c r="BE41" s="172">
        <v>-0.33333333333333331</v>
      </c>
      <c r="BF41" s="172">
        <v>-0.375</v>
      </c>
      <c r="BG41" s="172">
        <v>-0.33333333333333331</v>
      </c>
      <c r="BH41" s="172">
        <v>-0.4</v>
      </c>
      <c r="BI41" s="172">
        <v>-0.12903225806451613</v>
      </c>
      <c r="BJ41" s="172">
        <v>-0.28125</v>
      </c>
      <c r="BK41" s="172">
        <v>-0.14705882352941177</v>
      </c>
      <c r="BL41" s="172">
        <v>-0.16216216216216217</v>
      </c>
      <c r="BM41" s="172">
        <v>-0.22580645161290322</v>
      </c>
      <c r="BN41" s="172">
        <v>-0.16666666666666666</v>
      </c>
      <c r="BO41" s="172">
        <v>-7.407407407407407E-2</v>
      </c>
      <c r="BP41" s="172">
        <v>-0.15789473684210525</v>
      </c>
      <c r="BQ41" s="172">
        <v>-0.125</v>
      </c>
      <c r="BR41" s="172">
        <v>-0.1111111111111111</v>
      </c>
      <c r="BS41" s="172">
        <v>-0.5</v>
      </c>
      <c r="BT41" s="172">
        <v>0</v>
      </c>
      <c r="BU41" s="172">
        <v>0</v>
      </c>
      <c r="BV41" s="15">
        <v>366</v>
      </c>
      <c r="BW41" s="15">
        <v>-78</v>
      </c>
      <c r="BX41" s="172">
        <v>-0.21311475409836064</v>
      </c>
      <c r="CA41" s="34" t="s">
        <v>341</v>
      </c>
      <c r="DE41" s="34" t="s">
        <v>341</v>
      </c>
    </row>
    <row r="42" spans="1:109" ht="15.75" customHeight="1" x14ac:dyDescent="0.35">
      <c r="A42" s="34" t="s">
        <v>342</v>
      </c>
      <c r="B42" s="15">
        <v>1</v>
      </c>
      <c r="D42" s="15">
        <v>1</v>
      </c>
      <c r="E42" s="15">
        <v>1</v>
      </c>
      <c r="F42" s="15">
        <v>5</v>
      </c>
      <c r="G42" s="15">
        <v>4</v>
      </c>
      <c r="H42" s="15">
        <v>8</v>
      </c>
      <c r="I42" s="15">
        <v>9</v>
      </c>
      <c r="J42" s="15">
        <v>9</v>
      </c>
      <c r="K42" s="15">
        <v>12</v>
      </c>
      <c r="L42" s="15">
        <v>21</v>
      </c>
      <c r="M42" s="15">
        <v>21</v>
      </c>
      <c r="N42" s="15">
        <v>27</v>
      </c>
      <c r="O42" s="15">
        <v>25</v>
      </c>
      <c r="P42" s="15">
        <v>18</v>
      </c>
      <c r="Q42" s="15">
        <v>26</v>
      </c>
      <c r="R42" s="15">
        <v>25</v>
      </c>
      <c r="S42" s="15">
        <v>12</v>
      </c>
      <c r="T42" s="15">
        <v>11</v>
      </c>
      <c r="U42" s="15">
        <v>7</v>
      </c>
      <c r="V42" s="15">
        <v>2</v>
      </c>
      <c r="X42" s="15">
        <v>1</v>
      </c>
      <c r="Y42" s="15">
        <v>1</v>
      </c>
      <c r="Z42" s="15">
        <v>0</v>
      </c>
      <c r="AB42" s="15">
        <v>-1</v>
      </c>
      <c r="AC42" s="15">
        <v>0</v>
      </c>
      <c r="AD42" s="15">
        <v>0</v>
      </c>
      <c r="AE42" s="15">
        <v>0</v>
      </c>
      <c r="AF42" s="15">
        <v>-2</v>
      </c>
      <c r="AG42" s="15">
        <v>-2</v>
      </c>
      <c r="AH42" s="15">
        <v>-3</v>
      </c>
      <c r="AI42" s="15">
        <v>-3</v>
      </c>
      <c r="AJ42" s="15">
        <v>-8</v>
      </c>
      <c r="AK42" s="15">
        <v>-3</v>
      </c>
      <c r="AL42" s="15">
        <v>-3</v>
      </c>
      <c r="AM42" s="15">
        <v>-5</v>
      </c>
      <c r="AN42" s="15">
        <v>-2</v>
      </c>
      <c r="AO42" s="15">
        <v>-6</v>
      </c>
      <c r="AP42" s="15">
        <v>-8</v>
      </c>
      <c r="AQ42" s="15">
        <v>-4</v>
      </c>
      <c r="AR42" s="15">
        <v>-1</v>
      </c>
      <c r="AS42" s="15">
        <v>-2</v>
      </c>
      <c r="AT42" s="15">
        <v>0</v>
      </c>
      <c r="AV42" s="15">
        <v>0</v>
      </c>
      <c r="AW42" s="15">
        <v>0</v>
      </c>
      <c r="AX42" s="172">
        <v>0</v>
      </c>
      <c r="AY42" s="172" t="e">
        <v>#DIV/0!</v>
      </c>
      <c r="AZ42" s="172">
        <v>-1</v>
      </c>
      <c r="BA42" s="172">
        <v>0</v>
      </c>
      <c r="BB42" s="172">
        <v>0</v>
      </c>
      <c r="BC42" s="172">
        <v>0</v>
      </c>
      <c r="BD42" s="172">
        <v>-0.25</v>
      </c>
      <c r="BE42" s="172">
        <v>-0.22222222222222221</v>
      </c>
      <c r="BF42" s="172">
        <v>-0.33333333333333331</v>
      </c>
      <c r="BG42" s="172">
        <v>-0.25</v>
      </c>
      <c r="BH42" s="172">
        <v>-0.38095238095238093</v>
      </c>
      <c r="BI42" s="172">
        <v>-0.14285714285714285</v>
      </c>
      <c r="BJ42" s="172">
        <v>-0.1111111111111111</v>
      </c>
      <c r="BK42" s="172">
        <v>-0.2</v>
      </c>
      <c r="BL42" s="172">
        <v>-0.1111111111111111</v>
      </c>
      <c r="BM42" s="172">
        <v>-0.23076923076923078</v>
      </c>
      <c r="BN42" s="172">
        <v>-0.32</v>
      </c>
      <c r="BO42" s="172">
        <v>-0.33333333333333331</v>
      </c>
      <c r="BP42" s="172">
        <v>-9.0909090909090912E-2</v>
      </c>
      <c r="BQ42" s="172">
        <v>-0.2857142857142857</v>
      </c>
      <c r="BR42" s="172">
        <v>0</v>
      </c>
      <c r="BS42" s="172" t="e">
        <v>#DIV/0!</v>
      </c>
      <c r="BT42" s="172">
        <v>0</v>
      </c>
      <c r="BU42" s="172">
        <v>0</v>
      </c>
      <c r="BV42" s="15">
        <v>247</v>
      </c>
      <c r="BW42" s="15">
        <v>-53</v>
      </c>
      <c r="BX42" s="172">
        <v>-0.2145748987854251</v>
      </c>
      <c r="CA42" s="34" t="s">
        <v>342</v>
      </c>
      <c r="DE42" s="34" t="s">
        <v>342</v>
      </c>
    </row>
    <row r="43" spans="1:109" ht="15.75" customHeight="1" x14ac:dyDescent="0.35">
      <c r="A43" s="34" t="s">
        <v>343</v>
      </c>
      <c r="D43" s="15">
        <v>2</v>
      </c>
      <c r="E43" s="15">
        <v>5</v>
      </c>
      <c r="F43" s="15">
        <v>6</v>
      </c>
      <c r="G43" s="15">
        <v>13</v>
      </c>
      <c r="H43" s="15">
        <v>18</v>
      </c>
      <c r="I43" s="15">
        <v>21</v>
      </c>
      <c r="J43" s="15">
        <v>15</v>
      </c>
      <c r="K43" s="15">
        <v>26</v>
      </c>
      <c r="L43" s="15">
        <v>25</v>
      </c>
      <c r="M43" s="15">
        <v>41</v>
      </c>
      <c r="N43" s="15">
        <v>42</v>
      </c>
      <c r="O43" s="15">
        <v>36</v>
      </c>
      <c r="P43" s="15">
        <v>37</v>
      </c>
      <c r="Q43" s="15">
        <v>40</v>
      </c>
      <c r="R43" s="15">
        <v>40</v>
      </c>
      <c r="S43" s="15">
        <v>23</v>
      </c>
      <c r="T43" s="15">
        <v>23</v>
      </c>
      <c r="U43" s="15">
        <v>15</v>
      </c>
      <c r="V43" s="15">
        <v>3</v>
      </c>
      <c r="W43" s="15">
        <v>3</v>
      </c>
      <c r="AB43" s="15">
        <v>2</v>
      </c>
      <c r="AC43" s="15">
        <v>5</v>
      </c>
      <c r="AD43" s="15">
        <v>6</v>
      </c>
      <c r="AE43" s="15">
        <v>11</v>
      </c>
      <c r="AF43" s="15">
        <v>17</v>
      </c>
      <c r="AG43" s="15">
        <v>18</v>
      </c>
      <c r="AH43" s="15">
        <v>11</v>
      </c>
      <c r="AI43" s="15">
        <v>20</v>
      </c>
      <c r="AJ43" s="15">
        <v>23</v>
      </c>
      <c r="AK43" s="15">
        <v>30</v>
      </c>
      <c r="AL43" s="15">
        <v>29</v>
      </c>
      <c r="AM43" s="15">
        <v>27</v>
      </c>
      <c r="AN43" s="15">
        <v>29</v>
      </c>
      <c r="AO43" s="15">
        <v>22</v>
      </c>
      <c r="AP43" s="15">
        <v>26</v>
      </c>
      <c r="AQ43" s="15">
        <v>15</v>
      </c>
      <c r="AR43" s="15">
        <v>14</v>
      </c>
      <c r="AS43" s="15">
        <v>8</v>
      </c>
      <c r="AT43" s="15">
        <v>3</v>
      </c>
      <c r="AU43" s="15">
        <v>3</v>
      </c>
      <c r="AX43" s="172" t="e">
        <v>#DIV/0!</v>
      </c>
      <c r="AY43" s="172" t="e">
        <v>#DIV/0!</v>
      </c>
      <c r="AZ43" s="172">
        <v>1</v>
      </c>
      <c r="BA43" s="172">
        <v>1</v>
      </c>
      <c r="BB43" s="172">
        <v>1</v>
      </c>
      <c r="BC43" s="172">
        <v>0.84615384615384615</v>
      </c>
      <c r="BD43" s="172">
        <v>0.94444444444444442</v>
      </c>
      <c r="BE43" s="172">
        <v>0.8571428571428571</v>
      </c>
      <c r="BF43" s="172">
        <v>0.73333333333333328</v>
      </c>
      <c r="BG43" s="172">
        <v>0.76923076923076927</v>
      </c>
      <c r="BH43" s="172">
        <v>0.92</v>
      </c>
      <c r="BI43" s="172">
        <v>0.73170731707317072</v>
      </c>
      <c r="BJ43" s="172">
        <v>0.69047619047619047</v>
      </c>
      <c r="BK43" s="172">
        <v>0.75</v>
      </c>
      <c r="BL43" s="172">
        <v>0.78378378378378377</v>
      </c>
      <c r="BM43" s="172">
        <v>0.55000000000000004</v>
      </c>
      <c r="BN43" s="172">
        <v>0.65</v>
      </c>
      <c r="BO43" s="172">
        <v>0.65217391304347827</v>
      </c>
      <c r="BP43" s="172">
        <v>0.60869565217391308</v>
      </c>
      <c r="BQ43" s="172">
        <v>0.53333333333333333</v>
      </c>
      <c r="BR43" s="172">
        <v>1</v>
      </c>
      <c r="BS43" s="172">
        <v>1</v>
      </c>
      <c r="BT43" s="172" t="e">
        <v>#DIV/0!</v>
      </c>
      <c r="BU43" s="172" t="e">
        <v>#DIV/0!</v>
      </c>
      <c r="BV43" s="15">
        <v>434</v>
      </c>
      <c r="BW43" s="15">
        <v>319</v>
      </c>
      <c r="BX43" s="172">
        <v>0.73502304147465436</v>
      </c>
      <c r="CA43" s="34" t="s">
        <v>343</v>
      </c>
      <c r="DE43" s="34" t="s">
        <v>343</v>
      </c>
    </row>
    <row r="44" spans="1:109" ht="15.75" customHeight="1" x14ac:dyDescent="0.35">
      <c r="A44" s="34" t="s">
        <v>344</v>
      </c>
      <c r="C44" s="15">
        <v>3</v>
      </c>
      <c r="D44" s="15">
        <v>4</v>
      </c>
      <c r="E44" s="15">
        <v>3</v>
      </c>
      <c r="F44" s="15">
        <v>5</v>
      </c>
      <c r="G44" s="15">
        <v>12</v>
      </c>
      <c r="H44" s="15">
        <v>25</v>
      </c>
      <c r="I44" s="15">
        <v>20</v>
      </c>
      <c r="J44" s="15">
        <v>32</v>
      </c>
      <c r="K44" s="15">
        <v>41</v>
      </c>
      <c r="L44" s="15">
        <v>51</v>
      </c>
      <c r="M44" s="15">
        <v>37</v>
      </c>
      <c r="N44" s="15">
        <v>50</v>
      </c>
      <c r="O44" s="15">
        <v>59</v>
      </c>
      <c r="P44" s="15">
        <v>49</v>
      </c>
      <c r="Q44" s="15">
        <v>40</v>
      </c>
      <c r="R44" s="15">
        <v>41</v>
      </c>
      <c r="S44" s="15">
        <v>25</v>
      </c>
      <c r="T44" s="15">
        <v>27</v>
      </c>
      <c r="U44" s="15">
        <v>11</v>
      </c>
      <c r="V44" s="15">
        <v>9</v>
      </c>
      <c r="W44" s="15">
        <v>3</v>
      </c>
      <c r="X44" s="15">
        <v>1</v>
      </c>
      <c r="AA44" s="15">
        <v>2</v>
      </c>
      <c r="AB44" s="15">
        <v>2</v>
      </c>
      <c r="AC44" s="15">
        <v>1</v>
      </c>
      <c r="AD44" s="15">
        <v>3</v>
      </c>
      <c r="AE44" s="15">
        <v>4</v>
      </c>
      <c r="AF44" s="15">
        <v>9</v>
      </c>
      <c r="AG44" s="15">
        <v>7</v>
      </c>
      <c r="AH44" s="15">
        <v>14</v>
      </c>
      <c r="AI44" s="15">
        <v>17</v>
      </c>
      <c r="AJ44" s="15">
        <v>21</v>
      </c>
      <c r="AK44" s="15">
        <v>17</v>
      </c>
      <c r="AL44" s="15">
        <v>19</v>
      </c>
      <c r="AM44" s="15">
        <v>20</v>
      </c>
      <c r="AN44" s="15">
        <v>21</v>
      </c>
      <c r="AO44" s="15">
        <v>15</v>
      </c>
      <c r="AP44" s="15">
        <v>16</v>
      </c>
      <c r="AQ44" s="15">
        <v>8</v>
      </c>
      <c r="AR44" s="15">
        <v>14</v>
      </c>
      <c r="AS44" s="15">
        <v>6</v>
      </c>
      <c r="AT44" s="15">
        <v>4</v>
      </c>
      <c r="AU44" s="15">
        <v>3</v>
      </c>
      <c r="AV44" s="15">
        <v>1</v>
      </c>
      <c r="AX44" s="172" t="e">
        <v>#DIV/0!</v>
      </c>
      <c r="AY44" s="172">
        <v>0.66666666666666663</v>
      </c>
      <c r="AZ44" s="172">
        <v>0.5</v>
      </c>
      <c r="BA44" s="172">
        <v>0.33333333333333331</v>
      </c>
      <c r="BB44" s="172">
        <v>0.6</v>
      </c>
      <c r="BC44" s="172">
        <v>0.33333333333333331</v>
      </c>
      <c r="BD44" s="172">
        <v>0.36</v>
      </c>
      <c r="BE44" s="172">
        <v>0.35</v>
      </c>
      <c r="BF44" s="172">
        <v>0.4375</v>
      </c>
      <c r="BG44" s="172">
        <v>0.41463414634146339</v>
      </c>
      <c r="BH44" s="172">
        <v>0.41176470588235292</v>
      </c>
      <c r="BI44" s="172">
        <v>0.45945945945945948</v>
      </c>
      <c r="BJ44" s="172">
        <v>0.38</v>
      </c>
      <c r="BK44" s="172">
        <v>0.33898305084745761</v>
      </c>
      <c r="BL44" s="172">
        <v>0.42857142857142855</v>
      </c>
      <c r="BM44" s="172">
        <v>0.375</v>
      </c>
      <c r="BN44" s="172">
        <v>0.3902439024390244</v>
      </c>
      <c r="BO44" s="172">
        <v>0.32</v>
      </c>
      <c r="BP44" s="172">
        <v>0.51851851851851849</v>
      </c>
      <c r="BQ44" s="172">
        <v>0.54545454545454541</v>
      </c>
      <c r="BR44" s="172">
        <v>0.44444444444444442</v>
      </c>
      <c r="BS44" s="172">
        <v>1</v>
      </c>
      <c r="BT44" s="172">
        <v>1</v>
      </c>
      <c r="BU44" s="172" t="e">
        <v>#DIV/0!</v>
      </c>
      <c r="BV44" s="15">
        <v>548</v>
      </c>
      <c r="BW44" s="15">
        <v>224</v>
      </c>
      <c r="BX44" s="172">
        <v>0.40875912408759124</v>
      </c>
      <c r="CA44" s="34" t="s">
        <v>344</v>
      </c>
      <c r="DE44" s="34" t="s">
        <v>344</v>
      </c>
    </row>
    <row r="45" spans="1:109" ht="15.75" customHeight="1" x14ac:dyDescent="0.35">
      <c r="A45" s="34" t="s">
        <v>345</v>
      </c>
      <c r="B45" s="15">
        <v>4</v>
      </c>
      <c r="C45" s="15">
        <v>6</v>
      </c>
      <c r="D45" s="15">
        <v>10</v>
      </c>
      <c r="E45" s="15">
        <v>18</v>
      </c>
      <c r="F45" s="15">
        <v>33</v>
      </c>
      <c r="G45" s="15">
        <v>61</v>
      </c>
      <c r="H45" s="15">
        <v>93</v>
      </c>
      <c r="I45" s="15">
        <v>119</v>
      </c>
      <c r="J45" s="15">
        <v>126</v>
      </c>
      <c r="K45" s="15">
        <v>191</v>
      </c>
      <c r="L45" s="15">
        <v>208</v>
      </c>
      <c r="M45" s="15">
        <v>225</v>
      </c>
      <c r="N45" s="15">
        <v>250</v>
      </c>
      <c r="O45" s="15">
        <v>266</v>
      </c>
      <c r="P45" s="15">
        <v>280</v>
      </c>
      <c r="Q45" s="15">
        <v>283</v>
      </c>
      <c r="R45" s="15">
        <v>238</v>
      </c>
      <c r="S45" s="15">
        <v>160</v>
      </c>
      <c r="T45" s="15">
        <v>111</v>
      </c>
      <c r="U45" s="15">
        <v>72</v>
      </c>
      <c r="V45" s="15">
        <v>48</v>
      </c>
      <c r="W45" s="15">
        <v>31</v>
      </c>
      <c r="X45" s="15">
        <v>16</v>
      </c>
      <c r="Y45" s="15">
        <v>10</v>
      </c>
      <c r="Z45" s="15">
        <v>2</v>
      </c>
      <c r="AA45" s="15">
        <v>1</v>
      </c>
      <c r="AB45" s="15">
        <v>3</v>
      </c>
      <c r="AC45" s="15">
        <v>9</v>
      </c>
      <c r="AD45" s="15">
        <v>13</v>
      </c>
      <c r="AE45" s="15">
        <v>29</v>
      </c>
      <c r="AF45" s="15">
        <v>31</v>
      </c>
      <c r="AG45" s="15">
        <v>35</v>
      </c>
      <c r="AH45" s="15">
        <v>44</v>
      </c>
      <c r="AI45" s="15">
        <v>51</v>
      </c>
      <c r="AJ45" s="15">
        <v>62</v>
      </c>
      <c r="AK45" s="15">
        <v>68</v>
      </c>
      <c r="AL45" s="15">
        <v>62</v>
      </c>
      <c r="AM45" s="15">
        <v>71</v>
      </c>
      <c r="AN45" s="15">
        <v>76</v>
      </c>
      <c r="AO45" s="15">
        <v>68</v>
      </c>
      <c r="AP45" s="15">
        <v>61</v>
      </c>
      <c r="AQ45" s="15">
        <v>42</v>
      </c>
      <c r="AR45" s="15">
        <v>29</v>
      </c>
      <c r="AS45" s="15">
        <v>12</v>
      </c>
      <c r="AT45" s="15">
        <v>8</v>
      </c>
      <c r="AU45" s="15">
        <v>3</v>
      </c>
      <c r="AV45" s="15">
        <v>0</v>
      </c>
      <c r="AW45" s="15">
        <v>5</v>
      </c>
      <c r="AX45" s="172">
        <v>0.5</v>
      </c>
      <c r="AY45" s="172">
        <v>0.16666666666666666</v>
      </c>
      <c r="AZ45" s="172">
        <v>0.3</v>
      </c>
      <c r="BA45" s="172">
        <v>0.5</v>
      </c>
      <c r="BB45" s="172">
        <v>0.39393939393939392</v>
      </c>
      <c r="BC45" s="172">
        <v>0.47540983606557374</v>
      </c>
      <c r="BD45" s="172">
        <v>0.33333333333333331</v>
      </c>
      <c r="BE45" s="172">
        <v>0.29411764705882354</v>
      </c>
      <c r="BF45" s="172">
        <v>0.34920634920634919</v>
      </c>
      <c r="BG45" s="172">
        <v>0.26701570680628273</v>
      </c>
      <c r="BH45" s="172">
        <v>0.29807692307692307</v>
      </c>
      <c r="BI45" s="172">
        <v>0.30222222222222223</v>
      </c>
      <c r="BJ45" s="172">
        <v>0.248</v>
      </c>
      <c r="BK45" s="172">
        <v>0.26691729323308272</v>
      </c>
      <c r="BL45" s="172">
        <v>0.27142857142857141</v>
      </c>
      <c r="BM45" s="172">
        <v>0.24028268551236748</v>
      </c>
      <c r="BN45" s="172">
        <v>0.25630252100840334</v>
      </c>
      <c r="BO45" s="172">
        <v>0.26250000000000001</v>
      </c>
      <c r="BP45" s="172">
        <v>0.26126126126126126</v>
      </c>
      <c r="BQ45" s="172">
        <v>0.16666666666666666</v>
      </c>
      <c r="BR45" s="172">
        <v>0.16666666666666666</v>
      </c>
      <c r="BS45" s="172">
        <v>9.6774193548387094E-2</v>
      </c>
      <c r="BT45" s="172">
        <v>0</v>
      </c>
      <c r="BU45" s="172">
        <v>0.5</v>
      </c>
      <c r="BV45" s="15">
        <v>2859</v>
      </c>
      <c r="BW45" s="15">
        <v>785</v>
      </c>
      <c r="BX45" s="172">
        <v>0.27457152850647082</v>
      </c>
      <c r="CA45" s="34" t="s">
        <v>345</v>
      </c>
      <c r="DE45" s="34" t="s">
        <v>345</v>
      </c>
    </row>
    <row r="46" spans="1:109" ht="15.75" customHeight="1" x14ac:dyDescent="0.35">
      <c r="A46" s="34" t="s">
        <v>346</v>
      </c>
      <c r="B46" s="15">
        <v>1</v>
      </c>
      <c r="C46" s="15">
        <v>2</v>
      </c>
      <c r="D46" s="15">
        <v>1</v>
      </c>
      <c r="E46" s="15">
        <v>7</v>
      </c>
      <c r="F46" s="15">
        <v>5</v>
      </c>
      <c r="G46" s="15">
        <v>17</v>
      </c>
      <c r="H46" s="15">
        <v>27</v>
      </c>
      <c r="I46" s="15">
        <v>38</v>
      </c>
      <c r="J46" s="15">
        <v>33</v>
      </c>
      <c r="K46" s="15">
        <v>51</v>
      </c>
      <c r="L46" s="15">
        <v>38</v>
      </c>
      <c r="M46" s="15">
        <v>56</v>
      </c>
      <c r="N46" s="15">
        <v>73</v>
      </c>
      <c r="O46" s="15">
        <v>55</v>
      </c>
      <c r="P46" s="15">
        <v>52</v>
      </c>
      <c r="Q46" s="15">
        <v>46</v>
      </c>
      <c r="R46" s="15">
        <v>41</v>
      </c>
      <c r="S46" s="15">
        <v>33</v>
      </c>
      <c r="T46" s="15">
        <v>29</v>
      </c>
      <c r="U46" s="15">
        <v>16</v>
      </c>
      <c r="V46" s="15">
        <v>11</v>
      </c>
      <c r="W46" s="15">
        <v>5</v>
      </c>
      <c r="Z46" s="15">
        <v>1</v>
      </c>
      <c r="AA46" s="15">
        <v>2</v>
      </c>
      <c r="AB46" s="15">
        <v>1</v>
      </c>
      <c r="AC46" s="15">
        <v>7</v>
      </c>
      <c r="AD46" s="15">
        <v>5</v>
      </c>
      <c r="AE46" s="15">
        <v>17</v>
      </c>
      <c r="AF46" s="15">
        <v>27</v>
      </c>
      <c r="AG46" s="15">
        <v>38</v>
      </c>
      <c r="AH46" s="15">
        <v>33</v>
      </c>
      <c r="AI46" s="15">
        <v>51</v>
      </c>
      <c r="AJ46" s="15">
        <v>38</v>
      </c>
      <c r="AK46" s="15">
        <v>56</v>
      </c>
      <c r="AL46" s="15">
        <v>73</v>
      </c>
      <c r="AM46" s="15">
        <v>55</v>
      </c>
      <c r="AN46" s="15">
        <v>52</v>
      </c>
      <c r="AO46" s="15">
        <v>46</v>
      </c>
      <c r="AP46" s="15">
        <v>41</v>
      </c>
      <c r="AQ46" s="15">
        <v>33</v>
      </c>
      <c r="AR46" s="15">
        <v>29</v>
      </c>
      <c r="AS46" s="15">
        <v>16</v>
      </c>
      <c r="AT46" s="15">
        <v>11</v>
      </c>
      <c r="AU46" s="15">
        <v>5</v>
      </c>
      <c r="AX46" s="172">
        <v>1</v>
      </c>
      <c r="AY46" s="172">
        <v>1</v>
      </c>
      <c r="AZ46" s="172">
        <v>1</v>
      </c>
      <c r="BA46" s="172">
        <v>1</v>
      </c>
      <c r="BB46" s="172">
        <v>1</v>
      </c>
      <c r="BC46" s="172">
        <v>1</v>
      </c>
      <c r="BD46" s="172">
        <v>1</v>
      </c>
      <c r="BE46" s="172">
        <v>1</v>
      </c>
      <c r="BF46" s="172">
        <v>1</v>
      </c>
      <c r="BG46" s="172">
        <v>1</v>
      </c>
      <c r="BH46" s="172">
        <v>1</v>
      </c>
      <c r="BI46" s="172">
        <v>1</v>
      </c>
      <c r="BJ46" s="172">
        <v>1</v>
      </c>
      <c r="BK46" s="172">
        <v>1</v>
      </c>
      <c r="BL46" s="172">
        <v>1</v>
      </c>
      <c r="BM46" s="172">
        <v>1</v>
      </c>
      <c r="BN46" s="172">
        <v>1</v>
      </c>
      <c r="BO46" s="172">
        <v>1</v>
      </c>
      <c r="BP46" s="172">
        <v>1</v>
      </c>
      <c r="BQ46" s="172">
        <v>1</v>
      </c>
      <c r="BR46" s="172">
        <v>1</v>
      </c>
      <c r="BS46" s="172">
        <v>1</v>
      </c>
      <c r="BT46" s="172" t="e">
        <v>#DIV/0!</v>
      </c>
      <c r="BU46" s="172" t="e">
        <v>#DIV/0!</v>
      </c>
      <c r="BV46" s="15">
        <v>637</v>
      </c>
      <c r="BW46" s="15">
        <v>637</v>
      </c>
      <c r="BX46" s="172">
        <v>1</v>
      </c>
      <c r="CA46" s="34" t="s">
        <v>346</v>
      </c>
      <c r="DE46" s="34" t="s">
        <v>346</v>
      </c>
    </row>
    <row r="47" spans="1:109" ht="15.75" customHeight="1" x14ac:dyDescent="0.35">
      <c r="A47" s="220" t="s">
        <v>119</v>
      </c>
      <c r="B47" s="221">
        <v>28</v>
      </c>
      <c r="C47" s="221">
        <v>37</v>
      </c>
      <c r="D47" s="221">
        <v>57</v>
      </c>
      <c r="E47" s="221">
        <v>99</v>
      </c>
      <c r="F47" s="221">
        <v>174</v>
      </c>
      <c r="G47" s="221">
        <v>343</v>
      </c>
      <c r="H47" s="221">
        <v>509</v>
      </c>
      <c r="I47" s="221">
        <v>632</v>
      </c>
      <c r="J47" s="221">
        <v>685</v>
      </c>
      <c r="K47" s="221">
        <v>937</v>
      </c>
      <c r="L47" s="221">
        <v>1002</v>
      </c>
      <c r="M47" s="221">
        <v>1160</v>
      </c>
      <c r="N47" s="221">
        <v>1387</v>
      </c>
      <c r="O47" s="221">
        <v>1332</v>
      </c>
      <c r="P47" s="221">
        <v>1423</v>
      </c>
      <c r="Q47" s="221">
        <v>1370</v>
      </c>
      <c r="R47" s="221">
        <v>1229</v>
      </c>
      <c r="S47" s="221">
        <v>869</v>
      </c>
      <c r="T47" s="221">
        <v>688</v>
      </c>
      <c r="U47" s="221">
        <v>403</v>
      </c>
      <c r="V47" s="221">
        <v>239</v>
      </c>
      <c r="W47" s="221">
        <v>126</v>
      </c>
      <c r="X47" s="221">
        <v>53</v>
      </c>
      <c r="Y47" s="221">
        <v>33</v>
      </c>
      <c r="Z47" s="221">
        <v>17</v>
      </c>
      <c r="AA47" s="221">
        <v>19</v>
      </c>
      <c r="AB47" s="221">
        <v>28</v>
      </c>
      <c r="AC47" s="221">
        <v>63</v>
      </c>
      <c r="AD47" s="221">
        <v>100</v>
      </c>
      <c r="AE47" s="221">
        <v>206</v>
      </c>
      <c r="AF47" s="221">
        <v>291</v>
      </c>
      <c r="AG47" s="221">
        <v>346</v>
      </c>
      <c r="AH47" s="221">
        <v>366</v>
      </c>
      <c r="AI47" s="221">
        <v>493</v>
      </c>
      <c r="AJ47" s="221">
        <v>482</v>
      </c>
      <c r="AK47" s="221">
        <v>587</v>
      </c>
      <c r="AL47" s="221">
        <v>666</v>
      </c>
      <c r="AM47" s="221">
        <v>609</v>
      </c>
      <c r="AN47" s="221">
        <v>695</v>
      </c>
      <c r="AO47" s="221">
        <v>585</v>
      </c>
      <c r="AP47" s="221">
        <v>554</v>
      </c>
      <c r="AQ47" s="221">
        <v>387</v>
      </c>
      <c r="AR47" s="221">
        <v>298</v>
      </c>
      <c r="AS47" s="221">
        <v>172</v>
      </c>
      <c r="AT47" s="221">
        <v>94</v>
      </c>
      <c r="AU47" s="221">
        <v>48</v>
      </c>
      <c r="AV47" s="221">
        <v>19</v>
      </c>
      <c r="AW47" s="221">
        <v>10</v>
      </c>
      <c r="AX47" s="231">
        <v>0.6071428571428571</v>
      </c>
      <c r="AY47" s="231">
        <v>0.51351351351351349</v>
      </c>
      <c r="AZ47" s="231">
        <v>0.49122807017543857</v>
      </c>
      <c r="BA47" s="231">
        <v>0.63636363636363635</v>
      </c>
      <c r="BB47" s="231">
        <v>0.57471264367816088</v>
      </c>
      <c r="BC47" s="231">
        <v>0.6005830903790087</v>
      </c>
      <c r="BD47" s="231">
        <v>0.57170923379174854</v>
      </c>
      <c r="BE47" s="231">
        <v>0.54746835443037978</v>
      </c>
      <c r="BF47" s="231">
        <v>0.53430656934306564</v>
      </c>
      <c r="BG47" s="231">
        <v>0.52614727854855925</v>
      </c>
      <c r="BH47" s="231">
        <v>0.48103792415169661</v>
      </c>
      <c r="BI47" s="231">
        <v>0.50603448275862073</v>
      </c>
      <c r="BJ47" s="231">
        <v>0.48017303532804612</v>
      </c>
      <c r="BK47" s="231">
        <v>0.4572072072072072</v>
      </c>
      <c r="BL47" s="231">
        <v>0.48840477863668308</v>
      </c>
      <c r="BM47" s="231">
        <v>0.42700729927007297</v>
      </c>
      <c r="BN47" s="231">
        <v>0.45077298616761596</v>
      </c>
      <c r="BO47" s="231">
        <v>0.44533947065592633</v>
      </c>
      <c r="BP47" s="231">
        <v>0.43313953488372092</v>
      </c>
      <c r="BQ47" s="231">
        <v>0.42679900744416871</v>
      </c>
      <c r="BR47" s="231">
        <v>0.39330543933054396</v>
      </c>
      <c r="BS47" s="231">
        <v>0.38095238095238093</v>
      </c>
      <c r="BT47" s="231">
        <v>0.35849056603773582</v>
      </c>
      <c r="BU47" s="231">
        <v>0.30303030303030304</v>
      </c>
      <c r="BV47" s="221">
        <v>14815</v>
      </c>
      <c r="BW47" s="221">
        <v>7135</v>
      </c>
      <c r="BX47" s="231">
        <v>0.48160647991900102</v>
      </c>
      <c r="CA47" s="220" t="s">
        <v>119</v>
      </c>
      <c r="DE47" s="220" t="s">
        <v>119</v>
      </c>
    </row>
    <row r="48" spans="1:109" ht="15.75" customHeight="1" x14ac:dyDescent="0.35"/>
    <row r="49" spans="1:105" ht="15.75" customHeight="1" x14ac:dyDescent="0.35">
      <c r="A49" s="34" t="s">
        <v>349</v>
      </c>
      <c r="B49" s="15">
        <f t="shared" ref="B49:AW49" si="82">+B45+B46</f>
        <v>5</v>
      </c>
      <c r="C49" s="15">
        <f t="shared" si="82"/>
        <v>8</v>
      </c>
      <c r="D49" s="15">
        <f t="shared" si="82"/>
        <v>11</v>
      </c>
      <c r="E49" s="15">
        <f t="shared" si="82"/>
        <v>25</v>
      </c>
      <c r="F49" s="15">
        <f t="shared" si="82"/>
        <v>38</v>
      </c>
      <c r="G49" s="15">
        <f t="shared" si="82"/>
        <v>78</v>
      </c>
      <c r="H49" s="15">
        <f t="shared" si="82"/>
        <v>120</v>
      </c>
      <c r="I49" s="15">
        <f t="shared" si="82"/>
        <v>157</v>
      </c>
      <c r="J49" s="15">
        <f t="shared" si="82"/>
        <v>159</v>
      </c>
      <c r="K49" s="15">
        <f t="shared" si="82"/>
        <v>242</v>
      </c>
      <c r="L49" s="15">
        <f t="shared" si="82"/>
        <v>246</v>
      </c>
      <c r="M49" s="15">
        <f t="shared" si="82"/>
        <v>281</v>
      </c>
      <c r="N49" s="15">
        <f t="shared" si="82"/>
        <v>323</v>
      </c>
      <c r="O49" s="15">
        <f t="shared" si="82"/>
        <v>321</v>
      </c>
      <c r="P49" s="15">
        <f t="shared" si="82"/>
        <v>332</v>
      </c>
      <c r="Q49" s="15">
        <f t="shared" si="82"/>
        <v>329</v>
      </c>
      <c r="R49" s="15">
        <f t="shared" si="82"/>
        <v>279</v>
      </c>
      <c r="S49" s="15">
        <f t="shared" si="82"/>
        <v>193</v>
      </c>
      <c r="T49" s="15">
        <f t="shared" si="82"/>
        <v>140</v>
      </c>
      <c r="U49" s="15">
        <f t="shared" si="82"/>
        <v>88</v>
      </c>
      <c r="V49" s="15">
        <f t="shared" si="82"/>
        <v>59</v>
      </c>
      <c r="W49" s="15">
        <f t="shared" si="82"/>
        <v>36</v>
      </c>
      <c r="X49" s="15">
        <f t="shared" si="82"/>
        <v>16</v>
      </c>
      <c r="Y49" s="15">
        <f t="shared" si="82"/>
        <v>10</v>
      </c>
      <c r="Z49" s="15">
        <f t="shared" si="82"/>
        <v>3</v>
      </c>
      <c r="AA49" s="15">
        <f t="shared" si="82"/>
        <v>3</v>
      </c>
      <c r="AB49" s="15">
        <f t="shared" si="82"/>
        <v>4</v>
      </c>
      <c r="AC49" s="15">
        <f t="shared" si="82"/>
        <v>16</v>
      </c>
      <c r="AD49" s="15">
        <f t="shared" si="82"/>
        <v>18</v>
      </c>
      <c r="AE49" s="15">
        <f t="shared" si="82"/>
        <v>46</v>
      </c>
      <c r="AF49" s="15">
        <f t="shared" si="82"/>
        <v>58</v>
      </c>
      <c r="AG49" s="15">
        <f t="shared" si="82"/>
        <v>73</v>
      </c>
      <c r="AH49" s="15">
        <f t="shared" si="82"/>
        <v>77</v>
      </c>
      <c r="AI49" s="15">
        <f t="shared" si="82"/>
        <v>102</v>
      </c>
      <c r="AJ49" s="15">
        <f t="shared" si="82"/>
        <v>100</v>
      </c>
      <c r="AK49" s="15">
        <f t="shared" si="82"/>
        <v>124</v>
      </c>
      <c r="AL49" s="15">
        <f t="shared" si="82"/>
        <v>135</v>
      </c>
      <c r="AM49" s="15">
        <f t="shared" si="82"/>
        <v>126</v>
      </c>
      <c r="AN49" s="15">
        <f t="shared" si="82"/>
        <v>128</v>
      </c>
      <c r="AO49" s="15">
        <f t="shared" si="82"/>
        <v>114</v>
      </c>
      <c r="AP49" s="15">
        <f t="shared" si="82"/>
        <v>102</v>
      </c>
      <c r="AQ49" s="15">
        <f t="shared" si="82"/>
        <v>75</v>
      </c>
      <c r="AR49" s="15">
        <f t="shared" si="82"/>
        <v>58</v>
      </c>
      <c r="AS49" s="15">
        <f t="shared" si="82"/>
        <v>28</v>
      </c>
      <c r="AT49" s="15">
        <f t="shared" si="82"/>
        <v>19</v>
      </c>
      <c r="AU49" s="15">
        <f t="shared" si="82"/>
        <v>8</v>
      </c>
      <c r="AV49" s="15">
        <f t="shared" si="82"/>
        <v>0</v>
      </c>
      <c r="AW49" s="15">
        <f t="shared" si="82"/>
        <v>5</v>
      </c>
      <c r="AX49" s="172">
        <f t="shared" ref="AX49:BU49" si="83">+Z49/B49</f>
        <v>0.6</v>
      </c>
      <c r="AY49" s="172">
        <f t="shared" si="83"/>
        <v>0.375</v>
      </c>
      <c r="AZ49" s="172">
        <f t="shared" si="83"/>
        <v>0.36363636363636365</v>
      </c>
      <c r="BA49" s="172">
        <f t="shared" si="83"/>
        <v>0.64</v>
      </c>
      <c r="BB49" s="172">
        <f t="shared" si="83"/>
        <v>0.47368421052631576</v>
      </c>
      <c r="BC49" s="172">
        <f t="shared" si="83"/>
        <v>0.58974358974358976</v>
      </c>
      <c r="BD49" s="172">
        <f t="shared" si="83"/>
        <v>0.48333333333333334</v>
      </c>
      <c r="BE49" s="172">
        <f t="shared" si="83"/>
        <v>0.46496815286624205</v>
      </c>
      <c r="BF49" s="172">
        <f t="shared" si="83"/>
        <v>0.48427672955974843</v>
      </c>
      <c r="BG49" s="172">
        <f t="shared" si="83"/>
        <v>0.42148760330578511</v>
      </c>
      <c r="BH49" s="172">
        <f t="shared" si="83"/>
        <v>0.4065040650406504</v>
      </c>
      <c r="BI49" s="172">
        <f t="shared" si="83"/>
        <v>0.44128113879003561</v>
      </c>
      <c r="BJ49" s="172">
        <f t="shared" si="83"/>
        <v>0.41795665634674922</v>
      </c>
      <c r="BK49" s="172">
        <f t="shared" si="83"/>
        <v>0.3925233644859813</v>
      </c>
      <c r="BL49" s="172">
        <f t="shared" si="83"/>
        <v>0.38554216867469882</v>
      </c>
      <c r="BM49" s="172">
        <f t="shared" si="83"/>
        <v>0.34650455927051671</v>
      </c>
      <c r="BN49" s="172">
        <f t="shared" si="83"/>
        <v>0.36559139784946237</v>
      </c>
      <c r="BO49" s="172">
        <f t="shared" si="83"/>
        <v>0.38860103626943004</v>
      </c>
      <c r="BP49" s="172">
        <f t="shared" si="83"/>
        <v>0.41428571428571431</v>
      </c>
      <c r="BQ49" s="172">
        <f t="shared" si="83"/>
        <v>0.31818181818181818</v>
      </c>
      <c r="BR49" s="172">
        <f t="shared" si="83"/>
        <v>0.32203389830508472</v>
      </c>
      <c r="BS49" s="172">
        <f t="shared" si="83"/>
        <v>0.22222222222222221</v>
      </c>
      <c r="BT49" s="172">
        <f t="shared" si="83"/>
        <v>0</v>
      </c>
      <c r="BU49" s="172">
        <f t="shared" si="83"/>
        <v>0.5</v>
      </c>
      <c r="BV49" s="172">
        <f t="shared" ref="BV49:BW49" si="84">BV45+BV46</f>
        <v>3496</v>
      </c>
      <c r="BW49" s="172">
        <f t="shared" si="84"/>
        <v>1422</v>
      </c>
      <c r="BX49" s="172">
        <f>BW49/BV49</f>
        <v>0.40675057208237986</v>
      </c>
      <c r="CA49" s="34" t="s">
        <v>350</v>
      </c>
      <c r="CB49" s="172">
        <f t="shared" ref="CB49:CY49" si="85">AX49</f>
        <v>0.6</v>
      </c>
      <c r="CC49" s="172">
        <f t="shared" si="85"/>
        <v>0.375</v>
      </c>
      <c r="CD49" s="172">
        <f t="shared" si="85"/>
        <v>0.36363636363636365</v>
      </c>
      <c r="CE49" s="172">
        <f t="shared" si="85"/>
        <v>0.64</v>
      </c>
      <c r="CF49" s="172">
        <f t="shared" si="85"/>
        <v>0.47368421052631576</v>
      </c>
      <c r="CG49" s="172">
        <f t="shared" si="85"/>
        <v>0.58974358974358976</v>
      </c>
      <c r="CH49" s="172">
        <f t="shared" si="85"/>
        <v>0.48333333333333334</v>
      </c>
      <c r="CI49" s="172">
        <f t="shared" si="85"/>
        <v>0.46496815286624205</v>
      </c>
      <c r="CJ49" s="172">
        <f t="shared" si="85"/>
        <v>0.48427672955974843</v>
      </c>
      <c r="CK49" s="172">
        <f t="shared" si="85"/>
        <v>0.42148760330578511</v>
      </c>
      <c r="CL49" s="172">
        <f t="shared" si="85"/>
        <v>0.4065040650406504</v>
      </c>
      <c r="CM49" s="172">
        <f t="shared" si="85"/>
        <v>0.44128113879003561</v>
      </c>
      <c r="CN49" s="172">
        <f t="shared" si="85"/>
        <v>0.41795665634674922</v>
      </c>
      <c r="CO49" s="172">
        <f t="shared" si="85"/>
        <v>0.3925233644859813</v>
      </c>
      <c r="CP49" s="172">
        <f t="shared" si="85"/>
        <v>0.38554216867469882</v>
      </c>
      <c r="CQ49" s="172">
        <f t="shared" si="85"/>
        <v>0.34650455927051671</v>
      </c>
      <c r="CR49" s="172">
        <f t="shared" si="85"/>
        <v>0.36559139784946237</v>
      </c>
      <c r="CS49" s="172">
        <f t="shared" si="85"/>
        <v>0.38860103626943004</v>
      </c>
      <c r="CT49" s="172">
        <f t="shared" si="85"/>
        <v>0.41428571428571431</v>
      </c>
      <c r="CU49" s="172">
        <f t="shared" si="85"/>
        <v>0.31818181818181818</v>
      </c>
      <c r="CV49" s="172">
        <f t="shared" si="85"/>
        <v>0.32203389830508472</v>
      </c>
      <c r="CW49" s="172">
        <f t="shared" si="85"/>
        <v>0.22222222222222221</v>
      </c>
      <c r="CX49" s="172">
        <f t="shared" si="85"/>
        <v>0</v>
      </c>
      <c r="CY49" s="172">
        <f t="shared" si="85"/>
        <v>0.5</v>
      </c>
      <c r="CZ49" s="172">
        <f>(CZ50*SUM(B50:Y50)+CZ52*SUM(B52:Y52))/SUM(B50:Y50,B52:Y52)</f>
        <v>0.40851793761382027</v>
      </c>
      <c r="DA49" s="172">
        <f t="shared" ref="DA49:DA50" si="86">BX49</f>
        <v>0.40675057208237986</v>
      </c>
    </row>
    <row r="50" spans="1:105" ht="15.75" customHeight="1" x14ac:dyDescent="0.35">
      <c r="A50" s="34" t="s">
        <v>352</v>
      </c>
      <c r="B50" s="232">
        <f t="shared" ref="B50:Y50" si="87">+B46/AX50</f>
        <v>1.4285714285714286</v>
      </c>
      <c r="C50" s="232">
        <f t="shared" si="87"/>
        <v>4.2105263157894735</v>
      </c>
      <c r="D50" s="232">
        <f t="shared" si="87"/>
        <v>2.1568627450980391</v>
      </c>
      <c r="E50" s="232">
        <f t="shared" si="87"/>
        <v>9.4594594594594597</v>
      </c>
      <c r="F50" s="232">
        <f t="shared" si="87"/>
        <v>8.7155963302752291</v>
      </c>
      <c r="G50" s="232">
        <f t="shared" si="87"/>
        <v>24.646840148698885</v>
      </c>
      <c r="H50" s="232">
        <f t="shared" si="87"/>
        <v>46.285714285714285</v>
      </c>
      <c r="I50" s="232">
        <f t="shared" si="87"/>
        <v>67.260428410372043</v>
      </c>
      <c r="J50" s="232">
        <f t="shared" si="87"/>
        <v>56.480086114101184</v>
      </c>
      <c r="K50" s="232">
        <f t="shared" si="87"/>
        <v>97.797147385103003</v>
      </c>
      <c r="L50" s="232">
        <f t="shared" si="87"/>
        <v>75.024077046548967</v>
      </c>
      <c r="M50" s="232">
        <f t="shared" si="87"/>
        <v>103.45825115055884</v>
      </c>
      <c r="N50" s="232">
        <f t="shared" si="87"/>
        <v>140.93843395098625</v>
      </c>
      <c r="O50" s="232">
        <f t="shared" si="87"/>
        <v>111.66982922201139</v>
      </c>
      <c r="P50" s="232">
        <f t="shared" si="87"/>
        <v>107.09677419354838</v>
      </c>
      <c r="Q50" s="232">
        <f t="shared" si="87"/>
        <v>103.02246426140232</v>
      </c>
      <c r="R50" s="232">
        <f t="shared" si="87"/>
        <v>88.06004618937645</v>
      </c>
      <c r="S50" s="232">
        <f t="shared" si="87"/>
        <v>67.539766702014845</v>
      </c>
      <c r="T50" s="232">
        <f t="shared" si="87"/>
        <v>56.388888888888886</v>
      </c>
      <c r="U50" s="232">
        <f t="shared" si="87"/>
        <v>38.260869565217391</v>
      </c>
      <c r="V50" s="232">
        <f t="shared" si="87"/>
        <v>26.064257028112451</v>
      </c>
      <c r="W50" s="232">
        <f t="shared" si="87"/>
        <v>15.517241379310347</v>
      </c>
      <c r="X50" s="232">
        <f t="shared" si="87"/>
        <v>0</v>
      </c>
      <c r="Y50" s="232">
        <f t="shared" si="87"/>
        <v>0</v>
      </c>
      <c r="AX50" s="172">
        <f t="shared" ref="AX50:BU50" si="88">+AX49+0.1</f>
        <v>0.7</v>
      </c>
      <c r="AY50" s="172">
        <f t="shared" si="88"/>
        <v>0.47499999999999998</v>
      </c>
      <c r="AZ50" s="172">
        <f t="shared" si="88"/>
        <v>0.46363636363636362</v>
      </c>
      <c r="BA50" s="172">
        <f t="shared" si="88"/>
        <v>0.74</v>
      </c>
      <c r="BB50" s="172">
        <f t="shared" si="88"/>
        <v>0.5736842105263158</v>
      </c>
      <c r="BC50" s="172">
        <f t="shared" si="88"/>
        <v>0.68974358974358974</v>
      </c>
      <c r="BD50" s="172">
        <f t="shared" si="88"/>
        <v>0.58333333333333337</v>
      </c>
      <c r="BE50" s="172">
        <f t="shared" si="88"/>
        <v>0.56496815286624202</v>
      </c>
      <c r="BF50" s="172">
        <f t="shared" si="88"/>
        <v>0.58427672955974841</v>
      </c>
      <c r="BG50" s="172">
        <f t="shared" si="88"/>
        <v>0.52148760330578514</v>
      </c>
      <c r="BH50" s="172">
        <f t="shared" si="88"/>
        <v>0.50650406504065038</v>
      </c>
      <c r="BI50" s="172">
        <f t="shared" si="88"/>
        <v>0.54128113879003559</v>
      </c>
      <c r="BJ50" s="172">
        <f t="shared" si="88"/>
        <v>0.51795665634674926</v>
      </c>
      <c r="BK50" s="172">
        <f t="shared" si="88"/>
        <v>0.49252336448598133</v>
      </c>
      <c r="BL50" s="172">
        <f t="shared" si="88"/>
        <v>0.48554216867469879</v>
      </c>
      <c r="BM50" s="172">
        <f t="shared" si="88"/>
        <v>0.44650455927051669</v>
      </c>
      <c r="BN50" s="172">
        <f t="shared" si="88"/>
        <v>0.46559139784946235</v>
      </c>
      <c r="BO50" s="172">
        <f t="shared" si="88"/>
        <v>0.48860103626943008</v>
      </c>
      <c r="BP50" s="172">
        <f t="shared" si="88"/>
        <v>0.51428571428571435</v>
      </c>
      <c r="BQ50" s="172">
        <f t="shared" si="88"/>
        <v>0.41818181818181821</v>
      </c>
      <c r="BR50" s="172">
        <f t="shared" si="88"/>
        <v>0.42203389830508475</v>
      </c>
      <c r="BS50" s="172">
        <f t="shared" si="88"/>
        <v>0.32222222222222219</v>
      </c>
      <c r="BT50" s="172">
        <f t="shared" si="88"/>
        <v>0.1</v>
      </c>
      <c r="BU50" s="172">
        <f t="shared" si="88"/>
        <v>0.6</v>
      </c>
      <c r="BX50" s="172">
        <f>+BX49+0.1</f>
        <v>0.50675057208237984</v>
      </c>
      <c r="CA50" s="34" t="s">
        <v>353</v>
      </c>
      <c r="CB50" s="172">
        <f t="shared" ref="CB50:CR50" si="89">AX50</f>
        <v>0.7</v>
      </c>
      <c r="CC50" s="172">
        <f t="shared" si="89"/>
        <v>0.47499999999999998</v>
      </c>
      <c r="CD50" s="172">
        <f t="shared" si="89"/>
        <v>0.46363636363636362</v>
      </c>
      <c r="CE50" s="172">
        <f t="shared" si="89"/>
        <v>0.74</v>
      </c>
      <c r="CF50" s="172">
        <f t="shared" si="89"/>
        <v>0.5736842105263158</v>
      </c>
      <c r="CG50" s="172">
        <f t="shared" si="89"/>
        <v>0.68974358974358974</v>
      </c>
      <c r="CH50" s="172">
        <f t="shared" si="89"/>
        <v>0.58333333333333337</v>
      </c>
      <c r="CI50" s="172">
        <f t="shared" si="89"/>
        <v>0.56496815286624202</v>
      </c>
      <c r="CJ50" s="172">
        <f t="shared" si="89"/>
        <v>0.58427672955974841</v>
      </c>
      <c r="CK50" s="172">
        <f t="shared" si="89"/>
        <v>0.52148760330578514</v>
      </c>
      <c r="CL50" s="172">
        <f t="shared" si="89"/>
        <v>0.50650406504065038</v>
      </c>
      <c r="CM50" s="172">
        <f t="shared" si="89"/>
        <v>0.54128113879003559</v>
      </c>
      <c r="CN50" s="172">
        <f t="shared" si="89"/>
        <v>0.51795665634674926</v>
      </c>
      <c r="CO50" s="172">
        <f t="shared" si="89"/>
        <v>0.49252336448598133</v>
      </c>
      <c r="CP50" s="172">
        <f t="shared" si="89"/>
        <v>0.48554216867469879</v>
      </c>
      <c r="CQ50" s="172">
        <f t="shared" si="89"/>
        <v>0.44650455927051669</v>
      </c>
      <c r="CR50" s="33">
        <f t="shared" si="89"/>
        <v>0.46559139784946235</v>
      </c>
      <c r="CS50" s="33">
        <v>0.49</v>
      </c>
      <c r="CT50" s="33">
        <v>0.48</v>
      </c>
      <c r="CU50" s="33">
        <v>0.47</v>
      </c>
      <c r="CV50" s="33">
        <v>0.46</v>
      </c>
      <c r="CW50" s="172">
        <f t="shared" ref="CW50:CY50" si="90">BS50</f>
        <v>0.32222222222222219</v>
      </c>
      <c r="CX50" s="172">
        <f t="shared" si="90"/>
        <v>0.1</v>
      </c>
      <c r="CY50" s="172">
        <f t="shared" si="90"/>
        <v>0.6</v>
      </c>
      <c r="CZ50" s="172">
        <f>SUMPRODUCT(CB50:CY50,B50:Y50)/SUM(B50:Y50)</f>
        <v>0.5099020616114287</v>
      </c>
      <c r="DA50" s="172">
        <f t="shared" si="86"/>
        <v>0.50675057208237984</v>
      </c>
    </row>
    <row r="51" spans="1:105" ht="15.75" customHeight="1" x14ac:dyDescent="0.35">
      <c r="A51" s="34" t="s">
        <v>355</v>
      </c>
      <c r="B51" s="232">
        <f t="shared" ref="B51:Y51" si="91">+B50-B46</f>
        <v>0.4285714285714286</v>
      </c>
      <c r="C51" s="232">
        <f t="shared" si="91"/>
        <v>2.2105263157894735</v>
      </c>
      <c r="D51" s="232">
        <f t="shared" si="91"/>
        <v>1.1568627450980391</v>
      </c>
      <c r="E51" s="232">
        <f t="shared" si="91"/>
        <v>2.4594594594594597</v>
      </c>
      <c r="F51" s="232">
        <f t="shared" si="91"/>
        <v>3.7155963302752291</v>
      </c>
      <c r="G51" s="232">
        <f t="shared" si="91"/>
        <v>7.6468401486988853</v>
      </c>
      <c r="H51" s="232">
        <f t="shared" si="91"/>
        <v>19.285714285714285</v>
      </c>
      <c r="I51" s="232">
        <f t="shared" si="91"/>
        <v>29.260428410372043</v>
      </c>
      <c r="J51" s="232">
        <f t="shared" si="91"/>
        <v>23.480086114101184</v>
      </c>
      <c r="K51" s="232">
        <f t="shared" si="91"/>
        <v>46.797147385103003</v>
      </c>
      <c r="L51" s="232">
        <f t="shared" si="91"/>
        <v>37.024077046548967</v>
      </c>
      <c r="M51" s="232">
        <f t="shared" si="91"/>
        <v>47.458251150558837</v>
      </c>
      <c r="N51" s="232">
        <f t="shared" si="91"/>
        <v>67.938433950986251</v>
      </c>
      <c r="O51" s="232">
        <f t="shared" si="91"/>
        <v>56.669829222011387</v>
      </c>
      <c r="P51" s="232">
        <f t="shared" si="91"/>
        <v>55.096774193548384</v>
      </c>
      <c r="Q51" s="232">
        <f t="shared" si="91"/>
        <v>57.02246426140232</v>
      </c>
      <c r="R51" s="232">
        <f t="shared" si="91"/>
        <v>47.06004618937645</v>
      </c>
      <c r="S51" s="232">
        <f t="shared" si="91"/>
        <v>34.539766702014845</v>
      </c>
      <c r="T51" s="232">
        <f t="shared" si="91"/>
        <v>27.388888888888886</v>
      </c>
      <c r="U51" s="232">
        <f t="shared" si="91"/>
        <v>22.260869565217391</v>
      </c>
      <c r="V51" s="232">
        <f t="shared" si="91"/>
        <v>15.064257028112451</v>
      </c>
      <c r="W51" s="232">
        <f t="shared" si="91"/>
        <v>10.517241379310347</v>
      </c>
      <c r="X51" s="232">
        <f t="shared" si="91"/>
        <v>0</v>
      </c>
      <c r="Y51" s="232">
        <f t="shared" si="91"/>
        <v>0</v>
      </c>
      <c r="AX51" s="172"/>
      <c r="AY51" s="172"/>
      <c r="AZ51" s="172"/>
      <c r="BA51" s="172"/>
      <c r="BB51" s="172"/>
      <c r="BC51" s="172"/>
      <c r="BD51" s="172"/>
      <c r="BE51" s="172"/>
      <c r="BF51" s="172"/>
      <c r="BG51" s="172"/>
      <c r="BH51" s="172"/>
      <c r="BI51" s="172"/>
      <c r="BJ51" s="172"/>
      <c r="BK51" s="172"/>
      <c r="BL51" s="172"/>
      <c r="BM51" s="172"/>
      <c r="BN51" s="172"/>
      <c r="BO51" s="172"/>
      <c r="BP51" s="172"/>
      <c r="BQ51" s="172"/>
      <c r="BR51" s="172"/>
      <c r="BS51" s="172"/>
      <c r="BT51" s="172"/>
      <c r="BU51" s="172"/>
      <c r="BX51" s="172"/>
      <c r="CA51" s="34" t="s">
        <v>356</v>
      </c>
      <c r="CB51" s="172">
        <f t="shared" ref="CB51:CY51" si="92">(CB50*B50+CB52*B52)/B49</f>
        <v>0.6</v>
      </c>
      <c r="CC51" s="172">
        <f t="shared" si="92"/>
        <v>0.375</v>
      </c>
      <c r="CD51" s="172">
        <f t="shared" si="92"/>
        <v>0.36363636363636365</v>
      </c>
      <c r="CE51" s="172">
        <f t="shared" si="92"/>
        <v>0.64</v>
      </c>
      <c r="CF51" s="172">
        <f t="shared" si="92"/>
        <v>0.47368421052631576</v>
      </c>
      <c r="CG51" s="172">
        <f t="shared" si="92"/>
        <v>0.58974358974358976</v>
      </c>
      <c r="CH51" s="172">
        <f t="shared" si="92"/>
        <v>0.48333333333333334</v>
      </c>
      <c r="CI51" s="172">
        <f t="shared" si="92"/>
        <v>0.46496815286624205</v>
      </c>
      <c r="CJ51" s="172">
        <f t="shared" si="92"/>
        <v>0.48427672955974843</v>
      </c>
      <c r="CK51" s="172">
        <f t="shared" si="92"/>
        <v>0.42148760330578511</v>
      </c>
      <c r="CL51" s="172">
        <f t="shared" si="92"/>
        <v>0.4065040650406504</v>
      </c>
      <c r="CM51" s="172">
        <f t="shared" si="92"/>
        <v>0.44128113879003561</v>
      </c>
      <c r="CN51" s="172">
        <f t="shared" si="92"/>
        <v>0.41795665634674922</v>
      </c>
      <c r="CO51" s="172">
        <f t="shared" si="92"/>
        <v>0.3925233644859813</v>
      </c>
      <c r="CP51" s="172">
        <f t="shared" si="92"/>
        <v>0.38554216867469882</v>
      </c>
      <c r="CQ51" s="172">
        <f t="shared" si="92"/>
        <v>0.34650455927051671</v>
      </c>
      <c r="CR51" s="172">
        <f t="shared" si="92"/>
        <v>0.36559139784946237</v>
      </c>
      <c r="CS51" s="172">
        <f t="shared" si="92"/>
        <v>0.39249204665959697</v>
      </c>
      <c r="CT51" s="172">
        <f t="shared" si="92"/>
        <v>0.39041666666666663</v>
      </c>
      <c r="CU51" s="172">
        <f t="shared" si="92"/>
        <v>0.38521739130434779</v>
      </c>
      <c r="CV51" s="172">
        <f t="shared" si="92"/>
        <v>0.3706827309236948</v>
      </c>
      <c r="CW51" s="172">
        <f t="shared" si="92"/>
        <v>0.22222222222222221</v>
      </c>
      <c r="CX51" s="172">
        <f t="shared" si="92"/>
        <v>0</v>
      </c>
      <c r="CY51" s="172">
        <f t="shared" si="92"/>
        <v>0.5</v>
      </c>
      <c r="CZ51" s="172">
        <f>(CZ50*SUM(B50:Y50)+CZ52*SUM(B52:Y52))/SUM(B49:Y49)</f>
        <v>0.40851793761382044</v>
      </c>
      <c r="DA51" s="172" t="e">
        <f>(DA50*AA50+DA52+AA52)/AA49</f>
        <v>#DIV/0!</v>
      </c>
    </row>
    <row r="52" spans="1:105" ht="15.75" customHeight="1" x14ac:dyDescent="0.35">
      <c r="A52" s="34" t="s">
        <v>357</v>
      </c>
      <c r="B52" s="232">
        <f t="shared" ref="B52:Y52" si="93">+B45-B51</f>
        <v>3.5714285714285712</v>
      </c>
      <c r="C52" s="232">
        <f t="shared" si="93"/>
        <v>3.7894736842105265</v>
      </c>
      <c r="D52" s="232">
        <f t="shared" si="93"/>
        <v>8.8431372549019613</v>
      </c>
      <c r="E52" s="232">
        <f t="shared" si="93"/>
        <v>15.54054054054054</v>
      </c>
      <c r="F52" s="232">
        <f t="shared" si="93"/>
        <v>29.284403669724771</v>
      </c>
      <c r="G52" s="232">
        <f t="shared" si="93"/>
        <v>53.353159851301115</v>
      </c>
      <c r="H52" s="232">
        <f t="shared" si="93"/>
        <v>73.714285714285722</v>
      </c>
      <c r="I52" s="232">
        <f t="shared" si="93"/>
        <v>89.739571589627957</v>
      </c>
      <c r="J52" s="232">
        <f t="shared" si="93"/>
        <v>102.51991388589882</v>
      </c>
      <c r="K52" s="232">
        <f t="shared" si="93"/>
        <v>144.20285261489698</v>
      </c>
      <c r="L52" s="232">
        <f t="shared" si="93"/>
        <v>170.97592295345103</v>
      </c>
      <c r="M52" s="232">
        <f t="shared" si="93"/>
        <v>177.54174884944115</v>
      </c>
      <c r="N52" s="232">
        <f t="shared" si="93"/>
        <v>182.06156604901375</v>
      </c>
      <c r="O52" s="232">
        <f t="shared" si="93"/>
        <v>209.3301707779886</v>
      </c>
      <c r="P52" s="232">
        <f t="shared" si="93"/>
        <v>224.90322580645162</v>
      </c>
      <c r="Q52" s="232">
        <f t="shared" si="93"/>
        <v>225.97753573859768</v>
      </c>
      <c r="R52" s="232">
        <f t="shared" si="93"/>
        <v>190.93995381062354</v>
      </c>
      <c r="S52" s="232">
        <f t="shared" si="93"/>
        <v>125.46023329798516</v>
      </c>
      <c r="T52" s="232">
        <f t="shared" si="93"/>
        <v>83.611111111111114</v>
      </c>
      <c r="U52" s="232">
        <f t="shared" si="93"/>
        <v>49.739130434782609</v>
      </c>
      <c r="V52" s="232">
        <f t="shared" si="93"/>
        <v>32.935742971887549</v>
      </c>
      <c r="W52" s="232">
        <f t="shared" si="93"/>
        <v>20.482758620689651</v>
      </c>
      <c r="X52" s="232">
        <f t="shared" si="93"/>
        <v>16</v>
      </c>
      <c r="Y52" s="232">
        <f t="shared" si="93"/>
        <v>10</v>
      </c>
      <c r="AX52" s="172">
        <f t="shared" ref="AX52:BU52" si="94">+Z45/B52</f>
        <v>0.56000000000000005</v>
      </c>
      <c r="AY52" s="172">
        <f t="shared" si="94"/>
        <v>0.2638888888888889</v>
      </c>
      <c r="AZ52" s="172">
        <f t="shared" si="94"/>
        <v>0.3392461197339246</v>
      </c>
      <c r="BA52" s="172">
        <f t="shared" si="94"/>
        <v>0.57913043478260873</v>
      </c>
      <c r="BB52" s="172">
        <f t="shared" si="94"/>
        <v>0.443922305764411</v>
      </c>
      <c r="BC52" s="172">
        <f t="shared" si="94"/>
        <v>0.54354793756967668</v>
      </c>
      <c r="BD52" s="172">
        <f t="shared" si="94"/>
        <v>0.4205426356589147</v>
      </c>
      <c r="BE52" s="172">
        <f t="shared" si="94"/>
        <v>0.39001746253093633</v>
      </c>
      <c r="BF52" s="172">
        <f t="shared" si="94"/>
        <v>0.42918490986024926</v>
      </c>
      <c r="BG52" s="172">
        <f t="shared" si="94"/>
        <v>0.35366845436961492</v>
      </c>
      <c r="BH52" s="172">
        <f t="shared" si="94"/>
        <v>0.36262415741940329</v>
      </c>
      <c r="BI52" s="172">
        <f t="shared" si="94"/>
        <v>0.383008506115738</v>
      </c>
      <c r="BJ52" s="172">
        <f t="shared" si="94"/>
        <v>0.34054414309118186</v>
      </c>
      <c r="BK52" s="172">
        <f t="shared" si="94"/>
        <v>0.33917709872458462</v>
      </c>
      <c r="BL52" s="172">
        <f t="shared" si="94"/>
        <v>0.3379231210556512</v>
      </c>
      <c r="BM52" s="172">
        <f t="shared" si="94"/>
        <v>0.30091486650540272</v>
      </c>
      <c r="BN52" s="172">
        <f t="shared" si="94"/>
        <v>0.31947216275384938</v>
      </c>
      <c r="BO52" s="172">
        <f t="shared" si="94"/>
        <v>0.33476743104920165</v>
      </c>
      <c r="BP52" s="172">
        <f t="shared" si="94"/>
        <v>0.34684385382059801</v>
      </c>
      <c r="BQ52" s="172">
        <f t="shared" si="94"/>
        <v>0.24125874125874125</v>
      </c>
      <c r="BR52" s="172">
        <f t="shared" si="94"/>
        <v>0.24289720765760273</v>
      </c>
      <c r="BS52" s="172">
        <f t="shared" si="94"/>
        <v>0.14646464646464649</v>
      </c>
      <c r="BT52" s="172">
        <f t="shared" si="94"/>
        <v>0</v>
      </c>
      <c r="BU52" s="172">
        <f t="shared" si="94"/>
        <v>0.5</v>
      </c>
      <c r="BX52" s="172" t="e">
        <f>+AZ45/AB52</f>
        <v>#DIV/0!</v>
      </c>
      <c r="CA52" s="34" t="s">
        <v>358</v>
      </c>
      <c r="CB52" s="172">
        <f t="shared" ref="CB52:CR52" si="95">AX52</f>
        <v>0.56000000000000005</v>
      </c>
      <c r="CC52" s="172">
        <f t="shared" si="95"/>
        <v>0.2638888888888889</v>
      </c>
      <c r="CD52" s="172">
        <f t="shared" si="95"/>
        <v>0.3392461197339246</v>
      </c>
      <c r="CE52" s="172">
        <f t="shared" si="95"/>
        <v>0.57913043478260873</v>
      </c>
      <c r="CF52" s="172">
        <f t="shared" si="95"/>
        <v>0.443922305764411</v>
      </c>
      <c r="CG52" s="172">
        <f t="shared" si="95"/>
        <v>0.54354793756967668</v>
      </c>
      <c r="CH52" s="172">
        <f t="shared" si="95"/>
        <v>0.4205426356589147</v>
      </c>
      <c r="CI52" s="172">
        <f t="shared" si="95"/>
        <v>0.39001746253093633</v>
      </c>
      <c r="CJ52" s="172">
        <f t="shared" si="95"/>
        <v>0.42918490986024926</v>
      </c>
      <c r="CK52" s="172">
        <f t="shared" si="95"/>
        <v>0.35366845436961492</v>
      </c>
      <c r="CL52" s="172">
        <f t="shared" si="95"/>
        <v>0.36262415741940329</v>
      </c>
      <c r="CM52" s="172">
        <f t="shared" si="95"/>
        <v>0.383008506115738</v>
      </c>
      <c r="CN52" s="172">
        <f t="shared" si="95"/>
        <v>0.34054414309118186</v>
      </c>
      <c r="CO52" s="172">
        <f t="shared" si="95"/>
        <v>0.33917709872458462</v>
      </c>
      <c r="CP52" s="172">
        <f t="shared" si="95"/>
        <v>0.3379231210556512</v>
      </c>
      <c r="CQ52" s="172">
        <f t="shared" si="95"/>
        <v>0.30091486650540272</v>
      </c>
      <c r="CR52" s="33">
        <f t="shared" si="95"/>
        <v>0.31947216275384938</v>
      </c>
      <c r="CS52" s="33">
        <v>0.34</v>
      </c>
      <c r="CT52" s="33">
        <v>0.33</v>
      </c>
      <c r="CU52" s="33">
        <v>0.32</v>
      </c>
      <c r="CV52" s="33">
        <v>0.3</v>
      </c>
      <c r="CW52" s="33">
        <f t="shared" ref="CW52:CY52" si="96">BS52</f>
        <v>0.14646464646464649</v>
      </c>
      <c r="CX52" s="172">
        <f t="shared" si="96"/>
        <v>0</v>
      </c>
      <c r="CY52" s="172">
        <f t="shared" si="96"/>
        <v>0.5</v>
      </c>
      <c r="CZ52" s="172">
        <f>SUMPRODUCT(CB52:CY52,B52:Y52)/SUM(B52:Y52)</f>
        <v>0.35198890681741912</v>
      </c>
      <c r="DA52" s="172" t="e">
        <f>BX52</f>
        <v>#DIV/0!</v>
      </c>
    </row>
    <row r="53" spans="1:105" ht="15.75" customHeight="1" x14ac:dyDescent="0.35"/>
    <row r="54" spans="1:105" ht="15.75" customHeight="1" x14ac:dyDescent="0.35"/>
    <row r="55" spans="1:105" ht="15.75" customHeight="1" x14ac:dyDescent="0.35"/>
    <row r="56" spans="1:105" ht="15.75" customHeight="1" x14ac:dyDescent="0.35"/>
    <row r="57" spans="1:105" ht="15.75" customHeight="1" x14ac:dyDescent="0.35"/>
    <row r="58" spans="1:105" ht="15.75" customHeight="1" x14ac:dyDescent="0.35"/>
    <row r="59" spans="1:105" ht="15.75" customHeight="1" x14ac:dyDescent="0.35"/>
    <row r="60" spans="1:105" ht="15.75" customHeight="1" x14ac:dyDescent="0.35"/>
    <row r="61" spans="1:105" ht="15.75" customHeight="1" x14ac:dyDescent="0.35"/>
    <row r="62" spans="1:105" ht="15.75" customHeight="1" x14ac:dyDescent="0.35"/>
    <row r="63" spans="1:105" ht="15.75" customHeight="1" x14ac:dyDescent="0.35"/>
    <row r="64" spans="1:105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S1000"/>
  <sheetViews>
    <sheetView workbookViewId="0"/>
  </sheetViews>
  <sheetFormatPr defaultColWidth="14.453125" defaultRowHeight="15" customHeight="1" x14ac:dyDescent="0.35"/>
  <cols>
    <col min="1" max="45" width="8.7265625" customWidth="1"/>
  </cols>
  <sheetData>
    <row r="2" spans="1:45" ht="130" x14ac:dyDescent="0.35">
      <c r="B2" s="233" t="s">
        <v>360</v>
      </c>
      <c r="Q2" s="15" t="s">
        <v>361</v>
      </c>
      <c r="AF2" s="233" t="s">
        <v>362</v>
      </c>
    </row>
    <row r="3" spans="1:45" ht="14.5" x14ac:dyDescent="0.35">
      <c r="B3" s="234"/>
      <c r="AF3" s="234"/>
    </row>
    <row r="4" spans="1:45" ht="14.5" x14ac:dyDescent="0.35">
      <c r="B4" s="234"/>
      <c r="D4" s="15">
        <v>1</v>
      </c>
      <c r="E4" s="15">
        <v>8</v>
      </c>
      <c r="F4" s="15">
        <f t="shared" ref="F4:O4" si="0">F6</f>
        <v>8.5</v>
      </c>
      <c r="G4" s="15">
        <f t="shared" si="0"/>
        <v>9</v>
      </c>
      <c r="H4" s="15">
        <f t="shared" si="0"/>
        <v>9.5</v>
      </c>
      <c r="I4" s="15">
        <f t="shared" si="0"/>
        <v>10</v>
      </c>
      <c r="J4" s="15">
        <f t="shared" si="0"/>
        <v>10.5</v>
      </c>
      <c r="K4" s="15">
        <f t="shared" si="0"/>
        <v>11</v>
      </c>
      <c r="L4" s="15">
        <f t="shared" si="0"/>
        <v>11.5</v>
      </c>
      <c r="M4" s="15">
        <f t="shared" si="0"/>
        <v>12</v>
      </c>
      <c r="N4" s="15">
        <f t="shared" si="0"/>
        <v>12.5</v>
      </c>
      <c r="O4" s="15">
        <f t="shared" si="0"/>
        <v>13.5</v>
      </c>
      <c r="AF4" s="234"/>
    </row>
    <row r="5" spans="1:45" ht="14.5" x14ac:dyDescent="0.35">
      <c r="B5" s="234"/>
      <c r="D5" s="15">
        <v>4</v>
      </c>
      <c r="E5" s="15">
        <f t="shared" ref="E5:AS5" si="1">D5+1</f>
        <v>5</v>
      </c>
      <c r="F5" s="15">
        <f t="shared" si="1"/>
        <v>6</v>
      </c>
      <c r="G5" s="15">
        <f t="shared" si="1"/>
        <v>7</v>
      </c>
      <c r="H5" s="15">
        <f t="shared" si="1"/>
        <v>8</v>
      </c>
      <c r="I5" s="15">
        <f t="shared" si="1"/>
        <v>9</v>
      </c>
      <c r="J5" s="15">
        <f t="shared" si="1"/>
        <v>10</v>
      </c>
      <c r="K5" s="15">
        <f t="shared" si="1"/>
        <v>11</v>
      </c>
      <c r="L5" s="15">
        <f t="shared" si="1"/>
        <v>12</v>
      </c>
      <c r="M5" s="15">
        <f t="shared" si="1"/>
        <v>13</v>
      </c>
      <c r="N5" s="15">
        <f t="shared" si="1"/>
        <v>14</v>
      </c>
      <c r="O5" s="15">
        <f t="shared" si="1"/>
        <v>15</v>
      </c>
      <c r="P5" s="15">
        <f t="shared" si="1"/>
        <v>16</v>
      </c>
      <c r="Q5" s="15">
        <f t="shared" si="1"/>
        <v>17</v>
      </c>
      <c r="R5" s="15">
        <f t="shared" si="1"/>
        <v>18</v>
      </c>
      <c r="S5" s="15">
        <f t="shared" si="1"/>
        <v>19</v>
      </c>
      <c r="T5" s="15">
        <f t="shared" si="1"/>
        <v>20</v>
      </c>
      <c r="U5" s="15">
        <f t="shared" si="1"/>
        <v>21</v>
      </c>
      <c r="V5" s="15">
        <f t="shared" si="1"/>
        <v>22</v>
      </c>
      <c r="W5" s="15">
        <f t="shared" si="1"/>
        <v>23</v>
      </c>
      <c r="X5" s="15">
        <f t="shared" si="1"/>
        <v>24</v>
      </c>
      <c r="Y5" s="15">
        <f t="shared" si="1"/>
        <v>25</v>
      </c>
      <c r="Z5" s="15">
        <f t="shared" si="1"/>
        <v>26</v>
      </c>
      <c r="AA5" s="15">
        <f t="shared" si="1"/>
        <v>27</v>
      </c>
      <c r="AB5" s="15">
        <f t="shared" si="1"/>
        <v>28</v>
      </c>
      <c r="AC5" s="15">
        <f t="shared" si="1"/>
        <v>29</v>
      </c>
      <c r="AD5" s="15">
        <f t="shared" si="1"/>
        <v>30</v>
      </c>
      <c r="AE5" s="15">
        <f t="shared" si="1"/>
        <v>31</v>
      </c>
      <c r="AF5" s="15">
        <f t="shared" si="1"/>
        <v>32</v>
      </c>
      <c r="AG5" s="15">
        <f t="shared" si="1"/>
        <v>33</v>
      </c>
      <c r="AH5" s="15">
        <f t="shared" si="1"/>
        <v>34</v>
      </c>
      <c r="AI5" s="15">
        <f t="shared" si="1"/>
        <v>35</v>
      </c>
      <c r="AJ5" s="15">
        <f t="shared" si="1"/>
        <v>36</v>
      </c>
      <c r="AK5" s="15">
        <f t="shared" si="1"/>
        <v>37</v>
      </c>
      <c r="AL5" s="15">
        <f t="shared" si="1"/>
        <v>38</v>
      </c>
      <c r="AM5" s="15">
        <f t="shared" si="1"/>
        <v>39</v>
      </c>
      <c r="AN5" s="15">
        <f t="shared" si="1"/>
        <v>40</v>
      </c>
      <c r="AO5" s="15">
        <f t="shared" si="1"/>
        <v>41</v>
      </c>
      <c r="AP5" s="15">
        <f t="shared" si="1"/>
        <v>42</v>
      </c>
      <c r="AQ5" s="15">
        <f t="shared" si="1"/>
        <v>43</v>
      </c>
      <c r="AR5" s="15">
        <f t="shared" si="1"/>
        <v>44</v>
      </c>
      <c r="AS5" s="15">
        <f t="shared" si="1"/>
        <v>45</v>
      </c>
    </row>
    <row r="6" spans="1:45" ht="14.5" x14ac:dyDescent="0.35">
      <c r="B6" s="235" t="s">
        <v>363</v>
      </c>
      <c r="C6" s="235" t="s">
        <v>119</v>
      </c>
      <c r="D6" s="235" t="s">
        <v>364</v>
      </c>
      <c r="E6" s="235">
        <v>8</v>
      </c>
      <c r="F6" s="235">
        <v>8.5</v>
      </c>
      <c r="G6" s="235">
        <v>9</v>
      </c>
      <c r="H6" s="235">
        <v>9.5</v>
      </c>
      <c r="I6" s="235">
        <v>10</v>
      </c>
      <c r="J6" s="235">
        <v>10.5</v>
      </c>
      <c r="K6" s="235">
        <v>11</v>
      </c>
      <c r="L6" s="235">
        <v>11.5</v>
      </c>
      <c r="M6" s="235">
        <v>12</v>
      </c>
      <c r="N6" s="235">
        <v>12.5</v>
      </c>
      <c r="O6" s="235">
        <v>13.5</v>
      </c>
      <c r="Q6" s="235" t="s">
        <v>363</v>
      </c>
      <c r="R6" s="235" t="s">
        <v>119</v>
      </c>
      <c r="S6" s="235" t="s">
        <v>364</v>
      </c>
      <c r="T6" s="235">
        <v>8</v>
      </c>
      <c r="U6" s="235">
        <v>8.5</v>
      </c>
      <c r="V6" s="235">
        <v>9</v>
      </c>
      <c r="W6" s="235">
        <v>9.5</v>
      </c>
      <c r="X6" s="235">
        <v>10</v>
      </c>
      <c r="Y6" s="235">
        <v>10.5</v>
      </c>
      <c r="Z6" s="235">
        <v>11</v>
      </c>
      <c r="AA6" s="235">
        <v>11.5</v>
      </c>
      <c r="AB6" s="235">
        <v>12</v>
      </c>
      <c r="AC6" s="235">
        <v>12.5</v>
      </c>
      <c r="AD6" s="235">
        <v>13.5</v>
      </c>
      <c r="AF6" s="235" t="s">
        <v>363</v>
      </c>
      <c r="AG6" s="235" t="s">
        <v>119</v>
      </c>
      <c r="AH6" s="235" t="s">
        <v>364</v>
      </c>
      <c r="AI6" s="235">
        <v>8</v>
      </c>
      <c r="AJ6" s="235">
        <v>8.5</v>
      </c>
      <c r="AK6" s="235">
        <v>9</v>
      </c>
      <c r="AL6" s="235">
        <v>9.5</v>
      </c>
      <c r="AM6" s="235">
        <v>10</v>
      </c>
      <c r="AN6" s="235">
        <v>10.5</v>
      </c>
      <c r="AO6" s="235">
        <v>11</v>
      </c>
      <c r="AP6" s="235">
        <v>11.5</v>
      </c>
      <c r="AQ6" s="235">
        <v>12</v>
      </c>
      <c r="AR6" s="235">
        <v>12.5</v>
      </c>
      <c r="AS6" s="235">
        <v>13.5</v>
      </c>
    </row>
    <row r="7" spans="1:45" ht="14.5" x14ac:dyDescent="0.35">
      <c r="B7" s="236" t="s">
        <v>119</v>
      </c>
      <c r="C7" s="237">
        <v>0.49</v>
      </c>
      <c r="D7" s="237">
        <v>0.74</v>
      </c>
      <c r="E7" s="237">
        <v>0.6</v>
      </c>
      <c r="F7" s="237">
        <v>0.54</v>
      </c>
      <c r="G7" s="237">
        <v>0.5</v>
      </c>
      <c r="H7" s="237">
        <v>0.46</v>
      </c>
      <c r="I7" s="237">
        <v>0.45</v>
      </c>
      <c r="J7" s="237">
        <v>0.43</v>
      </c>
      <c r="K7" s="237">
        <v>0.42</v>
      </c>
      <c r="L7" s="237">
        <v>0.4</v>
      </c>
      <c r="M7" s="237">
        <v>0.39</v>
      </c>
      <c r="N7" s="237">
        <v>0.37</v>
      </c>
      <c r="O7" s="237">
        <v>0.32</v>
      </c>
      <c r="Q7" s="236" t="s">
        <v>119</v>
      </c>
      <c r="R7" s="237">
        <v>0.14000000000000001</v>
      </c>
      <c r="S7" s="237">
        <v>0.32</v>
      </c>
      <c r="T7" s="237">
        <v>0.2</v>
      </c>
      <c r="U7" s="237">
        <v>0.16</v>
      </c>
      <c r="V7" s="237">
        <v>0.14000000000000001</v>
      </c>
      <c r="W7" s="237">
        <v>0.13</v>
      </c>
      <c r="X7" s="237">
        <v>0.12</v>
      </c>
      <c r="Y7" s="237">
        <v>0.11</v>
      </c>
      <c r="Z7" s="237">
        <v>0.1</v>
      </c>
      <c r="AA7" s="237">
        <v>0.1</v>
      </c>
      <c r="AB7" s="237">
        <v>0.1</v>
      </c>
      <c r="AC7" s="237">
        <v>0.09</v>
      </c>
      <c r="AD7" s="237">
        <v>0.08</v>
      </c>
      <c r="AF7" s="236" t="s">
        <v>119</v>
      </c>
      <c r="AG7" s="237">
        <v>0.3</v>
      </c>
      <c r="AH7" s="237">
        <v>0.4</v>
      </c>
      <c r="AI7" s="237">
        <v>0.33</v>
      </c>
      <c r="AJ7" s="237">
        <v>0.31</v>
      </c>
      <c r="AK7" s="237">
        <v>0.3</v>
      </c>
      <c r="AL7" s="237">
        <v>0.28999999999999998</v>
      </c>
      <c r="AM7" s="237">
        <v>0.28999999999999998</v>
      </c>
      <c r="AN7" s="237">
        <v>0.28999999999999998</v>
      </c>
      <c r="AO7" s="237">
        <v>0.28000000000000003</v>
      </c>
      <c r="AP7" s="237">
        <v>0.27</v>
      </c>
      <c r="AQ7" s="237">
        <v>0.27</v>
      </c>
      <c r="AR7" s="237">
        <v>0.26</v>
      </c>
      <c r="AS7" s="237">
        <v>0.26</v>
      </c>
    </row>
    <row r="8" spans="1:45" ht="14.5" x14ac:dyDescent="0.35">
      <c r="A8" s="15">
        <v>1</v>
      </c>
      <c r="B8" s="236" t="s">
        <v>240</v>
      </c>
      <c r="C8" s="237">
        <v>0.16</v>
      </c>
      <c r="D8" s="237">
        <v>0.41</v>
      </c>
      <c r="E8" s="237">
        <v>0.2</v>
      </c>
      <c r="F8" s="237">
        <v>0.18</v>
      </c>
      <c r="G8" s="237">
        <v>0.12</v>
      </c>
      <c r="H8" s="237">
        <v>0.08</v>
      </c>
      <c r="I8" s="237">
        <v>0.09</v>
      </c>
      <c r="J8" s="237">
        <v>0.09</v>
      </c>
      <c r="K8" s="237">
        <v>0.05</v>
      </c>
      <c r="L8" s="237">
        <v>7.0000000000000007E-2</v>
      </c>
      <c r="M8" s="237">
        <v>0.03</v>
      </c>
      <c r="N8" s="237">
        <v>0.08</v>
      </c>
      <c r="O8" s="237">
        <v>0.03</v>
      </c>
      <c r="Q8" s="236" t="s">
        <v>240</v>
      </c>
      <c r="R8" s="237">
        <v>0.03</v>
      </c>
      <c r="S8" s="237">
        <v>0.09</v>
      </c>
      <c r="T8" s="237">
        <v>0.04</v>
      </c>
      <c r="U8" s="237">
        <v>0.03</v>
      </c>
      <c r="V8" s="237">
        <v>0.03</v>
      </c>
      <c r="W8" s="237">
        <v>0.01</v>
      </c>
      <c r="X8" s="237">
        <v>0.02</v>
      </c>
      <c r="Y8" s="237">
        <v>0.01</v>
      </c>
      <c r="Z8" s="237">
        <v>0.01</v>
      </c>
      <c r="AA8" s="237">
        <v>0.02</v>
      </c>
      <c r="AB8" s="237">
        <v>0.01</v>
      </c>
      <c r="AC8" s="237">
        <v>0.01</v>
      </c>
      <c r="AD8" s="237">
        <v>0.01</v>
      </c>
      <c r="AF8" s="236" t="s">
        <v>240</v>
      </c>
      <c r="AG8" s="237">
        <v>0.22</v>
      </c>
      <c r="AH8" s="237">
        <v>0.28000000000000003</v>
      </c>
      <c r="AI8" s="237">
        <v>0.23</v>
      </c>
      <c r="AJ8" s="237">
        <v>0.22</v>
      </c>
      <c r="AK8" s="237">
        <v>0.21</v>
      </c>
      <c r="AL8" s="237">
        <v>0.22</v>
      </c>
      <c r="AM8" s="237">
        <v>0.22</v>
      </c>
      <c r="AN8" s="237">
        <v>0.22</v>
      </c>
      <c r="AO8" s="237">
        <v>0.21</v>
      </c>
      <c r="AP8" s="237">
        <v>0.17</v>
      </c>
      <c r="AQ8" s="237">
        <v>0.21</v>
      </c>
      <c r="AR8" s="237">
        <v>0.19</v>
      </c>
      <c r="AS8" s="237">
        <v>0.2</v>
      </c>
    </row>
    <row r="9" spans="1:45" ht="14.5" x14ac:dyDescent="0.35">
      <c r="A9" s="15">
        <v>6</v>
      </c>
      <c r="B9" s="236">
        <v>6</v>
      </c>
      <c r="C9" s="237">
        <v>0.3</v>
      </c>
      <c r="D9" s="237">
        <v>0.56000000000000005</v>
      </c>
      <c r="E9" s="237">
        <v>0.36</v>
      </c>
      <c r="F9" s="237">
        <v>0.32</v>
      </c>
      <c r="G9" s="237">
        <v>0.25</v>
      </c>
      <c r="H9" s="237">
        <v>0.22</v>
      </c>
      <c r="I9" s="237">
        <v>0.22</v>
      </c>
      <c r="J9" s="237">
        <v>0.2</v>
      </c>
      <c r="K9" s="237">
        <v>0.2</v>
      </c>
      <c r="L9" s="237">
        <v>0.14000000000000001</v>
      </c>
      <c r="M9" s="237">
        <v>0.17</v>
      </c>
      <c r="N9" s="237">
        <v>0.12</v>
      </c>
      <c r="O9" s="237">
        <v>0.11</v>
      </c>
      <c r="Q9" s="236">
        <v>6</v>
      </c>
      <c r="R9" s="237">
        <v>0.06</v>
      </c>
      <c r="S9" s="237">
        <v>0.18</v>
      </c>
      <c r="T9" s="237">
        <v>0.09</v>
      </c>
      <c r="U9" s="237">
        <v>7.0000000000000007E-2</v>
      </c>
      <c r="V9" s="237">
        <v>0.05</v>
      </c>
      <c r="W9" s="237">
        <v>0.04</v>
      </c>
      <c r="X9" s="237">
        <v>0.03</v>
      </c>
      <c r="Y9" s="237">
        <v>0.03</v>
      </c>
      <c r="Z9" s="237">
        <v>0.03</v>
      </c>
      <c r="AA9" s="237">
        <v>0.03</v>
      </c>
      <c r="AB9" s="237">
        <v>0.04</v>
      </c>
      <c r="AC9" s="237">
        <v>0.02</v>
      </c>
      <c r="AD9" s="237">
        <v>0.01</v>
      </c>
      <c r="AF9" s="236">
        <v>6</v>
      </c>
      <c r="AG9" s="237">
        <v>0.25</v>
      </c>
      <c r="AH9" s="237">
        <v>0.33</v>
      </c>
      <c r="AI9" s="237">
        <v>0.27</v>
      </c>
      <c r="AJ9" s="237">
        <v>0.26</v>
      </c>
      <c r="AK9" s="237">
        <v>0.23</v>
      </c>
      <c r="AL9" s="237">
        <v>0.22</v>
      </c>
      <c r="AM9" s="237">
        <v>0.24</v>
      </c>
      <c r="AN9" s="237">
        <v>0.24</v>
      </c>
      <c r="AO9" s="237">
        <v>0.23</v>
      </c>
      <c r="AP9" s="237">
        <v>0.2</v>
      </c>
      <c r="AQ9" s="237">
        <v>0.24</v>
      </c>
      <c r="AR9" s="237">
        <v>0.23</v>
      </c>
      <c r="AS9" s="237">
        <v>0.22</v>
      </c>
    </row>
    <row r="10" spans="1:45" ht="14.5" x14ac:dyDescent="0.35">
      <c r="A10" s="15">
        <v>6.5</v>
      </c>
      <c r="B10" s="236">
        <v>6.5</v>
      </c>
      <c r="C10" s="237">
        <v>0.41</v>
      </c>
      <c r="D10" s="237">
        <v>0.7</v>
      </c>
      <c r="E10" s="237">
        <v>0.53</v>
      </c>
      <c r="F10" s="237">
        <v>0.47</v>
      </c>
      <c r="G10" s="237">
        <v>0.37</v>
      </c>
      <c r="H10" s="237">
        <v>0.34</v>
      </c>
      <c r="I10" s="237">
        <v>0.31</v>
      </c>
      <c r="J10" s="237">
        <v>0.24</v>
      </c>
      <c r="K10" s="237">
        <v>0.33</v>
      </c>
      <c r="L10" s="237">
        <v>0.27</v>
      </c>
      <c r="M10" s="237">
        <v>0.24</v>
      </c>
      <c r="N10" s="237">
        <v>0.24</v>
      </c>
      <c r="O10" s="237">
        <v>0.15</v>
      </c>
      <c r="Q10" s="236">
        <v>6.5</v>
      </c>
      <c r="R10" s="237">
        <v>0.1</v>
      </c>
      <c r="S10" s="237">
        <v>0.25</v>
      </c>
      <c r="T10" s="237">
        <v>0.16</v>
      </c>
      <c r="U10" s="237">
        <v>0.1</v>
      </c>
      <c r="V10" s="237">
        <v>0.1</v>
      </c>
      <c r="W10" s="237">
        <v>0.09</v>
      </c>
      <c r="X10" s="237">
        <v>7.0000000000000007E-2</v>
      </c>
      <c r="Y10" s="237">
        <v>0.08</v>
      </c>
      <c r="Z10" s="237">
        <v>0.06</v>
      </c>
      <c r="AA10" s="237">
        <v>0.05</v>
      </c>
      <c r="AB10" s="237">
        <v>0.04</v>
      </c>
      <c r="AC10" s="237">
        <v>0.05</v>
      </c>
      <c r="AD10" s="237">
        <v>0.04</v>
      </c>
      <c r="AF10" s="236">
        <v>6.5</v>
      </c>
      <c r="AG10" s="237">
        <v>0.27</v>
      </c>
      <c r="AH10" s="237">
        <v>0.37</v>
      </c>
      <c r="AI10" s="237">
        <v>0.3</v>
      </c>
      <c r="AJ10" s="237">
        <v>0.28000000000000003</v>
      </c>
      <c r="AK10" s="237">
        <v>0.26</v>
      </c>
      <c r="AL10" s="237">
        <v>0.27</v>
      </c>
      <c r="AM10" s="237">
        <v>0.25</v>
      </c>
      <c r="AN10" s="237">
        <v>0.25</v>
      </c>
      <c r="AO10" s="237">
        <v>0.24</v>
      </c>
      <c r="AP10" s="237">
        <v>0.25</v>
      </c>
      <c r="AQ10" s="237">
        <v>0.25</v>
      </c>
      <c r="AR10" s="237">
        <v>0.19</v>
      </c>
      <c r="AS10" s="237">
        <v>0.24</v>
      </c>
    </row>
    <row r="11" spans="1:45" ht="14.5" x14ac:dyDescent="0.35">
      <c r="A11" s="15">
        <v>7</v>
      </c>
      <c r="B11" s="236">
        <v>7</v>
      </c>
      <c r="C11" s="237">
        <v>0.45</v>
      </c>
      <c r="D11" s="237">
        <v>0.71</v>
      </c>
      <c r="E11" s="237">
        <v>0.53</v>
      </c>
      <c r="F11" s="237">
        <v>0.52</v>
      </c>
      <c r="G11" s="237">
        <v>0.43</v>
      </c>
      <c r="H11" s="237">
        <v>0.38</v>
      </c>
      <c r="I11" s="237">
        <v>0.37</v>
      </c>
      <c r="J11" s="237">
        <v>0.41</v>
      </c>
      <c r="K11" s="237">
        <v>0.3</v>
      </c>
      <c r="L11" s="237">
        <v>0.34</v>
      </c>
      <c r="M11" s="237">
        <v>0.31</v>
      </c>
      <c r="N11" s="237">
        <v>0.23</v>
      </c>
      <c r="O11" s="237">
        <v>0.14000000000000001</v>
      </c>
      <c r="Q11" s="236">
        <v>7</v>
      </c>
      <c r="R11" s="237">
        <v>0.13</v>
      </c>
      <c r="S11" s="237">
        <v>0.33</v>
      </c>
      <c r="T11" s="237">
        <v>0.19</v>
      </c>
      <c r="U11" s="237">
        <v>0.17</v>
      </c>
      <c r="V11" s="237">
        <v>0.13</v>
      </c>
      <c r="W11" s="237">
        <v>0.11</v>
      </c>
      <c r="X11" s="237">
        <v>0.1</v>
      </c>
      <c r="Y11" s="237">
        <v>0.08</v>
      </c>
      <c r="Z11" s="237">
        <v>0.08</v>
      </c>
      <c r="AA11" s="237">
        <v>7.0000000000000007E-2</v>
      </c>
      <c r="AB11" s="237">
        <v>0.06</v>
      </c>
      <c r="AC11" s="237">
        <v>7.0000000000000007E-2</v>
      </c>
      <c r="AD11" s="237">
        <v>0.04</v>
      </c>
      <c r="AF11" s="236">
        <v>7</v>
      </c>
      <c r="AG11" s="237">
        <v>0.28999999999999998</v>
      </c>
      <c r="AH11" s="237">
        <v>0.4</v>
      </c>
      <c r="AI11" s="237">
        <v>0.33</v>
      </c>
      <c r="AJ11" s="237">
        <v>0.31</v>
      </c>
      <c r="AK11" s="237">
        <v>0.28999999999999998</v>
      </c>
      <c r="AL11" s="237">
        <v>0.28000000000000003</v>
      </c>
      <c r="AM11" s="237">
        <v>0.28000000000000003</v>
      </c>
      <c r="AN11" s="237">
        <v>0.27</v>
      </c>
      <c r="AO11" s="237">
        <v>0.25</v>
      </c>
      <c r="AP11" s="237">
        <v>0.26</v>
      </c>
      <c r="AQ11" s="237">
        <v>0.24</v>
      </c>
      <c r="AR11" s="237">
        <v>0.24</v>
      </c>
      <c r="AS11" s="237">
        <v>0.24</v>
      </c>
    </row>
    <row r="12" spans="1:45" ht="14.5" x14ac:dyDescent="0.35">
      <c r="A12" s="15">
        <f t="shared" ref="A12:A19" si="2">B12</f>
        <v>7.25</v>
      </c>
      <c r="B12" s="236">
        <v>7.25</v>
      </c>
      <c r="C12" s="237">
        <v>0.47</v>
      </c>
      <c r="D12" s="237">
        <v>0.77</v>
      </c>
      <c r="E12" s="237">
        <v>0.54</v>
      </c>
      <c r="F12" s="237">
        <v>0.49</v>
      </c>
      <c r="G12" s="237">
        <v>0.53</v>
      </c>
      <c r="H12" s="237">
        <v>0.43</v>
      </c>
      <c r="I12" s="237">
        <v>0.43</v>
      </c>
      <c r="J12" s="237">
        <v>0.38</v>
      </c>
      <c r="K12" s="237">
        <v>0.33</v>
      </c>
      <c r="L12" s="237">
        <v>0.28000000000000003</v>
      </c>
      <c r="M12" s="237">
        <v>0.36</v>
      </c>
      <c r="N12" s="237">
        <v>0.28000000000000003</v>
      </c>
      <c r="O12" s="237">
        <v>0.22</v>
      </c>
      <c r="Q12" s="236">
        <v>7.25</v>
      </c>
      <c r="R12" s="237">
        <v>0.14000000000000001</v>
      </c>
      <c r="S12" s="237">
        <v>0.35</v>
      </c>
      <c r="T12" s="237">
        <v>0.21</v>
      </c>
      <c r="U12" s="237">
        <v>0.16</v>
      </c>
      <c r="V12" s="237">
        <v>0.13</v>
      </c>
      <c r="W12" s="237">
        <v>0.11</v>
      </c>
      <c r="X12" s="237">
        <v>0.13</v>
      </c>
      <c r="Y12" s="237">
        <v>0.1</v>
      </c>
      <c r="Z12" s="237">
        <v>0.09</v>
      </c>
      <c r="AA12" s="237">
        <v>0.08</v>
      </c>
      <c r="AB12" s="237">
        <v>0.09</v>
      </c>
      <c r="AC12" s="237">
        <v>0.05</v>
      </c>
      <c r="AD12" s="237">
        <v>0.06</v>
      </c>
      <c r="AF12" s="236">
        <v>7.25</v>
      </c>
      <c r="AG12" s="237">
        <v>0.28999999999999998</v>
      </c>
      <c r="AH12" s="237">
        <v>0.39</v>
      </c>
      <c r="AI12" s="237">
        <v>0.32</v>
      </c>
      <c r="AJ12" s="237">
        <v>0.3</v>
      </c>
      <c r="AK12" s="237">
        <v>0.28999999999999998</v>
      </c>
      <c r="AL12" s="237">
        <v>0.28000000000000003</v>
      </c>
      <c r="AM12" s="237">
        <v>0.27</v>
      </c>
      <c r="AN12" s="237">
        <v>0.25</v>
      </c>
      <c r="AO12" s="237">
        <v>0.27</v>
      </c>
      <c r="AP12" s="237">
        <v>0.27</v>
      </c>
      <c r="AQ12" s="237">
        <v>0.27</v>
      </c>
      <c r="AR12" s="237">
        <v>0.26</v>
      </c>
      <c r="AS12" s="237">
        <v>0.25</v>
      </c>
    </row>
    <row r="13" spans="1:45" ht="14.5" x14ac:dyDescent="0.35">
      <c r="A13" s="15">
        <f t="shared" si="2"/>
        <v>7.5</v>
      </c>
      <c r="B13" s="236">
        <v>7.5</v>
      </c>
      <c r="C13" s="237">
        <v>0.5</v>
      </c>
      <c r="D13" s="237">
        <v>0.77</v>
      </c>
      <c r="E13" s="237">
        <v>0.61</v>
      </c>
      <c r="F13" s="237">
        <v>0.55000000000000004</v>
      </c>
      <c r="G13" s="237">
        <v>0.52</v>
      </c>
      <c r="H13" s="237">
        <v>0.47</v>
      </c>
      <c r="I13" s="237">
        <v>0.45</v>
      </c>
      <c r="J13" s="237">
        <v>0.43</v>
      </c>
      <c r="K13" s="237">
        <v>0.4</v>
      </c>
      <c r="L13" s="237">
        <v>0.32</v>
      </c>
      <c r="M13" s="237">
        <v>0.38</v>
      </c>
      <c r="N13" s="237">
        <v>0.33</v>
      </c>
      <c r="O13" s="237">
        <v>0.28000000000000003</v>
      </c>
      <c r="Q13" s="236">
        <v>7.5</v>
      </c>
      <c r="R13" s="237">
        <v>0.15</v>
      </c>
      <c r="S13" s="237">
        <v>0.36</v>
      </c>
      <c r="T13" s="237">
        <v>0.22</v>
      </c>
      <c r="U13" s="237">
        <v>0.18</v>
      </c>
      <c r="V13" s="237">
        <v>0.15</v>
      </c>
      <c r="W13" s="237">
        <v>0.13</v>
      </c>
      <c r="X13" s="237">
        <v>0.13</v>
      </c>
      <c r="Y13" s="237">
        <v>0.1</v>
      </c>
      <c r="Z13" s="237">
        <v>0.1</v>
      </c>
      <c r="AA13" s="237">
        <v>0.1</v>
      </c>
      <c r="AB13" s="237">
        <v>0.09</v>
      </c>
      <c r="AC13" s="237">
        <v>0.08</v>
      </c>
      <c r="AD13" s="237">
        <v>0.05</v>
      </c>
      <c r="AF13" s="236">
        <v>7.5</v>
      </c>
      <c r="AG13" s="237">
        <v>0.3</v>
      </c>
      <c r="AH13" s="237">
        <v>0.43</v>
      </c>
      <c r="AI13" s="237">
        <v>0.34</v>
      </c>
      <c r="AJ13" s="237">
        <v>0.31</v>
      </c>
      <c r="AK13" s="237">
        <v>0.3</v>
      </c>
      <c r="AL13" s="237">
        <v>0.28999999999999998</v>
      </c>
      <c r="AM13" s="237">
        <v>0.28999999999999998</v>
      </c>
      <c r="AN13" s="237">
        <v>0.28000000000000003</v>
      </c>
      <c r="AO13" s="237">
        <v>0.27</v>
      </c>
      <c r="AP13" s="237">
        <v>0.27</v>
      </c>
      <c r="AQ13" s="237">
        <v>0.26</v>
      </c>
      <c r="AR13" s="237">
        <v>0.26</v>
      </c>
      <c r="AS13" s="237">
        <v>0.26</v>
      </c>
    </row>
    <row r="14" spans="1:45" ht="14.5" x14ac:dyDescent="0.35">
      <c r="A14" s="15">
        <f t="shared" si="2"/>
        <v>8</v>
      </c>
      <c r="B14" s="236">
        <v>8</v>
      </c>
      <c r="C14" s="237">
        <v>0.51</v>
      </c>
      <c r="D14" s="237">
        <v>0.79</v>
      </c>
      <c r="E14" s="237">
        <v>0.65</v>
      </c>
      <c r="F14" s="237">
        <v>0.57999999999999996</v>
      </c>
      <c r="G14" s="237">
        <v>0.52</v>
      </c>
      <c r="H14" s="237">
        <v>0.48</v>
      </c>
      <c r="I14" s="237">
        <v>0.45</v>
      </c>
      <c r="J14" s="237">
        <v>0.43</v>
      </c>
      <c r="K14" s="237">
        <v>0.44</v>
      </c>
      <c r="L14" s="237">
        <v>0.4</v>
      </c>
      <c r="M14" s="237">
        <v>0.35</v>
      </c>
      <c r="N14" s="237">
        <v>0.36</v>
      </c>
      <c r="O14" s="237">
        <v>0.31</v>
      </c>
      <c r="Q14" s="236">
        <v>8</v>
      </c>
      <c r="R14" s="237">
        <v>0.15</v>
      </c>
      <c r="S14" s="237">
        <v>0.39</v>
      </c>
      <c r="T14" s="237">
        <v>0.24</v>
      </c>
      <c r="U14" s="237">
        <v>0.19</v>
      </c>
      <c r="V14" s="237">
        <v>0.16</v>
      </c>
      <c r="W14" s="237">
        <v>0.14000000000000001</v>
      </c>
      <c r="X14" s="237">
        <v>0.13</v>
      </c>
      <c r="Y14" s="237">
        <v>0.12</v>
      </c>
      <c r="Z14" s="237">
        <v>0.12</v>
      </c>
      <c r="AA14" s="237">
        <v>0.1</v>
      </c>
      <c r="AB14" s="237">
        <v>0.08</v>
      </c>
      <c r="AC14" s="237">
        <v>7.0000000000000007E-2</v>
      </c>
      <c r="AD14" s="237">
        <v>7.0000000000000007E-2</v>
      </c>
      <c r="AF14" s="236">
        <v>8</v>
      </c>
      <c r="AG14" s="237">
        <v>0.31</v>
      </c>
      <c r="AH14" s="237">
        <v>0.42</v>
      </c>
      <c r="AI14" s="237">
        <v>0.35</v>
      </c>
      <c r="AJ14" s="237">
        <v>0.33</v>
      </c>
      <c r="AK14" s="237">
        <v>0.31</v>
      </c>
      <c r="AL14" s="237">
        <v>0.31</v>
      </c>
      <c r="AM14" s="237">
        <v>0.28000000000000003</v>
      </c>
      <c r="AN14" s="237">
        <v>0.28000000000000003</v>
      </c>
      <c r="AO14" s="237">
        <v>0.3</v>
      </c>
      <c r="AP14" s="237">
        <v>0.28000000000000003</v>
      </c>
      <c r="AQ14" s="237">
        <v>0.27</v>
      </c>
      <c r="AR14" s="237">
        <v>0.26</v>
      </c>
      <c r="AS14" s="237">
        <v>0.26</v>
      </c>
    </row>
    <row r="15" spans="1:45" ht="14.5" x14ac:dyDescent="0.35">
      <c r="A15" s="15">
        <f t="shared" si="2"/>
        <v>8.5</v>
      </c>
      <c r="B15" s="236">
        <v>8.5</v>
      </c>
      <c r="C15" s="237">
        <v>0.53</v>
      </c>
      <c r="D15" s="237">
        <v>0.78</v>
      </c>
      <c r="E15" s="237">
        <v>0.67</v>
      </c>
      <c r="F15" s="237">
        <v>0.63</v>
      </c>
      <c r="G15" s="237">
        <v>0.56999999999999995</v>
      </c>
      <c r="H15" s="237">
        <v>0.51</v>
      </c>
      <c r="I15" s="237">
        <v>0.48</v>
      </c>
      <c r="J15" s="237">
        <v>0.46</v>
      </c>
      <c r="K15" s="237">
        <v>0.47</v>
      </c>
      <c r="L15" s="237">
        <v>0.39</v>
      </c>
      <c r="M15" s="237">
        <v>0.38</v>
      </c>
      <c r="N15" s="237">
        <v>0.36</v>
      </c>
      <c r="O15" s="237">
        <v>0.28000000000000003</v>
      </c>
      <c r="Q15" s="236">
        <v>8.5</v>
      </c>
      <c r="R15" s="237">
        <v>0.16</v>
      </c>
      <c r="S15" s="237">
        <v>0.41</v>
      </c>
      <c r="T15" s="237">
        <v>0.24</v>
      </c>
      <c r="U15" s="237">
        <v>0.22</v>
      </c>
      <c r="V15" s="237">
        <v>0.17</v>
      </c>
      <c r="W15" s="237">
        <v>0.16</v>
      </c>
      <c r="X15" s="237">
        <v>0.13</v>
      </c>
      <c r="Y15" s="237">
        <v>0.14000000000000001</v>
      </c>
      <c r="Z15" s="237">
        <v>0.1</v>
      </c>
      <c r="AA15" s="237">
        <v>0.08</v>
      </c>
      <c r="AB15" s="237">
        <v>0.1</v>
      </c>
      <c r="AC15" s="237">
        <v>0.08</v>
      </c>
      <c r="AD15" s="237">
        <v>7.0000000000000007E-2</v>
      </c>
      <c r="AF15" s="236">
        <v>8.5</v>
      </c>
      <c r="AG15" s="237">
        <v>0.31</v>
      </c>
      <c r="AH15" s="237">
        <v>0.43</v>
      </c>
      <c r="AI15" s="237">
        <v>0.38</v>
      </c>
      <c r="AJ15" s="237">
        <v>0.33</v>
      </c>
      <c r="AK15" s="237">
        <v>0.33</v>
      </c>
      <c r="AL15" s="237">
        <v>0.31</v>
      </c>
      <c r="AM15" s="237">
        <v>0.32</v>
      </c>
      <c r="AN15" s="237">
        <v>0.28999999999999998</v>
      </c>
      <c r="AO15" s="237">
        <v>0.26</v>
      </c>
      <c r="AP15" s="237">
        <v>0.26</v>
      </c>
      <c r="AQ15" s="237">
        <v>0.27</v>
      </c>
      <c r="AR15" s="237">
        <v>0.27</v>
      </c>
      <c r="AS15" s="237">
        <v>0.26</v>
      </c>
    </row>
    <row r="16" spans="1:45" ht="14.5" x14ac:dyDescent="0.35">
      <c r="A16" s="15">
        <f t="shared" si="2"/>
        <v>9</v>
      </c>
      <c r="B16" s="236">
        <v>9</v>
      </c>
      <c r="C16" s="237">
        <v>0.53</v>
      </c>
      <c r="D16" s="237">
        <v>0.82</v>
      </c>
      <c r="E16" s="237">
        <v>0.73</v>
      </c>
      <c r="F16" s="237">
        <v>0.62</v>
      </c>
      <c r="G16" s="237">
        <v>0.52</v>
      </c>
      <c r="H16" s="237">
        <v>0.53</v>
      </c>
      <c r="I16" s="237">
        <v>0.54</v>
      </c>
      <c r="J16" s="237">
        <v>0.47</v>
      </c>
      <c r="K16" s="237">
        <v>0.45</v>
      </c>
      <c r="L16" s="237">
        <v>0.45</v>
      </c>
      <c r="M16" s="237">
        <v>0.4</v>
      </c>
      <c r="N16" s="237">
        <v>0.37</v>
      </c>
      <c r="O16" s="237">
        <v>0.34</v>
      </c>
      <c r="Q16" s="236">
        <v>9</v>
      </c>
      <c r="R16" s="237">
        <v>0.16</v>
      </c>
      <c r="S16" s="237">
        <v>0.42</v>
      </c>
      <c r="T16" s="237">
        <v>0.26</v>
      </c>
      <c r="U16" s="237">
        <v>0.21</v>
      </c>
      <c r="V16" s="237">
        <v>0.19</v>
      </c>
      <c r="W16" s="237">
        <v>0.18</v>
      </c>
      <c r="X16" s="237">
        <v>0.14000000000000001</v>
      </c>
      <c r="Y16" s="237">
        <v>0.14000000000000001</v>
      </c>
      <c r="Z16" s="237">
        <v>0.11</v>
      </c>
      <c r="AA16" s="237">
        <v>0.13</v>
      </c>
      <c r="AB16" s="237">
        <v>0.12</v>
      </c>
      <c r="AC16" s="237">
        <v>0.09</v>
      </c>
      <c r="AD16" s="237">
        <v>7.0000000000000007E-2</v>
      </c>
      <c r="AF16" s="236">
        <v>9</v>
      </c>
      <c r="AG16" s="237">
        <v>0.31</v>
      </c>
      <c r="AH16" s="237">
        <v>0.47</v>
      </c>
      <c r="AI16" s="237">
        <v>0.36</v>
      </c>
      <c r="AJ16" s="237">
        <v>0.34</v>
      </c>
      <c r="AK16" s="237">
        <v>0.31</v>
      </c>
      <c r="AL16" s="237">
        <v>0.31</v>
      </c>
      <c r="AM16" s="237">
        <v>0.3</v>
      </c>
      <c r="AN16" s="237">
        <v>0.31</v>
      </c>
      <c r="AO16" s="237">
        <v>0.27</v>
      </c>
      <c r="AP16" s="237">
        <v>0.28999999999999998</v>
      </c>
      <c r="AQ16" s="237">
        <v>0.28000000000000003</v>
      </c>
      <c r="AR16" s="237">
        <v>0.26</v>
      </c>
      <c r="AS16" s="237">
        <v>0.27</v>
      </c>
    </row>
    <row r="17" spans="1:45" ht="14.5" x14ac:dyDescent="0.35">
      <c r="A17" s="15">
        <f t="shared" si="2"/>
        <v>9.5</v>
      </c>
      <c r="B17" s="236">
        <v>9.5</v>
      </c>
      <c r="C17" s="237">
        <v>0.55000000000000004</v>
      </c>
      <c r="D17" s="237">
        <v>0.83</v>
      </c>
      <c r="E17" s="237">
        <v>0.7</v>
      </c>
      <c r="F17" s="237">
        <v>0.65</v>
      </c>
      <c r="G17" s="237">
        <v>0.62</v>
      </c>
      <c r="H17" s="237">
        <v>0.55000000000000004</v>
      </c>
      <c r="I17" s="237">
        <v>0.54</v>
      </c>
      <c r="J17" s="237">
        <v>0.5</v>
      </c>
      <c r="K17" s="237">
        <v>0.48</v>
      </c>
      <c r="L17" s="237">
        <v>0.51</v>
      </c>
      <c r="M17" s="237">
        <v>0.41</v>
      </c>
      <c r="N17" s="237">
        <v>0.42</v>
      </c>
      <c r="O17" s="237">
        <v>0.31</v>
      </c>
      <c r="Q17" s="236">
        <v>9.5</v>
      </c>
      <c r="R17" s="237">
        <v>0.17</v>
      </c>
      <c r="S17" s="237">
        <v>0.45</v>
      </c>
      <c r="T17" s="237">
        <v>0.27</v>
      </c>
      <c r="U17" s="237">
        <v>0.25</v>
      </c>
      <c r="V17" s="237">
        <v>0.19</v>
      </c>
      <c r="W17" s="237">
        <v>0.19</v>
      </c>
      <c r="X17" s="237">
        <v>0.16</v>
      </c>
      <c r="Y17" s="237">
        <v>0.13</v>
      </c>
      <c r="Z17" s="237">
        <v>0.13</v>
      </c>
      <c r="AA17" s="237">
        <v>0.13</v>
      </c>
      <c r="AB17" s="237">
        <v>0.11</v>
      </c>
      <c r="AC17" s="237">
        <v>0.1</v>
      </c>
      <c r="AD17" s="237">
        <v>0.1</v>
      </c>
      <c r="AF17" s="236">
        <v>9.5</v>
      </c>
      <c r="AG17" s="237">
        <v>0.31</v>
      </c>
      <c r="AH17" s="237">
        <v>0.46</v>
      </c>
      <c r="AI17" s="237">
        <v>0.37</v>
      </c>
      <c r="AJ17" s="237">
        <v>0.34</v>
      </c>
      <c r="AK17" s="237">
        <v>0.32</v>
      </c>
      <c r="AL17" s="237">
        <v>0.31</v>
      </c>
      <c r="AM17" s="237">
        <v>0.3</v>
      </c>
      <c r="AN17" s="237">
        <v>0.32</v>
      </c>
      <c r="AO17" s="237">
        <v>0.3</v>
      </c>
      <c r="AP17" s="237">
        <v>0.28999999999999998</v>
      </c>
      <c r="AQ17" s="237">
        <v>0.28999999999999998</v>
      </c>
      <c r="AR17" s="237">
        <v>0.25</v>
      </c>
      <c r="AS17" s="237">
        <v>0.27</v>
      </c>
    </row>
    <row r="18" spans="1:45" ht="14.5" x14ac:dyDescent="0.35">
      <c r="A18" s="15">
        <f t="shared" si="2"/>
        <v>10.25</v>
      </c>
      <c r="B18" s="236">
        <v>10.25</v>
      </c>
      <c r="C18" s="237">
        <v>0.59</v>
      </c>
      <c r="D18" s="237">
        <v>0.84</v>
      </c>
      <c r="E18" s="237">
        <v>0.76</v>
      </c>
      <c r="F18" s="237">
        <v>0.69</v>
      </c>
      <c r="G18" s="237">
        <v>0.65</v>
      </c>
      <c r="H18" s="237">
        <v>0.62</v>
      </c>
      <c r="I18" s="237">
        <v>0.59</v>
      </c>
      <c r="J18" s="237">
        <v>0.57999999999999996</v>
      </c>
      <c r="K18" s="237">
        <v>0.56000000000000005</v>
      </c>
      <c r="L18" s="237">
        <v>0.51</v>
      </c>
      <c r="M18" s="237">
        <v>0.53</v>
      </c>
      <c r="N18" s="237">
        <v>0.46</v>
      </c>
      <c r="O18" s="237">
        <v>0.4</v>
      </c>
      <c r="Q18" s="236">
        <v>10.25</v>
      </c>
      <c r="R18" s="237">
        <v>0.2</v>
      </c>
      <c r="S18" s="237">
        <v>0.5</v>
      </c>
      <c r="T18" s="237">
        <v>0.37</v>
      </c>
      <c r="U18" s="237">
        <v>0.28000000000000003</v>
      </c>
      <c r="V18" s="237">
        <v>0.24</v>
      </c>
      <c r="W18" s="237">
        <v>0.22</v>
      </c>
      <c r="X18" s="237">
        <v>0.2</v>
      </c>
      <c r="Y18" s="237">
        <v>0.19</v>
      </c>
      <c r="Z18" s="237">
        <v>0.16</v>
      </c>
      <c r="AA18" s="237">
        <v>0.17</v>
      </c>
      <c r="AB18" s="237">
        <v>0.15</v>
      </c>
      <c r="AC18" s="237">
        <v>0.15</v>
      </c>
      <c r="AD18" s="237">
        <v>0.1</v>
      </c>
      <c r="AF18" s="236">
        <v>10.25</v>
      </c>
      <c r="AG18" s="237">
        <v>0.33</v>
      </c>
      <c r="AH18" s="237">
        <v>0.48</v>
      </c>
      <c r="AI18" s="237">
        <v>0.4</v>
      </c>
      <c r="AJ18" s="237">
        <v>0.36</v>
      </c>
      <c r="AK18" s="237">
        <v>0.36</v>
      </c>
      <c r="AL18" s="237">
        <v>0.33</v>
      </c>
      <c r="AM18" s="237">
        <v>0.34</v>
      </c>
      <c r="AN18" s="237">
        <v>0.32</v>
      </c>
      <c r="AO18" s="237">
        <v>0.31</v>
      </c>
      <c r="AP18" s="237">
        <v>0.3</v>
      </c>
      <c r="AQ18" s="237">
        <v>0.31</v>
      </c>
      <c r="AR18" s="237">
        <v>0.31</v>
      </c>
      <c r="AS18" s="237">
        <v>0.28000000000000003</v>
      </c>
    </row>
    <row r="19" spans="1:45" ht="14.5" x14ac:dyDescent="0.35">
      <c r="A19" s="15">
        <f t="shared" si="2"/>
        <v>11.5</v>
      </c>
      <c r="B19" s="236">
        <v>11.5</v>
      </c>
      <c r="C19" s="237">
        <v>0.65</v>
      </c>
      <c r="D19" s="237">
        <v>0.87</v>
      </c>
      <c r="E19" s="237">
        <v>0.8</v>
      </c>
      <c r="F19" s="237">
        <v>0.75</v>
      </c>
      <c r="G19" s="237">
        <v>0.7</v>
      </c>
      <c r="H19" s="237">
        <v>0.67</v>
      </c>
      <c r="I19" s="237">
        <v>0.65</v>
      </c>
      <c r="J19" s="237">
        <v>0.63</v>
      </c>
      <c r="K19" s="237">
        <v>0.6</v>
      </c>
      <c r="L19" s="237">
        <v>0.57999999999999996</v>
      </c>
      <c r="M19" s="237">
        <v>0.59</v>
      </c>
      <c r="N19" s="237">
        <v>0.53</v>
      </c>
      <c r="O19" s="237">
        <v>0.5</v>
      </c>
      <c r="Q19" s="236">
        <v>11.5</v>
      </c>
      <c r="R19" s="237">
        <v>0.23</v>
      </c>
      <c r="S19" s="237">
        <v>0.53</v>
      </c>
      <c r="T19" s="237">
        <v>0.36</v>
      </c>
      <c r="U19" s="237">
        <v>0.31</v>
      </c>
      <c r="V19" s="237">
        <v>0.27</v>
      </c>
      <c r="W19" s="237">
        <v>0.24</v>
      </c>
      <c r="X19" s="237">
        <v>0.24</v>
      </c>
      <c r="Y19" s="237">
        <v>0.19</v>
      </c>
      <c r="Z19" s="237">
        <v>0.21</v>
      </c>
      <c r="AA19" s="237">
        <v>0.19</v>
      </c>
      <c r="AB19" s="237">
        <v>0.17</v>
      </c>
      <c r="AC19" s="237">
        <v>0.15</v>
      </c>
      <c r="AD19" s="237">
        <v>0.14000000000000001</v>
      </c>
      <c r="AF19" s="236">
        <v>11.5</v>
      </c>
      <c r="AG19" s="237">
        <v>0.35</v>
      </c>
      <c r="AH19" s="237">
        <v>0.47</v>
      </c>
      <c r="AI19" s="237">
        <v>0.43</v>
      </c>
      <c r="AJ19" s="237">
        <v>0.38</v>
      </c>
      <c r="AK19" s="237">
        <v>0.39</v>
      </c>
      <c r="AL19" s="237">
        <v>0.35</v>
      </c>
      <c r="AM19" s="237">
        <v>0.36</v>
      </c>
      <c r="AN19" s="237">
        <v>0.35</v>
      </c>
      <c r="AO19" s="237">
        <v>0.33</v>
      </c>
      <c r="AP19" s="237">
        <v>0.32</v>
      </c>
      <c r="AQ19" s="237">
        <v>0.32</v>
      </c>
      <c r="AR19" s="237">
        <v>0.31</v>
      </c>
      <c r="AS19" s="237">
        <v>0.31</v>
      </c>
    </row>
    <row r="20" spans="1:45" ht="65" x14ac:dyDescent="0.35">
      <c r="B20" s="238"/>
      <c r="Q20" s="238" t="s">
        <v>365</v>
      </c>
      <c r="AF20" s="238" t="s">
        <v>366</v>
      </c>
    </row>
    <row r="21" spans="1:45" ht="15.75" customHeight="1" x14ac:dyDescent="0.35"/>
    <row r="22" spans="1:45" ht="15.75" customHeight="1" x14ac:dyDescent="0.35"/>
    <row r="23" spans="1:45" ht="15.75" customHeight="1" x14ac:dyDescent="0.35"/>
    <row r="24" spans="1:45" ht="15.75" customHeight="1" x14ac:dyDescent="0.35"/>
    <row r="25" spans="1:45" ht="15.75" customHeight="1" x14ac:dyDescent="0.35"/>
    <row r="26" spans="1:45" ht="15.75" customHeight="1" x14ac:dyDescent="0.35"/>
    <row r="27" spans="1:45" ht="15.75" customHeight="1" x14ac:dyDescent="0.35"/>
    <row r="28" spans="1:45" ht="15.75" customHeight="1" x14ac:dyDescent="0.35"/>
    <row r="29" spans="1:45" ht="15.75" customHeight="1" x14ac:dyDescent="0.35"/>
    <row r="30" spans="1:45" ht="15.75" customHeight="1" x14ac:dyDescent="0.35"/>
    <row r="31" spans="1:45" ht="15.75" customHeight="1" x14ac:dyDescent="0.35"/>
    <row r="32" spans="1:4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simulator</vt:lpstr>
      <vt:lpstr>lkup_simul</vt:lpstr>
      <vt:lpstr>conv_Kstars</vt:lpstr>
      <vt:lpstr>dfk_pk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Vaninskaya</cp:lastModifiedBy>
  <dcterms:modified xsi:type="dcterms:W3CDTF">2023-11-07T18:35:56Z</dcterms:modified>
</cp:coreProperties>
</file>