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azprom-neft\dfs\Газпромнефть-Энергосервис\Подразделения\ПО Омск\Служба_РЗА\РЗА\25. План-отчет\2024\01-2024\ОНПЗ\"/>
    </mc:Choice>
  </mc:AlternateContent>
  <bookViews>
    <workbookView xWindow="0" yWindow="0" windowWidth="28770" windowHeight="11400"/>
  </bookViews>
  <sheets>
    <sheet name="Осмотры" sheetId="1" r:id="rId1"/>
  </sheets>
  <definedNames>
    <definedName name="_xlnm._FilterDatabase" localSheetId="0" hidden="1">Осмотры!$A$10:$R$38</definedName>
    <definedName name="_xlnm.Print_Titles" localSheetId="0">Осмотры!$10:$10</definedName>
    <definedName name="_xlnm.Print_Area" localSheetId="0">Осмотры!$A$1:$R$68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5" i="1" l="1"/>
  <c r="I45" i="1"/>
  <c r="A11" i="1" l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R67" i="1" l="1"/>
  <c r="R64" i="1"/>
  <c r="R61" i="1"/>
  <c r="R58" i="1"/>
  <c r="R55" i="1"/>
  <c r="R52" i="1"/>
  <c r="R49" i="1"/>
  <c r="R46" i="1"/>
  <c r="R43" i="1" l="1"/>
  <c r="J46" i="1"/>
  <c r="J43" i="1"/>
  <c r="T2" i="1" l="1"/>
  <c r="X51" i="1" l="1"/>
  <c r="Y51" i="1" s="1"/>
  <c r="X50" i="1"/>
  <c r="Y50" i="1" s="1"/>
  <c r="X48" i="1"/>
  <c r="Y48" i="1" s="1"/>
  <c r="X47" i="1"/>
  <c r="Y47" i="1" s="1"/>
  <c r="X45" i="1"/>
  <c r="Y45" i="1" s="1"/>
  <c r="X44" i="1"/>
  <c r="Y44" i="1" s="1"/>
  <c r="X42" i="1"/>
  <c r="Y42" i="1" s="1"/>
  <c r="X41" i="1"/>
  <c r="Y41" i="1" s="1"/>
  <c r="X40" i="1"/>
  <c r="X53" i="1" l="1"/>
  <c r="Q42" i="1"/>
  <c r="Q45" i="1" s="1"/>
  <c r="Q48" i="1" s="1"/>
  <c r="Q51" i="1" s="1"/>
  <c r="Q57" i="1" s="1"/>
  <c r="Q63" i="1" s="1"/>
  <c r="Q66" i="1" s="1"/>
  <c r="Y40" i="1"/>
  <c r="O47" i="1" l="1"/>
  <c r="L42" i="1"/>
  <c r="O50" i="1" l="1"/>
  <c r="L45" i="1"/>
  <c r="O46" i="1"/>
  <c r="O49" i="1" l="1"/>
  <c r="L48" i="1"/>
  <c r="O53" i="1" l="1"/>
  <c r="O52" i="1"/>
  <c r="L51" i="1"/>
  <c r="O55" i="1" l="1"/>
  <c r="O56" i="1"/>
  <c r="L54" i="1"/>
  <c r="O58" i="1" l="1"/>
  <c r="O59" i="1"/>
  <c r="L57" i="1"/>
  <c r="O61" i="1" l="1"/>
  <c r="O62" i="1"/>
  <c r="L60" i="1"/>
  <c r="O64" i="1" l="1"/>
  <c r="O65" i="1"/>
  <c r="L63" i="1"/>
  <c r="L66" i="1" l="1"/>
  <c r="O68" i="1"/>
  <c r="O67" i="1"/>
  <c r="A9" i="1" l="1"/>
  <c r="I42" i="1"/>
  <c r="I48" i="1" l="1"/>
  <c r="B48" i="1" l="1"/>
  <c r="H49" i="1"/>
  <c r="H50" i="1"/>
</calcChain>
</file>

<file path=xl/sharedStrings.xml><?xml version="1.0" encoding="utf-8"?>
<sst xmlns="http://schemas.openxmlformats.org/spreadsheetml/2006/main" count="367" uniqueCount="124">
  <si>
    <t>№ п.п.</t>
  </si>
  <si>
    <t>Заказчик</t>
  </si>
  <si>
    <t>Для ВПР</t>
  </si>
  <si>
    <t>Цех/служба</t>
  </si>
  <si>
    <t>Участок</t>
  </si>
  <si>
    <t>ФИО ответственного ГПН-ЭС</t>
  </si>
  <si>
    <t>Периодичность осмотра</t>
  </si>
  <si>
    <t>Дата выполнения</t>
  </si>
  <si>
    <t>№ наряда, распоряжения</t>
  </si>
  <si>
    <t>Ф.И.О. исполнителя</t>
  </si>
  <si>
    <t>Подпись исполнителя</t>
  </si>
  <si>
    <t>ОНПЗ</t>
  </si>
  <si>
    <t>ПЛАН-ОТЧЕТ</t>
  </si>
  <si>
    <t>Представители ООО "Газпромнефть-Энергосервис"</t>
  </si>
  <si>
    <t>(подпись, фамилия и инициалы)</t>
  </si>
  <si>
    <t>Представители АО "Газпромнефть-ОНПЗ"</t>
  </si>
  <si>
    <t>Головной объект</t>
  </si>
  <si>
    <t>Предмет осмотра</t>
  </si>
  <si>
    <t>Дата последнего осмотра</t>
  </si>
  <si>
    <t>Вид осмотра</t>
  </si>
  <si>
    <t>Веревкин А.М.</t>
  </si>
  <si>
    <t xml:space="preserve">Пистер А.А. </t>
  </si>
  <si>
    <t>Григан И.А.</t>
  </si>
  <si>
    <t>Чернышов М.С.</t>
  </si>
  <si>
    <t>Булкин Д.В.</t>
  </si>
  <si>
    <t>Рисс А.Н.</t>
  </si>
  <si>
    <t>Витман О.Р.</t>
  </si>
  <si>
    <t>Нарыгин В.А.</t>
  </si>
  <si>
    <t xml:space="preserve">Ионин В.А. </t>
  </si>
  <si>
    <t>Гл.сп.</t>
  </si>
  <si>
    <t>1 раз в 6 месяца</t>
  </si>
  <si>
    <t>РУ-6/0,4кВ</t>
  </si>
  <si>
    <t>ЦВК-6 (тит.8127)</t>
  </si>
  <si>
    <t>ТП-270</t>
  </si>
  <si>
    <t>Установка АВТ-10</t>
  </si>
  <si>
    <t>РУ-6/0,4 кВ</t>
  </si>
  <si>
    <t>СРЗА, ТМ и Д</t>
  </si>
  <si>
    <t>РЗА</t>
  </si>
  <si>
    <t xml:space="preserve">15… Оборудование РЗА </t>
  </si>
  <si>
    <t>ТОс</t>
  </si>
  <si>
    <t>Насосная пожаротушения  ТСБ-2</t>
  </si>
  <si>
    <t>ТП-162</t>
  </si>
  <si>
    <t>Насосная тит.1163/1164</t>
  </si>
  <si>
    <t>Насосная тит.1165Р</t>
  </si>
  <si>
    <t>Склад пенообразователя ТСБ-2</t>
  </si>
  <si>
    <t>ТП-146</t>
  </si>
  <si>
    <t>Бойлерная №3 КПА цеха №17</t>
  </si>
  <si>
    <t>ТП-131</t>
  </si>
  <si>
    <t xml:space="preserve">Бойлерная тит.3303 (КТ 1/1) </t>
  </si>
  <si>
    <t>ТП-236А</t>
  </si>
  <si>
    <t>Солнечная электростанция (планшет №30)</t>
  </si>
  <si>
    <t>БОС-2</t>
  </si>
  <si>
    <t>ТП-140</t>
  </si>
  <si>
    <t>ТП-170</t>
  </si>
  <si>
    <t xml:space="preserve">Установка алкилирования с блоком серной кислоты. 
Установка 25-12 </t>
  </si>
  <si>
    <t>ТП-115Б</t>
  </si>
  <si>
    <t>Установка КТ-1/1</t>
  </si>
  <si>
    <t xml:space="preserve">ЦВК-3 </t>
  </si>
  <si>
    <t xml:space="preserve">ТП-245 </t>
  </si>
  <si>
    <t>ЦВК-4</t>
  </si>
  <si>
    <t>ТП-116</t>
  </si>
  <si>
    <t>Объект (технологическая установка, ПС)</t>
  </si>
  <si>
    <t>Вид элктрооборудования (объект осмотра, обследования, проверки).</t>
  </si>
  <si>
    <t>_______________________________________________________</t>
  </si>
  <si>
    <t>________________________________________</t>
  </si>
  <si>
    <t>Итоговый</t>
  </si>
  <si>
    <t>01.08.2023 - 31.08.2023</t>
  </si>
  <si>
    <t>01.09.2023 - 30.09.2023</t>
  </si>
  <si>
    <t>01.10.2023 - 31.10.2023</t>
  </si>
  <si>
    <t>01.11.2023 - 30.11.2023</t>
  </si>
  <si>
    <t>01.12.2023 - 31.12.2023</t>
  </si>
  <si>
    <t>7Ao-2Cg(1</t>
  </si>
  <si>
    <t>ТП-248Б</t>
  </si>
  <si>
    <t>0Kx"5Lo(</t>
  </si>
  <si>
    <t>5Sm/7Qj.</t>
  </si>
  <si>
    <t>ТП-147</t>
  </si>
  <si>
    <t>ТП-148Б</t>
  </si>
  <si>
    <t>ТП-148В</t>
  </si>
  <si>
    <t>5Ej/2Ln-</t>
  </si>
  <si>
    <t>ТП-148А</t>
  </si>
  <si>
    <t>ТП-148</t>
  </si>
  <si>
    <t>0Zq$8Ef*</t>
  </si>
  <si>
    <t>1Ho+5Mc(</t>
  </si>
  <si>
    <t>7Fu"6Xq*</t>
  </si>
  <si>
    <t>ТП-32</t>
  </si>
  <si>
    <t>ТП-31</t>
  </si>
  <si>
    <t>4Bc#5Xq'</t>
  </si>
  <si>
    <t>5Mw(9Nw+</t>
  </si>
  <si>
    <t>9Gv,9Yl+</t>
  </si>
  <si>
    <t>3Lh&amp;%9r9190</t>
  </si>
  <si>
    <t>Установка ПНК</t>
  </si>
  <si>
    <t>ТП-205</t>
  </si>
  <si>
    <t>6Ug/%4v7432</t>
  </si>
  <si>
    <t>Установка 21-10/3М</t>
  </si>
  <si>
    <t>ТП-228А</t>
  </si>
  <si>
    <t>9Lv%,2t0424</t>
  </si>
  <si>
    <t>ТП-228</t>
  </si>
  <si>
    <t>6Uo+!9v4936</t>
  </si>
  <si>
    <t>ТП-260Б</t>
  </si>
  <si>
    <t>8Vv%+7x7680</t>
  </si>
  <si>
    <t>5Mj$/8c2843</t>
  </si>
  <si>
    <t>Установка ГФУ</t>
  </si>
  <si>
    <t>ТП-203</t>
  </si>
  <si>
    <t>9Qp+!3u6795</t>
  </si>
  <si>
    <t>ТП-203А</t>
  </si>
  <si>
    <t>1Bc+(8m3431</t>
  </si>
  <si>
    <t>ТП-203Б</t>
  </si>
  <si>
    <t>7Zn,%6u8650</t>
  </si>
  <si>
    <t>Комплекс очистные сооружения (Биосфера)</t>
  </si>
  <si>
    <t>ТП-273</t>
  </si>
  <si>
    <t>0Hv)-2a8169</t>
  </si>
  <si>
    <t>5Pk"+0q1410</t>
  </si>
  <si>
    <t>Установка "WEMKO"</t>
  </si>
  <si>
    <t>8Mh&amp;.8x7741</t>
  </si>
  <si>
    <t>ТП-24</t>
  </si>
  <si>
    <t>3Pv("9z8817</t>
  </si>
  <si>
    <t>ТП-48Н</t>
  </si>
  <si>
    <t>0Ak&amp;/7t6704</t>
  </si>
  <si>
    <t>01.01.2024 - 31.01.2024</t>
  </si>
  <si>
    <t>01.02.2024 - 29.02.2025</t>
  </si>
  <si>
    <t>Тумаков С.И.</t>
  </si>
  <si>
    <t>Фисенко В.С.</t>
  </si>
  <si>
    <t>Фрайс О.В.</t>
  </si>
  <si>
    <t>Король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</si>
</sst>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3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33333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 applyBorder="0"/>
    <xf numFmtId="0" fontId="4" fillId="0" borderId="0"/>
  </cellStyleXfs>
  <cellXfs count="50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6" fillId="0" borderId="0" xfId="1" applyFont="1" applyFill="1" applyBorder="1" applyAlignment="1"/>
    <xf numFmtId="49" fontId="8" fillId="0" borderId="0" xfId="2" applyNumberFormat="1" applyFont="1" applyFill="1" applyBorder="1" applyAlignment="1">
      <alignment horizontal="center" vertical="center" wrapText="1"/>
    </xf>
    <xf numFmtId="0" fontId="4" fillId="0" borderId="0" xfId="3" applyFill="1" applyAlignment="1">
      <alignment wrapText="1"/>
    </xf>
    <xf numFmtId="0" fontId="8" fillId="0" borderId="0" xfId="3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/>
    <xf numFmtId="0" fontId="11" fillId="0" borderId="0" xfId="1" applyFont="1" applyFill="1" applyBorder="1" applyAlignment="1"/>
    <xf numFmtId="0" fontId="4" fillId="0" borderId="0" xfId="3" applyFill="1" applyAlignment="1">
      <alignment horizontal="center" vertical="center"/>
    </xf>
    <xf numFmtId="0" fontId="4" fillId="0" borderId="0" xfId="3" applyFill="1" applyAlignment="1">
      <alignment horizontal="center"/>
    </xf>
    <xf numFmtId="0" fontId="4" fillId="0" borderId="0" xfId="3" applyFill="1"/>
    <xf numFmtId="0" fontId="0" fillId="0" borderId="0" xfId="0" applyAlignment="1"/>
    <xf numFmtId="1" fontId="0" fillId="0" borderId="0" xfId="0" applyNumberFormat="1"/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wrapText="1"/>
    </xf>
    <xf numFmtId="0" fontId="10" fillId="0" borderId="0" xfId="1" applyFont="1" applyFill="1" applyBorder="1" applyAlignment="1"/>
    <xf numFmtId="0" fontId="10" fillId="0" borderId="0" xfId="1" applyFont="1" applyFill="1" applyBorder="1" applyAlignment="1">
      <alignment horizontal="right" vertic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8" fillId="0" borderId="8" xfId="3" applyFont="1" applyFill="1" applyBorder="1" applyAlignment="1">
      <alignment horizontal="left" vertical="center" wrapText="1" inden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17" fontId="8" fillId="0" borderId="1" xfId="2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 indent="1"/>
    </xf>
    <xf numFmtId="14" fontId="0" fillId="0" borderId="1" xfId="0" applyNumberForma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">
    <cellStyle name="Обычный" xfId="0" builtinId="0"/>
    <cellStyle name="Обычный 2" xfId="3"/>
    <cellStyle name="Обычный 3" xfId="2"/>
    <cellStyle name="Обычный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235324</xdr:colOff>
      <xdr:row>0</xdr:row>
      <xdr:rowOff>134470</xdr:rowOff>
    </xdr:from>
    <xdr:to>
      <xdr:col>17</xdr:col>
      <xdr:colOff>627530</xdr:colOff>
      <xdr:row>7</xdr:row>
      <xdr:rowOff>33617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16651942" y="134470"/>
          <a:ext cx="3462617" cy="1311088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УТВЕРЖДАЮ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И.о. Главного энергетика, начальник управления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АО "Газпромнефть-ОНПЗ"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_______________А.В. Корчевский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"_____" _______________  20       г.</a:t>
          </a: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  <xdr:twoCellAnchor>
    <xdr:from>
      <xdr:col>1</xdr:col>
      <xdr:colOff>17318</xdr:colOff>
      <xdr:row>0</xdr:row>
      <xdr:rowOff>51955</xdr:rowOff>
    </xdr:from>
    <xdr:to>
      <xdr:col>6</xdr:col>
      <xdr:colOff>807842</xdr:colOff>
      <xdr:row>6</xdr:row>
      <xdr:rowOff>130395</xdr:rowOff>
    </xdr:to>
    <xdr:sp macro="" textlink="">
      <xdr:nvSpPr>
        <xdr:cNvPr id="5" name="Text Box 11"/>
        <xdr:cNvSpPr txBox="1">
          <a:spLocks noChangeArrowheads="1"/>
        </xdr:cNvSpPr>
      </xdr:nvSpPr>
      <xdr:spPr bwMode="auto">
        <a:xfrm>
          <a:off x="381000" y="51955"/>
          <a:ext cx="4635160" cy="135998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"СОГЛАСОВАНО"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ea typeface="+mn-ea"/>
              <a:cs typeface="Arial Cyr"/>
            </a:rPr>
            <a:t>Заместитель начальника производства ПО «Омск»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ea typeface="+mn-ea"/>
              <a:cs typeface="Arial Cyr"/>
            </a:rPr>
            <a:t>ООО "Газпромнефть-Энергосервис" </a:t>
          </a:r>
        </a:p>
        <a:p>
          <a:pPr marL="0" indent="0"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Arial Cyr"/>
            <a:ea typeface="+mn-ea"/>
            <a:cs typeface="Arial Cyr"/>
          </a:endParaRP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ea typeface="+mn-ea"/>
              <a:cs typeface="Arial Cyr"/>
            </a:rPr>
            <a:t>_________________А. Ю. Сабельников</a:t>
          </a:r>
        </a:p>
        <a:p>
          <a:pPr marL="0" indent="0"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ea typeface="+mn-ea"/>
              <a:cs typeface="Arial Cyr"/>
            </a:rPr>
            <a:t>"____" _____________________20     г.</a:t>
          </a:r>
          <a:endParaRPr lang="ru-RU" sz="1000" b="0" i="0" u="none" strike="noStrike" baseline="0">
            <a:solidFill>
              <a:srgbClr val="000000"/>
            </a:solidFill>
            <a:latin typeface="Arial Cyr"/>
            <a:cs typeface="Arial Cy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="55" zoomScaleNormal="100" zoomScaleSheetLayoutView="55" zoomScalePageLayoutView="55" workbookViewId="0">
      <selection activeCell="P29" sqref="P29"/>
    </sheetView>
  </sheetViews>
  <sheetFormatPr defaultRowHeight="15" outlineLevelCol="1" x14ac:dyDescent="0.25"/>
  <cols>
    <col min="1" max="1" width="5.42578125" customWidth="1"/>
    <col min="2" max="2" width="10.140625" customWidth="1"/>
    <col min="3" max="3" width="9.28515625" hidden="1" customWidth="1" outlineLevel="1"/>
    <col min="4" max="4" width="9.28515625" style="5" hidden="1" customWidth="1" outlineLevel="1"/>
    <col min="5" max="5" width="14.42578125" customWidth="1" collapsed="1"/>
    <col min="6" max="6" width="14.28515625" customWidth="1"/>
    <col min="7" max="7" width="18.85546875" customWidth="1"/>
    <col min="8" max="11" width="35.85546875" customWidth="1"/>
    <col min="12" max="12" width="15.140625" customWidth="1"/>
    <col min="13" max="13" width="13.5703125" customWidth="1"/>
    <col min="14" max="14" width="14.28515625" customWidth="1"/>
    <col min="15" max="18" width="17.42578125" customWidth="1"/>
    <col min="19" max="19" width="4" customWidth="1"/>
    <col min="20" max="21" width="9.140625" style="5"/>
    <col min="23" max="23" width="15.42578125" customWidth="1"/>
    <col min="26" max="26" width="29.85546875" customWidth="1"/>
  </cols>
  <sheetData>
    <row r="1" spans="1:28" ht="21" customHeight="1" x14ac:dyDescent="0.3">
      <c r="B1" s="4"/>
      <c r="C1" s="17"/>
      <c r="D1" s="17"/>
      <c r="E1" s="17"/>
      <c r="F1" s="17"/>
      <c r="G1" s="17"/>
      <c r="H1" s="17"/>
      <c r="P1" s="4"/>
      <c r="Q1" s="17"/>
      <c r="R1" s="17"/>
      <c r="V1" s="18">
        <v>1</v>
      </c>
      <c r="W1" s="5" t="s">
        <v>20</v>
      </c>
      <c r="Z1" s="23" t="s">
        <v>118</v>
      </c>
    </row>
    <row r="2" spans="1:28" ht="15" customHeight="1" x14ac:dyDescent="0.25">
      <c r="B2" s="17"/>
      <c r="C2" s="17"/>
      <c r="D2" s="17"/>
      <c r="E2" s="17"/>
      <c r="F2" s="17"/>
      <c r="G2" s="17"/>
      <c r="H2" s="17"/>
      <c r="P2" s="17"/>
      <c r="Q2" s="17"/>
      <c r="R2" s="17"/>
      <c r="T2" s="35">
        <f>SUBTOTAL(103,$E$11:$E$9954)</f>
        <v>28</v>
      </c>
      <c r="U2" s="36"/>
      <c r="V2" s="18">
        <v>2</v>
      </c>
      <c r="W2" s="5" t="s">
        <v>21</v>
      </c>
      <c r="Z2" s="23" t="s">
        <v>119</v>
      </c>
    </row>
    <row r="3" spans="1:28" ht="15.75" x14ac:dyDescent="0.25">
      <c r="B3" s="17"/>
      <c r="C3" s="17"/>
      <c r="D3" s="17"/>
      <c r="E3" s="17"/>
      <c r="F3" s="17"/>
      <c r="G3" s="17"/>
      <c r="H3" s="17"/>
      <c r="P3" s="17"/>
      <c r="Q3" s="17"/>
      <c r="R3" s="17"/>
      <c r="T3" s="37"/>
      <c r="U3" s="38"/>
      <c r="V3" s="18">
        <v>3</v>
      </c>
      <c r="W3" s="5" t="s">
        <v>22</v>
      </c>
      <c r="Z3" s="23" t="s">
        <v>66</v>
      </c>
    </row>
    <row r="4" spans="1:28" ht="15.75" x14ac:dyDescent="0.25">
      <c r="B4" s="17"/>
      <c r="C4" s="17"/>
      <c r="D4" s="17"/>
      <c r="E4" s="17"/>
      <c r="F4" s="17"/>
      <c r="G4" s="17"/>
      <c r="H4" s="17"/>
      <c r="P4" s="17"/>
      <c r="Q4" s="17"/>
      <c r="R4" s="17"/>
      <c r="T4" s="37"/>
      <c r="U4" s="38"/>
      <c r="V4" s="18">
        <v>4</v>
      </c>
      <c r="W4" s="5" t="s">
        <v>23</v>
      </c>
      <c r="Z4" s="23" t="s">
        <v>67</v>
      </c>
    </row>
    <row r="5" spans="1:28" ht="15.75" x14ac:dyDescent="0.25">
      <c r="B5" s="17"/>
      <c r="C5" s="17"/>
      <c r="D5" s="17"/>
      <c r="E5" s="17"/>
      <c r="F5" s="17"/>
      <c r="G5" s="17"/>
      <c r="H5" s="17"/>
      <c r="P5" s="17"/>
      <c r="Q5" s="17"/>
      <c r="R5" s="17"/>
      <c r="T5" s="37"/>
      <c r="U5" s="38"/>
      <c r="V5" s="18">
        <v>5</v>
      </c>
      <c r="W5" s="5" t="s">
        <v>24</v>
      </c>
      <c r="Z5" s="23" t="s">
        <v>68</v>
      </c>
    </row>
    <row r="6" spans="1:28" ht="15.75" x14ac:dyDescent="0.25">
      <c r="B6" s="17"/>
      <c r="C6" s="17"/>
      <c r="D6" s="17"/>
      <c r="E6" s="17"/>
      <c r="F6" s="17"/>
      <c r="G6" s="17"/>
      <c r="H6" s="17"/>
      <c r="P6" s="17"/>
      <c r="Q6" s="17"/>
      <c r="R6" s="17"/>
      <c r="T6" s="39"/>
      <c r="U6" s="40"/>
      <c r="V6" s="18">
        <v>6</v>
      </c>
      <c r="W6" s="5" t="s">
        <v>25</v>
      </c>
      <c r="Z6" s="23" t="s">
        <v>69</v>
      </c>
    </row>
    <row r="7" spans="1:28" ht="15.75" x14ac:dyDescent="0.25">
      <c r="T7" t="s">
        <v>65</v>
      </c>
      <c r="U7"/>
      <c r="V7" s="18">
        <v>7</v>
      </c>
      <c r="W7" s="5" t="s">
        <v>26</v>
      </c>
      <c r="Z7" s="23" t="s">
        <v>70</v>
      </c>
    </row>
    <row r="8" spans="1:28" ht="15.75" x14ac:dyDescent="0.25">
      <c r="A8" s="41" t="s">
        <v>12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T8"/>
      <c r="U8"/>
      <c r="V8" s="18">
        <v>8</v>
      </c>
      <c r="W8" s="5" t="s">
        <v>27</v>
      </c>
      <c r="Z8" s="23"/>
    </row>
    <row r="9" spans="1:28" ht="15.75" x14ac:dyDescent="0.25">
      <c r="A9" s="43" t="str">
        <f>CONCATENATE("периодических осмотров, тепловизионых осмотров оборудования и линейных объектов АО «Газпромнефть-ОНПЗ»"," ",INDEX($G$11:$G$48623,MATCH(1,$A$11:$A$48623,0),1))</f>
        <v>периодических осмотров, тепловизионых осмотров оборудования и линейных объектов АО «Газпромнефть-ОНПЗ» Тумаков С.И.</v>
      </c>
      <c r="B9" s="44"/>
      <c r="C9" s="45"/>
      <c r="D9" s="45"/>
      <c r="E9" s="44"/>
      <c r="F9" s="44"/>
      <c r="G9" s="44"/>
      <c r="H9" s="44"/>
      <c r="I9" s="44"/>
      <c r="J9" s="44"/>
      <c r="K9" s="44"/>
      <c r="L9" s="46" t="s">
        <v>118</v>
      </c>
      <c r="M9" s="47"/>
      <c r="N9" s="47"/>
      <c r="V9" s="18">
        <v>9</v>
      </c>
      <c r="W9" s="5" t="s">
        <v>28</v>
      </c>
      <c r="Z9" s="23"/>
    </row>
    <row r="10" spans="1:28" ht="92.25" customHeight="1" x14ac:dyDescent="0.25">
      <c r="A10" s="2" t="s">
        <v>0</v>
      </c>
      <c r="B10" s="2" t="s">
        <v>1</v>
      </c>
      <c r="C10" s="24" t="s">
        <v>2</v>
      </c>
      <c r="D10" s="24" t="s">
        <v>29</v>
      </c>
      <c r="E10" s="2" t="s">
        <v>3</v>
      </c>
      <c r="F10" s="2" t="s">
        <v>4</v>
      </c>
      <c r="G10" s="2" t="s">
        <v>5</v>
      </c>
      <c r="H10" s="2" t="s">
        <v>16</v>
      </c>
      <c r="I10" s="2" t="s">
        <v>61</v>
      </c>
      <c r="J10" s="2" t="s">
        <v>62</v>
      </c>
      <c r="K10" s="2" t="s">
        <v>17</v>
      </c>
      <c r="L10" s="2" t="s">
        <v>6</v>
      </c>
      <c r="M10" s="2" t="s">
        <v>18</v>
      </c>
      <c r="N10" s="2" t="s">
        <v>19</v>
      </c>
      <c r="O10" s="2" t="s">
        <v>7</v>
      </c>
      <c r="P10" s="2" t="s">
        <v>8</v>
      </c>
      <c r="Q10" s="2" t="s">
        <v>9</v>
      </c>
      <c r="R10" s="2" t="s">
        <v>10</v>
      </c>
    </row>
    <row r="11" spans="1:28" s="5" customFormat="1" ht="38.25" customHeight="1" x14ac:dyDescent="0.25">
      <c r="A11" s="3">
        <f t="shared" ref="A11:A38" si="0">IFERROR(IF(SUBTOTAL(3,B11),A10+1,A10),1)</f>
        <v>1</v>
      </c>
      <c r="B11" s="25" t="s">
        <v>11</v>
      </c>
      <c r="C11" s="26" t="s">
        <v>71</v>
      </c>
      <c r="D11" s="27">
        <v>1</v>
      </c>
      <c r="E11" s="25" t="s">
        <v>36</v>
      </c>
      <c r="F11" s="25" t="s">
        <v>37</v>
      </c>
      <c r="G11" s="25" t="s">
        <v>120</v>
      </c>
      <c r="H11" s="28" t="s">
        <v>34</v>
      </c>
      <c r="I11" s="28" t="s">
        <v>72</v>
      </c>
      <c r="J11" s="28" t="s">
        <v>35</v>
      </c>
      <c r="K11" s="29" t="s">
        <v>38</v>
      </c>
      <c r="L11" s="30" t="s">
        <v>30</v>
      </c>
      <c r="M11" s="32"/>
      <c r="N11" s="31" t="s">
        <v>39</v>
      </c>
      <c r="O11" s="3"/>
      <c r="P11" s="3"/>
      <c r="Q11" s="3"/>
      <c r="R11" s="3"/>
      <c r="AB11"/>
    </row>
    <row r="12" spans="1:28" s="5" customFormat="1" ht="38.25" customHeight="1" x14ac:dyDescent="0.25">
      <c r="A12" s="3">
        <f t="shared" si="0"/>
        <v>2</v>
      </c>
      <c r="B12" s="25" t="s">
        <v>11</v>
      </c>
      <c r="C12" s="26" t="s">
        <v>73</v>
      </c>
      <c r="D12" s="27">
        <v>5</v>
      </c>
      <c r="E12" s="25" t="s">
        <v>36</v>
      </c>
      <c r="F12" s="25" t="s">
        <v>37</v>
      </c>
      <c r="G12" s="25" t="s">
        <v>120</v>
      </c>
      <c r="H12" s="28" t="s">
        <v>40</v>
      </c>
      <c r="I12" s="28" t="s">
        <v>41</v>
      </c>
      <c r="J12" s="28" t="s">
        <v>31</v>
      </c>
      <c r="K12" s="33" t="s">
        <v>38</v>
      </c>
      <c r="L12" s="30" t="s">
        <v>30</v>
      </c>
      <c r="M12" s="32">
        <v>45108</v>
      </c>
      <c r="N12" s="31" t="s">
        <v>39</v>
      </c>
      <c r="O12" s="3"/>
      <c r="P12" s="3"/>
      <c r="Q12" s="3"/>
      <c r="R12" s="3"/>
      <c r="AB12"/>
    </row>
    <row r="13" spans="1:28" s="5" customFormat="1" ht="38.25" customHeight="1" x14ac:dyDescent="0.25">
      <c r="A13" s="3">
        <f t="shared" si="0"/>
        <v>3</v>
      </c>
      <c r="B13" s="25" t="s">
        <v>11</v>
      </c>
      <c r="C13" s="26" t="s">
        <v>74</v>
      </c>
      <c r="D13" s="27">
        <v>5</v>
      </c>
      <c r="E13" s="25" t="s">
        <v>36</v>
      </c>
      <c r="F13" s="25" t="s">
        <v>37</v>
      </c>
      <c r="G13" s="25" t="s">
        <v>120</v>
      </c>
      <c r="H13" s="28" t="s">
        <v>42</v>
      </c>
      <c r="I13" s="28" t="s">
        <v>75</v>
      </c>
      <c r="J13" s="28" t="s">
        <v>31</v>
      </c>
      <c r="K13" s="29" t="s">
        <v>38</v>
      </c>
      <c r="L13" s="30" t="s">
        <v>30</v>
      </c>
      <c r="M13" s="32">
        <v>45108</v>
      </c>
      <c r="N13" s="31" t="s">
        <v>39</v>
      </c>
      <c r="O13" s="3"/>
      <c r="P13" s="3"/>
      <c r="Q13" s="3"/>
      <c r="R13" s="3"/>
      <c r="AB13"/>
    </row>
    <row r="14" spans="1:28" s="5" customFormat="1" ht="38.25" customHeight="1" x14ac:dyDescent="0.25">
      <c r="A14" s="3">
        <f t="shared" si="0"/>
        <v>4</v>
      </c>
      <c r="B14" s="25" t="s">
        <v>11</v>
      </c>
      <c r="C14" s="26" t="s">
        <v>74</v>
      </c>
      <c r="D14" s="27">
        <v>5</v>
      </c>
      <c r="E14" s="25" t="s">
        <v>36</v>
      </c>
      <c r="F14" s="25" t="s">
        <v>37</v>
      </c>
      <c r="G14" s="25" t="s">
        <v>120</v>
      </c>
      <c r="H14" s="28" t="s">
        <v>42</v>
      </c>
      <c r="I14" s="28" t="s">
        <v>76</v>
      </c>
      <c r="J14" s="28" t="s">
        <v>31</v>
      </c>
      <c r="K14" s="29" t="s">
        <v>38</v>
      </c>
      <c r="L14" s="30" t="s">
        <v>30</v>
      </c>
      <c r="M14" s="32">
        <v>45108</v>
      </c>
      <c r="N14" s="31" t="s">
        <v>39</v>
      </c>
      <c r="O14" s="3"/>
      <c r="P14" s="3"/>
      <c r="Q14" s="3"/>
      <c r="R14" s="3"/>
      <c r="AB14"/>
    </row>
    <row r="15" spans="1:28" s="5" customFormat="1" ht="38.25" customHeight="1" x14ac:dyDescent="0.25">
      <c r="A15" s="3">
        <f t="shared" ref="A15" si="1">IFERROR(IF(SUBTOTAL(3,B15),A14+1,A14),1)</f>
        <v>5</v>
      </c>
      <c r="B15" s="25" t="s">
        <v>11</v>
      </c>
      <c r="C15" s="26" t="s">
        <v>74</v>
      </c>
      <c r="D15" s="27">
        <v>5</v>
      </c>
      <c r="E15" s="25" t="s">
        <v>36</v>
      </c>
      <c r="F15" s="25" t="s">
        <v>37</v>
      </c>
      <c r="G15" s="25" t="s">
        <v>120</v>
      </c>
      <c r="H15" s="28" t="s">
        <v>42</v>
      </c>
      <c r="I15" s="28" t="s">
        <v>77</v>
      </c>
      <c r="J15" s="28" t="s">
        <v>31</v>
      </c>
      <c r="K15" s="29" t="s">
        <v>38</v>
      </c>
      <c r="L15" s="30" t="s">
        <v>30</v>
      </c>
      <c r="M15" s="32">
        <v>45108</v>
      </c>
      <c r="N15" s="31" t="s">
        <v>39</v>
      </c>
      <c r="O15" s="3"/>
      <c r="P15" s="3"/>
      <c r="Q15" s="3"/>
      <c r="R15" s="3"/>
      <c r="AB15"/>
    </row>
    <row r="16" spans="1:28" s="5" customFormat="1" ht="38.25" customHeight="1" x14ac:dyDescent="0.25">
      <c r="A16" s="3">
        <f t="shared" si="0"/>
        <v>6</v>
      </c>
      <c r="B16" s="25" t="s">
        <v>11</v>
      </c>
      <c r="C16" s="26" t="s">
        <v>78</v>
      </c>
      <c r="D16" s="27">
        <v>5</v>
      </c>
      <c r="E16" s="25" t="s">
        <v>36</v>
      </c>
      <c r="F16" s="25" t="s">
        <v>37</v>
      </c>
      <c r="G16" s="25" t="s">
        <v>120</v>
      </c>
      <c r="H16" s="28" t="s">
        <v>43</v>
      </c>
      <c r="I16" s="28" t="s">
        <v>79</v>
      </c>
      <c r="J16" s="28" t="s">
        <v>31</v>
      </c>
      <c r="K16" s="29" t="s">
        <v>38</v>
      </c>
      <c r="L16" s="30" t="s">
        <v>30</v>
      </c>
      <c r="M16" s="32">
        <v>45108</v>
      </c>
      <c r="N16" s="31" t="s">
        <v>39</v>
      </c>
      <c r="O16" s="3"/>
      <c r="P16" s="3"/>
      <c r="Q16" s="3"/>
      <c r="R16" s="3"/>
      <c r="AB16"/>
    </row>
    <row r="17" spans="1:28" s="5" customFormat="1" ht="38.25" customHeight="1" x14ac:dyDescent="0.25">
      <c r="A17" s="3">
        <f t="shared" si="0"/>
        <v>7</v>
      </c>
      <c r="B17" s="25" t="s">
        <v>11</v>
      </c>
      <c r="C17" s="26" t="s">
        <v>78</v>
      </c>
      <c r="D17" s="27">
        <v>5</v>
      </c>
      <c r="E17" s="25" t="s">
        <v>36</v>
      </c>
      <c r="F17" s="25" t="s">
        <v>37</v>
      </c>
      <c r="G17" s="25" t="s">
        <v>120</v>
      </c>
      <c r="H17" s="28" t="s">
        <v>43</v>
      </c>
      <c r="I17" s="28" t="s">
        <v>80</v>
      </c>
      <c r="J17" s="28" t="s">
        <v>31</v>
      </c>
      <c r="K17" s="29" t="s">
        <v>38</v>
      </c>
      <c r="L17" s="30" t="s">
        <v>30</v>
      </c>
      <c r="M17" s="32">
        <v>45108</v>
      </c>
      <c r="N17" s="31" t="s">
        <v>39</v>
      </c>
      <c r="O17" s="3"/>
      <c r="P17" s="3"/>
      <c r="Q17" s="3"/>
      <c r="R17" s="3"/>
      <c r="AB17"/>
    </row>
    <row r="18" spans="1:28" s="5" customFormat="1" ht="38.25" customHeight="1" x14ac:dyDescent="0.25">
      <c r="A18" s="3">
        <f t="shared" si="0"/>
        <v>8</v>
      </c>
      <c r="B18" s="25" t="s">
        <v>11</v>
      </c>
      <c r="C18" s="26" t="s">
        <v>81</v>
      </c>
      <c r="D18" s="27">
        <v>5</v>
      </c>
      <c r="E18" s="25" t="s">
        <v>36</v>
      </c>
      <c r="F18" s="25" t="s">
        <v>37</v>
      </c>
      <c r="G18" s="25" t="s">
        <v>120</v>
      </c>
      <c r="H18" s="28" t="s">
        <v>44</v>
      </c>
      <c r="I18" s="28" t="s">
        <v>45</v>
      </c>
      <c r="J18" s="28" t="s">
        <v>31</v>
      </c>
      <c r="K18" s="33" t="s">
        <v>38</v>
      </c>
      <c r="L18" s="30" t="s">
        <v>30</v>
      </c>
      <c r="M18" s="32">
        <v>45108</v>
      </c>
      <c r="N18" s="31" t="s">
        <v>39</v>
      </c>
      <c r="O18" s="3"/>
      <c r="P18" s="3"/>
      <c r="Q18" s="3"/>
      <c r="R18" s="3"/>
      <c r="AB18"/>
    </row>
    <row r="19" spans="1:28" s="5" customFormat="1" ht="38.25" customHeight="1" x14ac:dyDescent="0.25">
      <c r="A19" s="3">
        <f t="shared" si="0"/>
        <v>9</v>
      </c>
      <c r="B19" s="25" t="s">
        <v>11</v>
      </c>
      <c r="C19" s="26" t="s">
        <v>82</v>
      </c>
      <c r="D19" s="27">
        <v>7</v>
      </c>
      <c r="E19" s="25" t="s">
        <v>36</v>
      </c>
      <c r="F19" s="25" t="s">
        <v>37</v>
      </c>
      <c r="G19" s="25" t="s">
        <v>120</v>
      </c>
      <c r="H19" s="28" t="s">
        <v>48</v>
      </c>
      <c r="I19" s="28" t="s">
        <v>49</v>
      </c>
      <c r="J19" s="28" t="s">
        <v>31</v>
      </c>
      <c r="K19" s="33" t="s">
        <v>38</v>
      </c>
      <c r="L19" s="30" t="s">
        <v>30</v>
      </c>
      <c r="M19" s="32">
        <v>45108</v>
      </c>
      <c r="N19" s="31" t="s">
        <v>39</v>
      </c>
      <c r="O19" s="3"/>
      <c r="P19" s="3"/>
      <c r="Q19" s="3"/>
      <c r="R19" s="3"/>
      <c r="AB19"/>
    </row>
    <row r="20" spans="1:28" s="5" customFormat="1" ht="38.25" customHeight="1" x14ac:dyDescent="0.25">
      <c r="A20" s="3">
        <f t="shared" si="0"/>
        <v>10</v>
      </c>
      <c r="B20" s="25" t="s">
        <v>11</v>
      </c>
      <c r="C20" s="26" t="s">
        <v>83</v>
      </c>
      <c r="D20" s="27">
        <v>6</v>
      </c>
      <c r="E20" s="25" t="s">
        <v>36</v>
      </c>
      <c r="F20" s="25" t="s">
        <v>37</v>
      </c>
      <c r="G20" s="25" t="s">
        <v>120</v>
      </c>
      <c r="H20" s="28" t="s">
        <v>50</v>
      </c>
      <c r="I20" s="28" t="s">
        <v>84</v>
      </c>
      <c r="J20" s="28" t="s">
        <v>31</v>
      </c>
      <c r="K20" s="29" t="s">
        <v>38</v>
      </c>
      <c r="L20" s="30" t="s">
        <v>30</v>
      </c>
      <c r="M20" s="32">
        <v>45108</v>
      </c>
      <c r="N20" s="31" t="s">
        <v>39</v>
      </c>
      <c r="O20" s="34">
        <v>45310</v>
      </c>
      <c r="P20" s="3">
        <v>49</v>
      </c>
      <c r="Q20" s="3" t="s">
        <v>123</v>
      </c>
      <c r="R20" s="3"/>
      <c r="AB20"/>
    </row>
    <row r="21" spans="1:28" s="5" customFormat="1" ht="38.25" customHeight="1" x14ac:dyDescent="0.25">
      <c r="A21" s="3">
        <f t="shared" si="0"/>
        <v>11</v>
      </c>
      <c r="B21" s="25" t="s">
        <v>11</v>
      </c>
      <c r="C21" s="26" t="s">
        <v>83</v>
      </c>
      <c r="D21" s="27">
        <v>6</v>
      </c>
      <c r="E21" s="25" t="s">
        <v>36</v>
      </c>
      <c r="F21" s="25" t="s">
        <v>37</v>
      </c>
      <c r="G21" s="25" t="s">
        <v>120</v>
      </c>
      <c r="H21" s="28" t="s">
        <v>50</v>
      </c>
      <c r="I21" s="28" t="s">
        <v>85</v>
      </c>
      <c r="J21" s="28" t="s">
        <v>31</v>
      </c>
      <c r="K21" s="29" t="s">
        <v>38</v>
      </c>
      <c r="L21" s="30" t="s">
        <v>30</v>
      </c>
      <c r="M21" s="32">
        <v>45108</v>
      </c>
      <c r="N21" s="31" t="s">
        <v>39</v>
      </c>
      <c r="O21" s="34">
        <v>45310</v>
      </c>
      <c r="P21" s="3">
        <v>47</v>
      </c>
      <c r="Q21" s="3" t="s">
        <v>123</v>
      </c>
      <c r="R21" s="3"/>
      <c r="AB21"/>
    </row>
    <row r="22" spans="1:28" s="5" customFormat="1" ht="38.25" customHeight="1" x14ac:dyDescent="0.25">
      <c r="A22" s="3">
        <f t="shared" si="0"/>
        <v>12</v>
      </c>
      <c r="B22" s="25" t="s">
        <v>11</v>
      </c>
      <c r="C22" s="26" t="s">
        <v>86</v>
      </c>
      <c r="D22" s="27">
        <v>8</v>
      </c>
      <c r="E22" s="25" t="s">
        <v>36</v>
      </c>
      <c r="F22" s="25" t="s">
        <v>37</v>
      </c>
      <c r="G22" s="25" t="s">
        <v>120</v>
      </c>
      <c r="H22" s="28" t="s">
        <v>57</v>
      </c>
      <c r="I22" s="28" t="s">
        <v>58</v>
      </c>
      <c r="J22" s="28" t="s">
        <v>31</v>
      </c>
      <c r="K22" s="29" t="s">
        <v>38</v>
      </c>
      <c r="L22" s="30" t="s">
        <v>30</v>
      </c>
      <c r="M22" s="32">
        <v>45108</v>
      </c>
      <c r="N22" s="31" t="s">
        <v>39</v>
      </c>
      <c r="O22" s="3"/>
      <c r="P22" s="3"/>
      <c r="Q22" s="3"/>
      <c r="R22" s="3"/>
      <c r="AB22"/>
    </row>
    <row r="23" spans="1:28" s="5" customFormat="1" ht="38.25" customHeight="1" x14ac:dyDescent="0.25">
      <c r="A23" s="3">
        <f t="shared" si="0"/>
        <v>13</v>
      </c>
      <c r="B23" s="25" t="s">
        <v>11</v>
      </c>
      <c r="C23" s="26" t="s">
        <v>87</v>
      </c>
      <c r="D23" s="27">
        <v>8</v>
      </c>
      <c r="E23" s="25" t="s">
        <v>36</v>
      </c>
      <c r="F23" s="25" t="s">
        <v>37</v>
      </c>
      <c r="G23" s="25" t="s">
        <v>120</v>
      </c>
      <c r="H23" s="28" t="s">
        <v>59</v>
      </c>
      <c r="I23" s="28" t="s">
        <v>60</v>
      </c>
      <c r="J23" s="28" t="s">
        <v>31</v>
      </c>
      <c r="K23" s="29" t="s">
        <v>38</v>
      </c>
      <c r="L23" s="30" t="s">
        <v>30</v>
      </c>
      <c r="M23" s="32">
        <v>45108</v>
      </c>
      <c r="N23" s="31" t="s">
        <v>39</v>
      </c>
      <c r="O23" s="3"/>
      <c r="P23" s="3"/>
      <c r="Q23" s="3"/>
      <c r="R23" s="3"/>
      <c r="AB23"/>
    </row>
    <row r="24" spans="1:28" s="5" customFormat="1" ht="38.25" customHeight="1" x14ac:dyDescent="0.25">
      <c r="A24" s="3">
        <f t="shared" si="0"/>
        <v>14</v>
      </c>
      <c r="B24" s="25" t="s">
        <v>11</v>
      </c>
      <c r="C24" s="26" t="s">
        <v>88</v>
      </c>
      <c r="D24" s="27">
        <v>8</v>
      </c>
      <c r="E24" s="25" t="s">
        <v>36</v>
      </c>
      <c r="F24" s="25" t="s">
        <v>37</v>
      </c>
      <c r="G24" s="25" t="s">
        <v>120</v>
      </c>
      <c r="H24" s="28" t="s">
        <v>32</v>
      </c>
      <c r="I24" s="28" t="s">
        <v>33</v>
      </c>
      <c r="J24" s="28" t="s">
        <v>31</v>
      </c>
      <c r="K24" s="33" t="s">
        <v>38</v>
      </c>
      <c r="L24" s="30" t="s">
        <v>30</v>
      </c>
      <c r="M24" s="32">
        <v>45108</v>
      </c>
      <c r="N24" s="31" t="s">
        <v>39</v>
      </c>
      <c r="O24" s="3"/>
      <c r="P24" s="3"/>
      <c r="Q24" s="3"/>
      <c r="R24" s="3"/>
      <c r="AB24"/>
    </row>
    <row r="25" spans="1:28" s="5" customFormat="1" ht="38.25" customHeight="1" x14ac:dyDescent="0.25">
      <c r="A25" s="3">
        <f t="shared" si="0"/>
        <v>15</v>
      </c>
      <c r="B25" s="25" t="s">
        <v>11</v>
      </c>
      <c r="C25" s="26" t="s">
        <v>89</v>
      </c>
      <c r="D25" s="27">
        <v>1</v>
      </c>
      <c r="E25" s="25" t="s">
        <v>36</v>
      </c>
      <c r="F25" s="25" t="s">
        <v>37</v>
      </c>
      <c r="G25" s="25" t="s">
        <v>120</v>
      </c>
      <c r="H25" s="28" t="s">
        <v>90</v>
      </c>
      <c r="I25" s="28" t="s">
        <v>91</v>
      </c>
      <c r="J25" s="28" t="s">
        <v>35</v>
      </c>
      <c r="K25" s="33" t="s">
        <v>38</v>
      </c>
      <c r="L25" s="30" t="s">
        <v>30</v>
      </c>
      <c r="M25" s="32"/>
      <c r="N25" s="31" t="s">
        <v>39</v>
      </c>
      <c r="O25" s="34">
        <v>45309</v>
      </c>
      <c r="P25" s="3">
        <v>35</v>
      </c>
      <c r="Q25" s="3" t="s">
        <v>122</v>
      </c>
      <c r="R25" s="3"/>
      <c r="AB25"/>
    </row>
    <row r="26" spans="1:28" s="5" customFormat="1" ht="38.25" customHeight="1" x14ac:dyDescent="0.25">
      <c r="A26" s="3">
        <f t="shared" si="0"/>
        <v>16</v>
      </c>
      <c r="B26" s="25" t="s">
        <v>11</v>
      </c>
      <c r="C26" s="26" t="s">
        <v>92</v>
      </c>
      <c r="D26" s="27">
        <v>1</v>
      </c>
      <c r="E26" s="25" t="s">
        <v>36</v>
      </c>
      <c r="F26" s="25" t="s">
        <v>37</v>
      </c>
      <c r="G26" s="25" t="s">
        <v>120</v>
      </c>
      <c r="H26" s="28" t="s">
        <v>93</v>
      </c>
      <c r="I26" s="28" t="s">
        <v>94</v>
      </c>
      <c r="J26" s="28" t="s">
        <v>35</v>
      </c>
      <c r="K26" s="33" t="s">
        <v>38</v>
      </c>
      <c r="L26" s="30" t="s">
        <v>30</v>
      </c>
      <c r="M26" s="32"/>
      <c r="N26" s="31" t="s">
        <v>39</v>
      </c>
      <c r="O26" s="3"/>
      <c r="P26" s="3"/>
      <c r="Q26" s="3"/>
      <c r="R26" s="3"/>
      <c r="AB26"/>
    </row>
    <row r="27" spans="1:28" s="5" customFormat="1" ht="38.25" customHeight="1" x14ac:dyDescent="0.25">
      <c r="A27" s="3">
        <f t="shared" si="0"/>
        <v>17</v>
      </c>
      <c r="B27" s="25" t="s">
        <v>11</v>
      </c>
      <c r="C27" s="26" t="s">
        <v>95</v>
      </c>
      <c r="D27" s="27">
        <v>1</v>
      </c>
      <c r="E27" s="25" t="s">
        <v>36</v>
      </c>
      <c r="F27" s="25" t="s">
        <v>37</v>
      </c>
      <c r="G27" s="25" t="s">
        <v>120</v>
      </c>
      <c r="H27" s="28" t="s">
        <v>93</v>
      </c>
      <c r="I27" s="28" t="s">
        <v>96</v>
      </c>
      <c r="J27" s="28" t="s">
        <v>35</v>
      </c>
      <c r="K27" s="33" t="s">
        <v>38</v>
      </c>
      <c r="L27" s="30" t="s">
        <v>30</v>
      </c>
      <c r="M27" s="32"/>
      <c r="N27" s="31" t="s">
        <v>39</v>
      </c>
      <c r="O27" s="3"/>
      <c r="P27" s="3"/>
      <c r="Q27" s="3"/>
      <c r="R27" s="3"/>
      <c r="AB27"/>
    </row>
    <row r="28" spans="1:28" s="5" customFormat="1" ht="38.25" customHeight="1" x14ac:dyDescent="0.25">
      <c r="A28" s="3">
        <f t="shared" si="0"/>
        <v>18</v>
      </c>
      <c r="B28" s="25" t="s">
        <v>11</v>
      </c>
      <c r="C28" s="26" t="s">
        <v>97</v>
      </c>
      <c r="D28" s="27">
        <v>7</v>
      </c>
      <c r="E28" s="25" t="s">
        <v>36</v>
      </c>
      <c r="F28" s="25" t="s">
        <v>37</v>
      </c>
      <c r="G28" s="25" t="s">
        <v>120</v>
      </c>
      <c r="H28" s="28" t="s">
        <v>54</v>
      </c>
      <c r="I28" s="28" t="s">
        <v>98</v>
      </c>
      <c r="J28" s="28" t="s">
        <v>35</v>
      </c>
      <c r="K28" s="33" t="s">
        <v>38</v>
      </c>
      <c r="L28" s="30" t="s">
        <v>30</v>
      </c>
      <c r="M28" s="32"/>
      <c r="N28" s="31" t="s">
        <v>39</v>
      </c>
      <c r="O28" s="34">
        <v>45309</v>
      </c>
      <c r="P28" s="3">
        <v>68</v>
      </c>
      <c r="Q28" s="3" t="s">
        <v>122</v>
      </c>
      <c r="R28" s="3"/>
      <c r="AB28"/>
    </row>
    <row r="29" spans="1:28" s="5" customFormat="1" ht="38.25" customHeight="1" x14ac:dyDescent="0.25">
      <c r="A29" s="3">
        <f t="shared" si="0"/>
        <v>19</v>
      </c>
      <c r="B29" s="25" t="s">
        <v>11</v>
      </c>
      <c r="C29" s="26" t="s">
        <v>99</v>
      </c>
      <c r="D29" s="27">
        <v>7</v>
      </c>
      <c r="E29" s="25" t="s">
        <v>36</v>
      </c>
      <c r="F29" s="25" t="s">
        <v>37</v>
      </c>
      <c r="G29" s="25" t="s">
        <v>120</v>
      </c>
      <c r="H29" s="28" t="s">
        <v>56</v>
      </c>
      <c r="I29" s="28" t="s">
        <v>55</v>
      </c>
      <c r="J29" s="28" t="s">
        <v>35</v>
      </c>
      <c r="K29" s="33" t="s">
        <v>38</v>
      </c>
      <c r="L29" s="30" t="s">
        <v>30</v>
      </c>
      <c r="M29" s="32"/>
      <c r="N29" s="31" t="s">
        <v>39</v>
      </c>
      <c r="O29" s="34">
        <v>45303</v>
      </c>
      <c r="P29" s="3">
        <v>904</v>
      </c>
      <c r="Q29" s="3" t="s">
        <v>121</v>
      </c>
      <c r="R29" s="3"/>
      <c r="AB29"/>
    </row>
    <row r="30" spans="1:28" s="5" customFormat="1" ht="38.25" customHeight="1" x14ac:dyDescent="0.25">
      <c r="A30" s="3">
        <f t="shared" si="0"/>
        <v>20</v>
      </c>
      <c r="B30" s="25" t="s">
        <v>11</v>
      </c>
      <c r="C30" s="26" t="s">
        <v>100</v>
      </c>
      <c r="D30" s="27">
        <v>7</v>
      </c>
      <c r="E30" s="25" t="s">
        <v>36</v>
      </c>
      <c r="F30" s="25" t="s">
        <v>37</v>
      </c>
      <c r="G30" s="25" t="s">
        <v>120</v>
      </c>
      <c r="H30" s="28" t="s">
        <v>101</v>
      </c>
      <c r="I30" s="28" t="s">
        <v>102</v>
      </c>
      <c r="J30" s="28" t="s">
        <v>35</v>
      </c>
      <c r="K30" s="33" t="s">
        <v>38</v>
      </c>
      <c r="L30" s="30" t="s">
        <v>30</v>
      </c>
      <c r="M30" s="32"/>
      <c r="N30" s="31" t="s">
        <v>39</v>
      </c>
      <c r="O30" s="3"/>
      <c r="P30" s="3"/>
      <c r="Q30" s="3"/>
      <c r="R30" s="3"/>
      <c r="AB30"/>
    </row>
    <row r="31" spans="1:28" s="5" customFormat="1" ht="38.25" customHeight="1" x14ac:dyDescent="0.25">
      <c r="A31" s="3">
        <f t="shared" si="0"/>
        <v>21</v>
      </c>
      <c r="B31" s="25" t="s">
        <v>11</v>
      </c>
      <c r="C31" s="26" t="s">
        <v>103</v>
      </c>
      <c r="D31" s="27">
        <v>7</v>
      </c>
      <c r="E31" s="25" t="s">
        <v>36</v>
      </c>
      <c r="F31" s="25" t="s">
        <v>37</v>
      </c>
      <c r="G31" s="25" t="s">
        <v>120</v>
      </c>
      <c r="H31" s="28" t="s">
        <v>101</v>
      </c>
      <c r="I31" s="28" t="s">
        <v>104</v>
      </c>
      <c r="J31" s="28" t="s">
        <v>35</v>
      </c>
      <c r="K31" s="33" t="s">
        <v>38</v>
      </c>
      <c r="L31" s="30" t="s">
        <v>30</v>
      </c>
      <c r="M31" s="32"/>
      <c r="N31" s="31" t="s">
        <v>39</v>
      </c>
      <c r="O31" s="3"/>
      <c r="P31" s="3"/>
      <c r="Q31" s="3"/>
      <c r="R31" s="3"/>
      <c r="AB31"/>
    </row>
    <row r="32" spans="1:28" s="5" customFormat="1" ht="38.25" customHeight="1" x14ac:dyDescent="0.25">
      <c r="A32" s="3">
        <f t="shared" si="0"/>
        <v>22</v>
      </c>
      <c r="B32" s="25" t="s">
        <v>11</v>
      </c>
      <c r="C32" s="26" t="s">
        <v>105</v>
      </c>
      <c r="D32" s="27">
        <v>7</v>
      </c>
      <c r="E32" s="25" t="s">
        <v>36</v>
      </c>
      <c r="F32" s="25" t="s">
        <v>37</v>
      </c>
      <c r="G32" s="25" t="s">
        <v>120</v>
      </c>
      <c r="H32" s="28" t="s">
        <v>101</v>
      </c>
      <c r="I32" s="28" t="s">
        <v>106</v>
      </c>
      <c r="J32" s="28" t="s">
        <v>35</v>
      </c>
      <c r="K32" s="33" t="s">
        <v>38</v>
      </c>
      <c r="L32" s="30" t="s">
        <v>30</v>
      </c>
      <c r="M32" s="32"/>
      <c r="N32" s="31" t="s">
        <v>39</v>
      </c>
      <c r="O32" s="3"/>
      <c r="P32" s="3"/>
      <c r="Q32" s="3"/>
      <c r="R32" s="3"/>
      <c r="AB32"/>
    </row>
    <row r="33" spans="1:28" s="5" customFormat="1" ht="38.25" customHeight="1" x14ac:dyDescent="0.25">
      <c r="A33" s="3">
        <f t="shared" si="0"/>
        <v>23</v>
      </c>
      <c r="B33" s="25" t="s">
        <v>11</v>
      </c>
      <c r="C33" s="26" t="s">
        <v>107</v>
      </c>
      <c r="D33" s="27">
        <v>9</v>
      </c>
      <c r="E33" s="25" t="s">
        <v>36</v>
      </c>
      <c r="F33" s="25" t="s">
        <v>37</v>
      </c>
      <c r="G33" s="25" t="s">
        <v>120</v>
      </c>
      <c r="H33" s="28" t="s">
        <v>108</v>
      </c>
      <c r="I33" s="28" t="s">
        <v>109</v>
      </c>
      <c r="J33" s="28" t="s">
        <v>35</v>
      </c>
      <c r="K33" s="33" t="s">
        <v>38</v>
      </c>
      <c r="L33" s="30" t="s">
        <v>30</v>
      </c>
      <c r="M33" s="32"/>
      <c r="N33" s="31" t="s">
        <v>39</v>
      </c>
      <c r="O33" s="3"/>
      <c r="P33" s="3"/>
      <c r="Q33" s="3"/>
      <c r="R33" s="3"/>
      <c r="AB33"/>
    </row>
    <row r="34" spans="1:28" s="5" customFormat="1" ht="38.25" customHeight="1" x14ac:dyDescent="0.25">
      <c r="A34" s="3">
        <f t="shared" si="0"/>
        <v>24</v>
      </c>
      <c r="B34" s="25" t="s">
        <v>11</v>
      </c>
      <c r="C34" s="26" t="s">
        <v>110</v>
      </c>
      <c r="D34" s="27">
        <v>9</v>
      </c>
      <c r="E34" s="25" t="s">
        <v>36</v>
      </c>
      <c r="F34" s="25" t="s">
        <v>37</v>
      </c>
      <c r="G34" s="25" t="s">
        <v>120</v>
      </c>
      <c r="H34" s="28" t="s">
        <v>51</v>
      </c>
      <c r="I34" s="28" t="s">
        <v>52</v>
      </c>
      <c r="J34" s="28" t="s">
        <v>35</v>
      </c>
      <c r="K34" s="33" t="s">
        <v>38</v>
      </c>
      <c r="L34" s="30" t="s">
        <v>30</v>
      </c>
      <c r="M34" s="32"/>
      <c r="N34" s="31" t="s">
        <v>39</v>
      </c>
      <c r="O34" s="3"/>
      <c r="P34" s="3"/>
      <c r="Q34" s="3"/>
      <c r="R34" s="3"/>
      <c r="AB34"/>
    </row>
    <row r="35" spans="1:28" s="5" customFormat="1" ht="38.25" customHeight="1" x14ac:dyDescent="0.25">
      <c r="A35" s="3">
        <f t="shared" si="0"/>
        <v>25</v>
      </c>
      <c r="B35" s="25" t="s">
        <v>11</v>
      </c>
      <c r="C35" s="26" t="s">
        <v>111</v>
      </c>
      <c r="D35" s="27">
        <v>9</v>
      </c>
      <c r="E35" s="25" t="s">
        <v>36</v>
      </c>
      <c r="F35" s="25" t="s">
        <v>37</v>
      </c>
      <c r="G35" s="25" t="s">
        <v>120</v>
      </c>
      <c r="H35" s="28" t="s">
        <v>112</v>
      </c>
      <c r="I35" s="28" t="s">
        <v>53</v>
      </c>
      <c r="J35" s="28" t="s">
        <v>35</v>
      </c>
      <c r="K35" s="33" t="s">
        <v>38</v>
      </c>
      <c r="L35" s="30" t="s">
        <v>30</v>
      </c>
      <c r="M35" s="32"/>
      <c r="N35" s="31" t="s">
        <v>39</v>
      </c>
      <c r="O35" s="3"/>
      <c r="P35" s="3"/>
      <c r="Q35" s="3"/>
      <c r="R35" s="3"/>
      <c r="AB35"/>
    </row>
    <row r="36" spans="1:28" s="5" customFormat="1" ht="38.25" customHeight="1" x14ac:dyDescent="0.25">
      <c r="A36" s="3">
        <f t="shared" si="0"/>
        <v>26</v>
      </c>
      <c r="B36" s="25" t="s">
        <v>11</v>
      </c>
      <c r="C36" s="26" t="s">
        <v>113</v>
      </c>
      <c r="D36" s="27">
        <v>6</v>
      </c>
      <c r="E36" s="25" t="s">
        <v>36</v>
      </c>
      <c r="F36" s="25" t="s">
        <v>37</v>
      </c>
      <c r="G36" s="25" t="s">
        <v>120</v>
      </c>
      <c r="H36" s="28"/>
      <c r="I36" s="28" t="s">
        <v>114</v>
      </c>
      <c r="J36" s="28" t="s">
        <v>35</v>
      </c>
      <c r="K36" s="33" t="s">
        <v>38</v>
      </c>
      <c r="L36" s="30" t="s">
        <v>30</v>
      </c>
      <c r="M36" s="32"/>
      <c r="N36" s="31" t="s">
        <v>39</v>
      </c>
      <c r="O36" s="3"/>
      <c r="P36" s="3"/>
      <c r="Q36" s="3"/>
      <c r="R36" s="3"/>
      <c r="AB36"/>
    </row>
    <row r="37" spans="1:28" s="5" customFormat="1" ht="38.25" customHeight="1" x14ac:dyDescent="0.25">
      <c r="A37" s="3">
        <f t="shared" si="0"/>
        <v>27</v>
      </c>
      <c r="B37" s="25" t="s">
        <v>11</v>
      </c>
      <c r="C37" s="26" t="s">
        <v>115</v>
      </c>
      <c r="D37" s="27">
        <v>6</v>
      </c>
      <c r="E37" s="25" t="s">
        <v>36</v>
      </c>
      <c r="F37" s="25" t="s">
        <v>37</v>
      </c>
      <c r="G37" s="25" t="s">
        <v>120</v>
      </c>
      <c r="H37" s="28"/>
      <c r="I37" s="28" t="s">
        <v>116</v>
      </c>
      <c r="J37" s="28" t="s">
        <v>35</v>
      </c>
      <c r="K37" s="33" t="s">
        <v>38</v>
      </c>
      <c r="L37" s="30" t="s">
        <v>30</v>
      </c>
      <c r="M37" s="32"/>
      <c r="N37" s="31" t="s">
        <v>39</v>
      </c>
      <c r="O37" s="3"/>
      <c r="P37" s="3"/>
      <c r="Q37" s="3"/>
      <c r="R37" s="3"/>
      <c r="AB37"/>
    </row>
    <row r="38" spans="1:28" s="5" customFormat="1" ht="38.25" customHeight="1" x14ac:dyDescent="0.25">
      <c r="A38" s="3">
        <f t="shared" si="0"/>
        <v>28</v>
      </c>
      <c r="B38" s="25" t="s">
        <v>11</v>
      </c>
      <c r="C38" s="26" t="s">
        <v>117</v>
      </c>
      <c r="D38" s="27">
        <v>4</v>
      </c>
      <c r="E38" s="25" t="s">
        <v>36</v>
      </c>
      <c r="F38" s="25" t="s">
        <v>37</v>
      </c>
      <c r="G38" s="25" t="s">
        <v>120</v>
      </c>
      <c r="H38" s="28" t="s">
        <v>46</v>
      </c>
      <c r="I38" s="28" t="s">
        <v>47</v>
      </c>
      <c r="J38" s="28" t="s">
        <v>35</v>
      </c>
      <c r="K38" s="33" t="s">
        <v>38</v>
      </c>
      <c r="L38" s="30" t="s">
        <v>30</v>
      </c>
      <c r="M38" s="32"/>
      <c r="N38" s="31" t="s">
        <v>39</v>
      </c>
      <c r="O38" s="3"/>
      <c r="P38" s="3"/>
      <c r="Q38" s="3"/>
      <c r="R38" s="3"/>
      <c r="AB38"/>
    </row>
    <row r="39" spans="1:28" x14ac:dyDescent="0.25">
      <c r="A39" s="1"/>
      <c r="B39" s="1"/>
      <c r="C39" s="1"/>
      <c r="D39" s="1"/>
      <c r="E39" s="1"/>
      <c r="F39" s="6"/>
      <c r="G39" s="1"/>
      <c r="H39" s="1"/>
      <c r="I39" s="1"/>
      <c r="J39" s="7"/>
      <c r="K39" s="1"/>
      <c r="L39" s="1"/>
      <c r="M39" s="1"/>
      <c r="N39" s="1"/>
      <c r="O39" s="1"/>
      <c r="P39" s="1"/>
      <c r="Q39" s="1"/>
      <c r="R39" s="1"/>
    </row>
    <row r="40" spans="1:28" ht="15.75" x14ac:dyDescent="0.25">
      <c r="A40" s="1"/>
      <c r="B40" s="8" t="s">
        <v>13</v>
      </c>
      <c r="C40" s="9"/>
      <c r="D40" s="9"/>
      <c r="E40" s="9"/>
      <c r="F40" s="9"/>
      <c r="G40" s="9"/>
      <c r="H40" s="9"/>
      <c r="I40" s="9"/>
      <c r="L40" s="8" t="s">
        <v>15</v>
      </c>
      <c r="M40" s="10"/>
      <c r="N40" s="9"/>
      <c r="O40" s="11"/>
      <c r="P40" s="11"/>
      <c r="Q40" s="11"/>
      <c r="W40" t="s">
        <v>20</v>
      </c>
      <c r="X40" s="5">
        <f>IFERROR(IF(VLOOKUP(1,$D$11:$D$9954,1,0)=1,1,"нет"),0)</f>
        <v>1</v>
      </c>
      <c r="Y40" s="5" t="b">
        <f>X40=V1</f>
        <v>1</v>
      </c>
    </row>
    <row r="41" spans="1:28" x14ac:dyDescent="0.25">
      <c r="A41" s="1"/>
      <c r="B41" s="9"/>
      <c r="C41" s="9"/>
      <c r="D41" s="9"/>
      <c r="E41" s="9"/>
      <c r="F41" s="9"/>
      <c r="G41" s="9"/>
      <c r="H41" s="9"/>
      <c r="I41" s="9"/>
      <c r="L41" s="9"/>
      <c r="M41" s="10"/>
      <c r="N41" s="9"/>
      <c r="O41" s="11"/>
      <c r="P41" s="11"/>
      <c r="Q41" s="11"/>
      <c r="W41" t="s">
        <v>21</v>
      </c>
      <c r="X41" s="5">
        <f>IFERROR(IF(VLOOKUP(2,$D$11:$D$9954,1,0)=2,2,"нет"),0)</f>
        <v>0</v>
      </c>
      <c r="Y41" s="5" t="b">
        <f>X41=V2</f>
        <v>0</v>
      </c>
    </row>
    <row r="42" spans="1:28" ht="15.75" x14ac:dyDescent="0.25">
      <c r="A42" s="1"/>
      <c r="B42" s="8" t="str">
        <f>IF(I42="Симаков А.В.","Должность: Руководитель направления (по РЗА)",IF(I42="Севрук Д.С.","Мастер ОДС","Должность: Руководитель направления (по РЗА)"))</f>
        <v>Должность: Руководитель направления (по РЗА)</v>
      </c>
      <c r="C42" s="12"/>
      <c r="D42" s="12"/>
      <c r="E42" s="8"/>
      <c r="F42" s="8"/>
      <c r="H42" s="8"/>
      <c r="I42" s="19" t="str">
        <f>INDEX($G$11:$G$48623,MATCH(1,$A$11:$A$48623,0),1)</f>
        <v>Тумаков С.И.</v>
      </c>
      <c r="L42" s="8" t="str">
        <f>IF(Q42="","","Должность: Главный специалист УГЭ")</f>
        <v>Должность: Главный специалист УГЭ</v>
      </c>
      <c r="M42" s="10"/>
      <c r="N42" s="8"/>
      <c r="O42" s="8"/>
      <c r="P42" s="8"/>
      <c r="Q42" s="19" t="str">
        <f>IF(X40=1,W40,IF(X41=2,W41,IF(X42=3,W42,IF(X44=4,W44,IF(X45=5,W45,IF(X47=6,W47,IF(X48=7,W48,IF(X50=8,W50,IF(X51=9,W51,"")))))))))</f>
        <v>Веревкин А.М.</v>
      </c>
      <c r="W42" t="s">
        <v>22</v>
      </c>
      <c r="X42" s="5">
        <f>IFERROR(IF(VLOOKUP(3,$D$11:$D$9954,1,0)=3,3,"нет"),0)</f>
        <v>0</v>
      </c>
      <c r="Y42" s="5" t="b">
        <f>X42=V3</f>
        <v>0</v>
      </c>
    </row>
    <row r="43" spans="1:28" s="5" customFormat="1" ht="3" customHeight="1" x14ac:dyDescent="0.25">
      <c r="A43" s="1"/>
      <c r="B43" s="8"/>
      <c r="C43" s="12"/>
      <c r="D43" s="12"/>
      <c r="E43" s="8"/>
      <c r="F43" s="8"/>
      <c r="H43" s="21" t="s">
        <v>63</v>
      </c>
      <c r="I43" s="20"/>
      <c r="J43" s="5" t="str">
        <f>IF(J42="","","")</f>
        <v/>
      </c>
      <c r="L43" s="8"/>
      <c r="M43" s="10"/>
      <c r="N43" s="8"/>
      <c r="O43" s="21" t="s">
        <v>64</v>
      </c>
      <c r="P43" s="8"/>
      <c r="Q43" s="19"/>
      <c r="R43" s="5" t="str">
        <f>IF(R42="","","")</f>
        <v/>
      </c>
      <c r="AB43"/>
    </row>
    <row r="44" spans="1:28" ht="15.75" x14ac:dyDescent="0.25">
      <c r="A44" s="1"/>
      <c r="B44" s="8"/>
      <c r="C44" s="8"/>
      <c r="D44" s="8"/>
      <c r="E44" s="13"/>
      <c r="F44" s="13"/>
      <c r="H44" s="48" t="s">
        <v>14</v>
      </c>
      <c r="I44" s="48"/>
      <c r="L44" s="8"/>
      <c r="M44" s="10"/>
      <c r="N44" s="13"/>
      <c r="O44" s="48" t="s">
        <v>14</v>
      </c>
      <c r="P44" s="48"/>
      <c r="Q44" s="48"/>
      <c r="W44" t="s">
        <v>23</v>
      </c>
      <c r="X44" s="5">
        <f>IFERROR(IF(VLOOKUP(4,$D$11:$D$9954,1,0)=4,4,"нет"),0)</f>
        <v>4</v>
      </c>
      <c r="Y44" s="5" t="b">
        <f>X44=V4</f>
        <v>1</v>
      </c>
    </row>
    <row r="45" spans="1:28" ht="15.75" x14ac:dyDescent="0.25">
      <c r="A45" s="1"/>
      <c r="B45" s="8" t="str">
        <f>IF(I45="Симаков А.В.","Должность: Начальник СРЗА",IF(I45="Поляков А.В.","Должность: Начальник ОДС","Должность: Начальник участка"))</f>
        <v>Должность: Начальник СРЗА</v>
      </c>
      <c r="C45" s="12"/>
      <c r="D45" s="12"/>
      <c r="E45" s="8"/>
      <c r="F45" s="8"/>
      <c r="H45" s="8"/>
      <c r="I45" s="19" t="str">
        <f>IF(OR(I42="Бугаенко А.В.",I42="Ватрушкин Г.Ю.",I42="Волгин И.В.",I42="Лакисов А.А.",I42="Киселев П.В."),"Кудрявцев Д.А.",IF(OR(I42="Левенко А.В.",I42="Василенко В.Н.",I42="Зинич Д.В.",I42="Бушуев А.В."),"Коркишко А.А.",IF(OR(I42="Григоренко В.А.",I42="Алюсов К.О.",I42="Лунев С.С.",I42="Чебоксаров А.В."),"Нижельский А.С.",IF(OR(I42="Мудрагелев П.В.",I42="Пикалов В.В."),"Мащенко И.А.",IF(OR(I42="Борцов М.А.",I42="Мусин В.Ф."),"Корнеев Ю.Г.",IF(I42="Набиев В.А.","Сидоренко А.А.",IF(I42="Севрук Д.С.","Поляков А.В.",IF(I42="Тумаков С.И.","Симаков А.В.",""))))))))</f>
        <v>Симаков А.В.</v>
      </c>
      <c r="L45" s="8" t="str">
        <f>IF(Q45="","","Должность: Главный специалист УГЭ")</f>
        <v>Должность: Главный специалист УГЭ</v>
      </c>
      <c r="M45" s="10"/>
      <c r="N45" s="8"/>
      <c r="O45" s="8"/>
      <c r="P45" s="8"/>
      <c r="Q45" s="19" t="str">
        <f>IFERROR(INDEX(W40:W51,MATCH(MATCH(Q42,W40:W51,0)+1,X40:X51,0),1),IFERROR(INDEX(W40:W51,MATCH(MATCH(Q42,W40:W51,0)+2,X40:X51,0),1),IFERROR(INDEX(W40:W51,MATCH(MATCH(Q42,W40:W51,0)+3,X40:X51,0),1),IFERROR(INDEX(W40:W51,MATCH(MATCH(Q42,W40:W51,0)+4,X40:X51,0),1),IFERROR(INDEX(W40:W51,MATCH(MATCH(Q42,W40:W51,0)+5,X40:X51,0),1),IFERROR(INDEX(W40:W51,MATCH(MATCH(Q42,W40:W51,0)+6,X40:X51,0),1),IFERROR(INDEX(W40:W51,MATCH(MATCH(Q42,W40:W51,0)+7,X40:X51,0),1),IFERROR(INDEX(W40:W51,MATCH(MATCH(Q42,W40:W51,0)+8,X40:X51,0),1),""))))))))</f>
        <v>Чернышов М.С.</v>
      </c>
      <c r="W45" t="s">
        <v>24</v>
      </c>
      <c r="X45" s="5">
        <f>IFERROR(IF(VLOOKUP(5,$D$11:$D$9954,1,0)=5,5,"нет"),0)</f>
        <v>5</v>
      </c>
      <c r="Y45" s="5" t="b">
        <f>X45=V5</f>
        <v>1</v>
      </c>
    </row>
    <row r="46" spans="1:28" s="5" customFormat="1" ht="3" customHeight="1" x14ac:dyDescent="0.25">
      <c r="A46" s="1"/>
      <c r="B46" s="8"/>
      <c r="C46" s="12"/>
      <c r="D46" s="12"/>
      <c r="E46" s="8"/>
      <c r="F46" s="8"/>
      <c r="H46" s="21" t="s">
        <v>63</v>
      </c>
      <c r="I46" s="8"/>
      <c r="J46" s="5" t="str">
        <f>IF(J45="","","")</f>
        <v/>
      </c>
      <c r="L46" s="8"/>
      <c r="M46" s="10"/>
      <c r="N46" s="8"/>
      <c r="O46" s="21" t="str">
        <f>IF(Q45="","","________________________________________")</f>
        <v>________________________________________</v>
      </c>
      <c r="P46" s="8"/>
      <c r="Q46" s="19"/>
      <c r="R46" s="5" t="str">
        <f>IF(R45="","","")</f>
        <v/>
      </c>
      <c r="AB46"/>
    </row>
    <row r="47" spans="1:28" ht="15.75" x14ac:dyDescent="0.25">
      <c r="A47" s="1"/>
      <c r="B47" s="8"/>
      <c r="C47" s="8"/>
      <c r="D47" s="8"/>
      <c r="E47" s="13"/>
      <c r="F47" s="13"/>
      <c r="H47" s="48" t="s">
        <v>14</v>
      </c>
      <c r="I47" s="48"/>
      <c r="L47" s="8"/>
      <c r="M47" s="10"/>
      <c r="N47" s="13"/>
      <c r="O47" s="48" t="str">
        <f>IF(Q45="","","(подпись, фамилия и инициалы)")</f>
        <v>(подпись, фамилия и инициалы)</v>
      </c>
      <c r="P47" s="48"/>
      <c r="Q47" s="48"/>
      <c r="W47" t="s">
        <v>25</v>
      </c>
      <c r="X47" s="5">
        <f>IFERROR(IF(VLOOKUP(6,$D$11:$D$9954,1,0)=6,6,"нет"),0)</f>
        <v>6</v>
      </c>
      <c r="Y47" s="5" t="b">
        <f>X47=V6</f>
        <v>1</v>
      </c>
    </row>
    <row r="48" spans="1:28" ht="15.75" x14ac:dyDescent="0.25">
      <c r="A48" s="1"/>
      <c r="B48" s="8" t="str">
        <f>IF(I48="","","Должность: Начальник цеха")</f>
        <v/>
      </c>
      <c r="C48" s="12"/>
      <c r="D48" s="12"/>
      <c r="E48" s="8"/>
      <c r="F48" s="8"/>
      <c r="H48" s="8"/>
      <c r="I48" s="19" t="str">
        <f>IF(OR(I45="Кудрявцев Д.А.",I45="Коркишко А.А.",I45="Нижельский А.С.",I45="Мащенко И.А.",I45="Корнеев Ю.Г."),"Артемьев А.С.",IF(I45="Сидоренко А.А.","Юровский А.Ю.",""))</f>
        <v/>
      </c>
      <c r="L48" s="8" t="str">
        <f>IF(Q48="","","Должность: Главный специалист УГЭ")</f>
        <v>Должность: Главный специалист УГЭ</v>
      </c>
      <c r="M48" s="10"/>
      <c r="N48" s="8"/>
      <c r="O48" s="8"/>
      <c r="P48" s="8"/>
      <c r="Q48" s="19" t="str">
        <f>IFERROR(INDEX(W40:W51,MATCH(MATCH(Q45,W40:W51,0)+1,X40:X51,0),1),IFERROR(INDEX(W40:W51,MATCH(MATCH(Q45,W40:W51,0)+2,X40:X51,0),1),IFERROR(INDEX(W40:W51,MATCH(MATCH(Q45,W40:W51,0)+3,X40:X51,0),1),IFERROR(INDEX(W40:W51,MATCH(MATCH(Q45,W40:W51,0)+4,X40:X51,0),1),IFERROR(INDEX(W40:W51,MATCH(MATCH(Q45,W40:W51,0)+5,X40:X51,0),1),IFERROR(INDEX(W40:W51,MATCH(MATCH(Q45,W40:W51,0)+6,X40:X51,0),1),IFERROR(INDEX(W40:W51,MATCH(MATCH(Q45,W40:W51,0)+7,X40:X51,0),1),IFERROR(INDEX(W40:W51,MATCH(MATCH(Q45,W40:W51,0)+8,X40:X51,0),1),""))))))))</f>
        <v>Рисс А.Н.</v>
      </c>
      <c r="W48" t="s">
        <v>26</v>
      </c>
      <c r="X48" s="5">
        <f>IFERROR(IF(VLOOKUP(7,$D$11:$D$9954,1,0)=7,7,"нет"),0)</f>
        <v>7</v>
      </c>
      <c r="Y48" s="5" t="b">
        <f>X48=V7</f>
        <v>1</v>
      </c>
    </row>
    <row r="49" spans="1:28" s="5" customFormat="1" ht="3" customHeight="1" x14ac:dyDescent="0.25">
      <c r="A49" s="1"/>
      <c r="B49" s="8"/>
      <c r="C49" s="12"/>
      <c r="D49" s="12"/>
      <c r="E49" s="8"/>
      <c r="F49" s="8"/>
      <c r="H49" s="21" t="str">
        <f>IF(I48="","","_______________________________________________________")</f>
        <v/>
      </c>
      <c r="I49" s="19"/>
      <c r="L49" s="8"/>
      <c r="M49" s="10"/>
      <c r="N49" s="8"/>
      <c r="O49" s="21" t="str">
        <f>IF(Q48="","","________________________________________")</f>
        <v>________________________________________</v>
      </c>
      <c r="P49" s="21"/>
      <c r="Q49" s="22"/>
      <c r="R49" s="5" t="str">
        <f>IF(R48="","","")</f>
        <v/>
      </c>
      <c r="AB49"/>
    </row>
    <row r="50" spans="1:28" ht="15.75" x14ac:dyDescent="0.25">
      <c r="A50" s="1"/>
      <c r="B50" s="8"/>
      <c r="C50" s="8"/>
      <c r="D50" s="8"/>
      <c r="E50" s="13"/>
      <c r="F50" s="13"/>
      <c r="H50" s="48" t="str">
        <f>IF(I48="","","(подпись, фамилия и инициалы)")</f>
        <v/>
      </c>
      <c r="I50" s="48"/>
      <c r="L50" s="8"/>
      <c r="M50" s="10"/>
      <c r="N50" s="13"/>
      <c r="O50" s="48" t="str">
        <f>IF(Q48="","","(подпись, фамилия и инициалы)")</f>
        <v>(подпись, фамилия и инициалы)</v>
      </c>
      <c r="P50" s="48"/>
      <c r="Q50" s="48"/>
      <c r="W50" t="s">
        <v>27</v>
      </c>
      <c r="X50" s="5">
        <f>IFERROR(IF(VLOOKUP(8,$D$11:$D$9954,1,0)=8,8,"нет"),0)</f>
        <v>8</v>
      </c>
      <c r="Y50" s="5" t="b">
        <f>X50=V8</f>
        <v>1</v>
      </c>
    </row>
    <row r="51" spans="1:28" ht="15.75" x14ac:dyDescent="0.25">
      <c r="A51" s="1"/>
      <c r="C51" s="12"/>
      <c r="D51" s="12"/>
      <c r="L51" s="8" t="str">
        <f>IF(Q51="","","Должность: Главный специалист УГЭ")</f>
        <v>Должность: Главный специалист УГЭ</v>
      </c>
      <c r="M51" s="10"/>
      <c r="N51" s="8"/>
      <c r="O51" s="8"/>
      <c r="P51" s="8"/>
      <c r="Q51" s="19" t="str">
        <f>IFERROR(INDEX(W40:W51,MATCH(MATCH(Q48,W40:W51,0)+1,X40:X51,0),1),IFERROR(INDEX(W40:W51,MATCH(MATCH(Q48,W40:W51,0)+2,X40:X51,0),1),IFERROR(INDEX(W40:W51,MATCH(MATCH(Q48,W40:W51,0)+3,X40:X51,0),1),IFERROR(INDEX(W40:W51,MATCH(MATCH(Q48,W40:W51,0)+4,X40:X51,0),1),IFERROR(INDEX(W40:W51,MATCH(MATCH(Q48,W40:W51,0)+5,X40:X51,0),1),IFERROR(INDEX(W40:W51,MATCH(MATCH(Q48,W40:W51,0)+6,X40:X51,0),1),IFERROR(INDEX(W40:W51,MATCH(MATCH(Q48,W40:W51,0)+7,X40:X51,0),1),IFERROR(INDEX(W40:W51,MATCH(MATCH(Q48,W40:W51,0)+8,X40:X51,0),1),""))))))))</f>
        <v xml:space="preserve">Ионин В.А. </v>
      </c>
      <c r="W51" t="s">
        <v>28</v>
      </c>
      <c r="X51" s="5">
        <f>IFERROR(IF(VLOOKUP(9,$D$11:$D$9954,1,0)=9,9,"нет"),0)</f>
        <v>9</v>
      </c>
      <c r="Y51" s="5" t="b">
        <f>X51=V9</f>
        <v>1</v>
      </c>
    </row>
    <row r="52" spans="1:28" s="5" customFormat="1" ht="3" customHeight="1" x14ac:dyDescent="0.25">
      <c r="A52" s="1"/>
      <c r="C52" s="12"/>
      <c r="D52" s="12"/>
      <c r="L52" s="8"/>
      <c r="M52" s="10"/>
      <c r="N52" s="8"/>
      <c r="O52" s="21" t="str">
        <f>IF(Q51="","","________________________________________")</f>
        <v>________________________________________</v>
      </c>
      <c r="P52" s="8"/>
      <c r="Q52" s="19"/>
      <c r="R52" s="5" t="str">
        <f>IF(R51="","","")</f>
        <v/>
      </c>
      <c r="AB52"/>
    </row>
    <row r="53" spans="1:28" ht="15.75" x14ac:dyDescent="0.25">
      <c r="A53" s="1"/>
      <c r="C53" s="8"/>
      <c r="D53" s="8"/>
      <c r="L53" s="8"/>
      <c r="M53" s="10"/>
      <c r="N53" s="13"/>
      <c r="O53" s="48" t="str">
        <f>IF(Q51="","","(подпись, фамилия и инициалы)")</f>
        <v>(подпись, фамилия и инициалы)</v>
      </c>
      <c r="P53" s="48"/>
      <c r="Q53" s="48"/>
      <c r="X53" s="49">
        <f>9-COUNTIF(X40:X51,0)</f>
        <v>7</v>
      </c>
    </row>
    <row r="54" spans="1:28" ht="15.75" x14ac:dyDescent="0.25">
      <c r="A54" s="1"/>
      <c r="C54" s="14"/>
      <c r="D54" s="14"/>
      <c r="L54" s="8" t="str">
        <f>IF(Q54="","","Должность: Главный специалист УГЭ")</f>
        <v>Должность: Главный специалист УГЭ</v>
      </c>
      <c r="M54" s="10"/>
      <c r="N54" s="8"/>
      <c r="O54" s="8"/>
      <c r="P54" s="8"/>
      <c r="Q54" s="19" t="s">
        <v>24</v>
      </c>
      <c r="X54" s="49"/>
    </row>
    <row r="55" spans="1:28" s="5" customFormat="1" ht="3" customHeight="1" x14ac:dyDescent="0.25">
      <c r="A55" s="1"/>
      <c r="C55" s="14"/>
      <c r="D55" s="14"/>
      <c r="L55" s="8"/>
      <c r="M55" s="10"/>
      <c r="N55" s="8"/>
      <c r="O55" s="21" t="str">
        <f>IF(Q54="","","________________________________________")</f>
        <v>________________________________________</v>
      </c>
      <c r="P55" s="8"/>
      <c r="Q55" s="19"/>
      <c r="R55" s="5" t="str">
        <f>IF(R54="","","")</f>
        <v/>
      </c>
      <c r="X55" s="49"/>
      <c r="AB55"/>
    </row>
    <row r="56" spans="1:28" ht="15.75" x14ac:dyDescent="0.25">
      <c r="A56" s="1"/>
      <c r="B56" s="14"/>
      <c r="C56" s="14"/>
      <c r="D56" s="14"/>
      <c r="E56" s="14"/>
      <c r="F56" s="14"/>
      <c r="G56" s="10"/>
      <c r="H56" s="15"/>
      <c r="I56" s="9"/>
      <c r="L56" s="8"/>
      <c r="M56" s="10"/>
      <c r="N56" s="13"/>
      <c r="O56" s="48" t="str">
        <f>IF(Q54="","","(подпись, фамилия и инициалы)")</f>
        <v>(подпись, фамилия и инициалы)</v>
      </c>
      <c r="P56" s="48"/>
      <c r="Q56" s="48"/>
      <c r="X56" s="49"/>
    </row>
    <row r="57" spans="1:28" ht="15.75" x14ac:dyDescent="0.25">
      <c r="A57" s="1"/>
      <c r="B57" s="14"/>
      <c r="C57" s="14"/>
      <c r="D57" s="14"/>
      <c r="E57" s="14"/>
      <c r="F57" s="14"/>
      <c r="G57" s="10"/>
      <c r="H57" s="15"/>
      <c r="I57" s="15"/>
      <c r="L57" s="8" t="str">
        <f>IF(Q57="","","Должность: Главный специалист УГЭ")</f>
        <v>Должность: Главный специалист УГЭ</v>
      </c>
      <c r="M57" s="10"/>
      <c r="N57" s="8"/>
      <c r="O57" s="8"/>
      <c r="P57" s="8"/>
      <c r="Q57" s="19" t="str">
        <f>IFERROR(INDEX(W40:W51,MATCH(MATCH(Q54,W40:W51,0)+1,X40:X51,0),1),IFERROR(INDEX(W40:W51,MATCH(MATCH(Q54,W40:W51,0)+2,X40:X51,0),1),IFERROR(INDEX(W40:W51,MATCH(MATCH(Q54,W40:W51,0)+3,X40:X51,0),1),IFERROR(INDEX(W40:W51,MATCH(MATCH(Q54,W40:W51,0)+4,X40:X51,0),1),IFERROR(INDEX(W40:W51,MATCH(MATCH(Q54,W40:W51,0)+5,X40:X51,0),1),IFERROR(INDEX(W40:W51,MATCH(MATCH(Q54,W40:W51,0)+6,X40:X51,0),1),IFERROR(INDEX(W40:W51,MATCH(MATCH(Q54,W40:W51,0)+7,X40:X51,0),1),IFERROR(INDEX(W40:W51,MATCH(MATCH(Q54,W40:W51,0)+8,X40:X51,0),1),""))))))))</f>
        <v>Витман О.Р.</v>
      </c>
      <c r="X57" s="49"/>
    </row>
    <row r="58" spans="1:28" s="5" customFormat="1" ht="3" customHeight="1" x14ac:dyDescent="0.25">
      <c r="A58" s="1"/>
      <c r="B58" s="14"/>
      <c r="C58" s="14"/>
      <c r="D58" s="14"/>
      <c r="E58" s="14"/>
      <c r="F58" s="14"/>
      <c r="G58" s="10"/>
      <c r="H58" s="15"/>
      <c r="I58" s="15"/>
      <c r="L58" s="8"/>
      <c r="M58" s="10"/>
      <c r="N58" s="8"/>
      <c r="O58" s="21" t="str">
        <f>IF(Q57="","","________________________________________")</f>
        <v>________________________________________</v>
      </c>
      <c r="P58" s="8"/>
      <c r="Q58" s="19"/>
      <c r="R58" s="5" t="str">
        <f>IF(R57="","","")</f>
        <v/>
      </c>
      <c r="AB58"/>
    </row>
    <row r="59" spans="1:28" ht="15.75" x14ac:dyDescent="0.25">
      <c r="A59" s="1"/>
      <c r="B59" s="14"/>
      <c r="C59" s="14"/>
      <c r="D59" s="14"/>
      <c r="E59" s="14"/>
      <c r="F59" s="14"/>
      <c r="G59" s="10"/>
      <c r="H59" s="15"/>
      <c r="I59" s="15"/>
      <c r="L59" s="8"/>
      <c r="M59" s="10"/>
      <c r="N59" s="13"/>
      <c r="O59" s="48" t="str">
        <f>IF(Q57="","","(подпись, фамилия и инициалы)")</f>
        <v>(подпись, фамилия и инициалы)</v>
      </c>
      <c r="P59" s="48"/>
      <c r="Q59" s="48"/>
    </row>
    <row r="60" spans="1:28" ht="15.75" x14ac:dyDescent="0.25">
      <c r="A60" s="1"/>
      <c r="B60" s="14"/>
      <c r="C60" s="14"/>
      <c r="D60" s="14"/>
      <c r="E60" s="14"/>
      <c r="F60" s="14"/>
      <c r="G60" s="10"/>
      <c r="H60" s="15"/>
      <c r="I60" s="15"/>
      <c r="L60" s="8" t="str">
        <f>IF(Q60="","","Должность: Главный специалист УГЭ")</f>
        <v>Должность: Главный специалист УГЭ</v>
      </c>
      <c r="M60" s="10"/>
      <c r="N60" s="8"/>
      <c r="O60" s="8"/>
      <c r="P60" s="8"/>
      <c r="Q60" s="19" t="s">
        <v>27</v>
      </c>
    </row>
    <row r="61" spans="1:28" s="5" customFormat="1" ht="3" customHeight="1" x14ac:dyDescent="0.25">
      <c r="A61" s="1"/>
      <c r="B61" s="14"/>
      <c r="C61" s="14"/>
      <c r="D61" s="14"/>
      <c r="E61" s="14"/>
      <c r="F61" s="14"/>
      <c r="G61" s="10"/>
      <c r="H61" s="15"/>
      <c r="I61" s="15"/>
      <c r="L61" s="8"/>
      <c r="M61" s="10"/>
      <c r="N61" s="8"/>
      <c r="O61" s="21" t="str">
        <f>IF(Q60="","","________________________________________")</f>
        <v>________________________________________</v>
      </c>
      <c r="P61" s="8"/>
      <c r="Q61" s="19"/>
      <c r="R61" s="5" t="str">
        <f>IF(R60="","","")</f>
        <v/>
      </c>
      <c r="AB61"/>
    </row>
    <row r="62" spans="1:28" ht="15.75" x14ac:dyDescent="0.25">
      <c r="A62" s="1"/>
      <c r="B62" s="16"/>
      <c r="C62" s="16"/>
      <c r="D62" s="16"/>
      <c r="E62" s="16"/>
      <c r="F62" s="16"/>
      <c r="G62" s="16"/>
      <c r="H62" s="16"/>
      <c r="I62" s="16"/>
      <c r="L62" s="8"/>
      <c r="M62" s="10"/>
      <c r="N62" s="13"/>
      <c r="O62" s="48" t="str">
        <f>IF(Q60="","","(подпись, фамилия и инициалы)")</f>
        <v>(подпись, фамилия и инициалы)</v>
      </c>
      <c r="P62" s="48"/>
      <c r="Q62" s="48"/>
    </row>
    <row r="63" spans="1:28" ht="15.75" x14ac:dyDescent="0.25">
      <c r="A63" s="1"/>
      <c r="B63" s="16"/>
      <c r="C63" s="16"/>
      <c r="D63" s="16"/>
      <c r="E63" s="16"/>
      <c r="F63" s="16"/>
      <c r="G63" s="16"/>
      <c r="H63" s="16"/>
      <c r="I63" s="16"/>
      <c r="L63" s="8" t="str">
        <f>IF(Q63="","","Должность: Главный специалист УГЭ")</f>
        <v/>
      </c>
      <c r="M63" s="10"/>
      <c r="N63" s="8"/>
      <c r="O63" s="8"/>
      <c r="P63" s="8"/>
      <c r="Q63" s="19" t="str">
        <f>IFERROR(INDEX(W40:W51,MATCH(MATCH(Q60,W40:W51,0)+1,X40:X51,0),1),IFERROR(INDEX(W40:W51,MATCH(MATCH(Q60,W40:W51,0)+2,X40:X51,0),1),IFERROR(INDEX(W40:W51,MATCH(MATCH(Q60,W40:W51,0)+3,X40:X51,0),1),IFERROR(INDEX(W40:W51,MATCH(MATCH(Q60,W40:W51,0)+4,X40:X51,0),1),IFERROR(INDEX(W40:W51,MATCH(MATCH(Q60,W40:W51,0)+5,X40:X51,0),1),IFERROR(INDEX(W40:W51,MATCH(MATCH(Q60,W40:W51,0)+6,X40:X51,0),1),IFERROR(INDEX(W40:W51,MATCH(MATCH(Q60,W40:W51,0)+7,X40:X51,0),1),IFERROR(INDEX(W40:W51,MATCH(MATCH(Q60,W40:W51,0)+8,X40:X51,0),1),""))))))))</f>
        <v/>
      </c>
    </row>
    <row r="64" spans="1:28" s="5" customFormat="1" ht="3" customHeight="1" x14ac:dyDescent="0.25">
      <c r="A64" s="1"/>
      <c r="B64" s="16"/>
      <c r="C64" s="16"/>
      <c r="D64" s="16"/>
      <c r="E64" s="16"/>
      <c r="F64" s="16"/>
      <c r="G64" s="16"/>
      <c r="H64" s="16"/>
      <c r="I64" s="16"/>
      <c r="L64" s="8"/>
      <c r="M64" s="10"/>
      <c r="N64" s="8"/>
      <c r="O64" s="21" t="str">
        <f>IF(Q63="","","________________________________________")</f>
        <v/>
      </c>
      <c r="P64" s="8"/>
      <c r="Q64" s="19"/>
      <c r="R64" s="5" t="str">
        <f>IF(R63="","","")</f>
        <v/>
      </c>
      <c r="AB64"/>
    </row>
    <row r="65" spans="1:28" ht="15.75" x14ac:dyDescent="0.25">
      <c r="A65" s="1"/>
      <c r="B65" s="14"/>
      <c r="C65" s="14"/>
      <c r="D65" s="14"/>
      <c r="E65" s="14"/>
      <c r="F65" s="14"/>
      <c r="G65" s="10"/>
      <c r="H65" s="15"/>
      <c r="I65" s="15"/>
      <c r="L65" s="8"/>
      <c r="M65" s="10"/>
      <c r="N65" s="13"/>
      <c r="O65" s="48" t="str">
        <f>IF(Q63="","","(подпись, фамилия и инициалы)")</f>
        <v/>
      </c>
      <c r="P65" s="48"/>
      <c r="Q65" s="48"/>
    </row>
    <row r="66" spans="1:28" ht="15.75" x14ac:dyDescent="0.25">
      <c r="A66" s="1"/>
      <c r="B66" s="14"/>
      <c r="C66" s="14"/>
      <c r="D66" s="14"/>
      <c r="E66" s="14"/>
      <c r="F66" s="14"/>
      <c r="G66" s="10"/>
      <c r="H66" s="15"/>
      <c r="I66" s="15"/>
      <c r="L66" s="8" t="str">
        <f>IF(Q66="","","Должность: Главный специалист УГЭ")</f>
        <v/>
      </c>
      <c r="M66" s="10"/>
      <c r="N66" s="8"/>
      <c r="O66" s="8"/>
      <c r="P66" s="8"/>
      <c r="Q66" s="19" t="str">
        <f>IFERROR(INDEX(W40:W51,MATCH(MATCH(Q63,W40:W51,0)+1,X40:X51,0),1),IFERROR(INDEX(W40:W51,MATCH(MATCH(Q63,W40:W51,0)+2,X40:X51,0),1),IFERROR(INDEX(W40:W51,MATCH(MATCH(Q63,W40:W51,0)+3,X40:X51,0),1),IFERROR(INDEX(W40:W51,MATCH(MATCH(Q63,W40:W51,0)+4,X40:X51,0),1),IFERROR(INDEX(W40:W51,MATCH(MATCH(Q63,W40:W51,0)+5,X40:X51,0),1),IFERROR(INDEX(W40:W51,MATCH(MATCH(Q63,W40:W51,0)+6,X40:X51,0),1),IFERROR(INDEX(W40:W51,MATCH(MATCH(Q63,W40:W51,0)+7,X40:X51,0),1),IFERROR(INDEX(W40:W51,MATCH(MATCH(Q63,W40:W51,0)+8,X40:X51,0),1),""))))))))</f>
        <v/>
      </c>
    </row>
    <row r="67" spans="1:28" s="5" customFormat="1" ht="3" customHeight="1" x14ac:dyDescent="0.25">
      <c r="A67" s="1"/>
      <c r="B67" s="14"/>
      <c r="C67" s="14"/>
      <c r="D67" s="14"/>
      <c r="E67" s="14"/>
      <c r="F67" s="14"/>
      <c r="G67" s="10"/>
      <c r="H67" s="15"/>
      <c r="I67" s="15"/>
      <c r="L67" s="8"/>
      <c r="M67" s="10"/>
      <c r="N67" s="8"/>
      <c r="O67" s="21" t="str">
        <f>IF(Q66="","","________________________________________")</f>
        <v/>
      </c>
      <c r="P67" s="8"/>
      <c r="Q67" s="19"/>
      <c r="R67" s="5" t="str">
        <f>IF(R66="","","")</f>
        <v/>
      </c>
      <c r="AB67"/>
    </row>
    <row r="68" spans="1:28" ht="15.75" x14ac:dyDescent="0.25">
      <c r="A68" s="1"/>
      <c r="B68" s="14"/>
      <c r="C68" s="14"/>
      <c r="D68" s="14"/>
      <c r="E68" s="14"/>
      <c r="F68" s="14"/>
      <c r="G68" s="10"/>
      <c r="H68" s="15"/>
      <c r="I68" s="15"/>
      <c r="L68" s="8"/>
      <c r="M68" s="10"/>
      <c r="N68" s="13"/>
      <c r="O68" s="48" t="str">
        <f>IF(Q66="","","(подпись, фамилия и инициалы)")</f>
        <v/>
      </c>
      <c r="P68" s="48"/>
      <c r="Q68" s="48"/>
    </row>
    <row r="69" spans="1:28" x14ac:dyDescent="0.25">
      <c r="A69" s="1"/>
      <c r="B69" s="14"/>
      <c r="C69" s="14"/>
      <c r="D69" s="14"/>
      <c r="E69" s="14"/>
      <c r="F69" s="14"/>
      <c r="G69" s="10"/>
      <c r="H69" s="15"/>
      <c r="I69" s="15"/>
      <c r="J69" s="10"/>
      <c r="K69" s="10"/>
      <c r="L69" s="10"/>
      <c r="M69" s="10"/>
      <c r="N69" s="16"/>
      <c r="O69" s="16"/>
      <c r="P69" s="16"/>
      <c r="Q69" s="16"/>
      <c r="R69" s="16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28" x14ac:dyDescent="0.25">
      <c r="Q72" s="5"/>
    </row>
    <row r="73" spans="1:28" x14ac:dyDescent="0.25">
      <c r="Q73" s="5"/>
    </row>
    <row r="74" spans="1:28" x14ac:dyDescent="0.25">
      <c r="Q74" s="5"/>
    </row>
    <row r="75" spans="1:28" x14ac:dyDescent="0.25">
      <c r="Q75" s="5"/>
    </row>
    <row r="77" spans="1:28" x14ac:dyDescent="0.25">
      <c r="Q77" s="5"/>
    </row>
    <row r="78" spans="1:28" x14ac:dyDescent="0.25">
      <c r="Q78" s="5"/>
    </row>
  </sheetData>
  <autoFilter ref="A10:R38"/>
  <mergeCells count="17">
    <mergeCell ref="X53:X57"/>
    <mergeCell ref="O56:Q56"/>
    <mergeCell ref="O59:Q59"/>
    <mergeCell ref="O62:Q62"/>
    <mergeCell ref="O65:Q65"/>
    <mergeCell ref="O68:Q68"/>
    <mergeCell ref="O47:Q47"/>
    <mergeCell ref="O50:Q50"/>
    <mergeCell ref="O53:Q53"/>
    <mergeCell ref="H44:I44"/>
    <mergeCell ref="H47:I47"/>
    <mergeCell ref="H50:I50"/>
    <mergeCell ref="T2:U6"/>
    <mergeCell ref="A8:R8"/>
    <mergeCell ref="A9:K9"/>
    <mergeCell ref="L9:N9"/>
    <mergeCell ref="O44:Q44"/>
  </mergeCells>
  <dataValidations count="1">
    <dataValidation type="list" allowBlank="1" showInputMessage="1" showErrorMessage="1" sqref="L9:N9">
      <formula1>$Z$1:$Z$9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1" fitToHeight="0" orientation="landscape" cellComments="atEnd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Осмотры</vt:lpstr>
      <vt:lpstr>Осмотры!Заголовки_для_печати</vt:lpstr>
      <vt:lpstr>Осмотры!Область_печати</vt:lpstr>
    </vt:vector>
  </TitlesOfParts>
  <Company>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Маталасов Николай Петрович</dc:creator>
  <cp:lastModifiedBy>Тумаков Сергей Игоревич</cp:lastModifiedBy>
  <cp:lastPrinted>2024-01-10T08:32:51Z</cp:lastPrinted>
  <dcterms:created xsi:type="dcterms:W3CDTF">2022-12-02T10:54:54Z</dcterms:created>
  <dcterms:modified xsi:type="dcterms:W3CDTF">2024-01-22T08:06:32Z</dcterms:modified>
</cp:coreProperties>
</file>