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Feuil1" sheetId="1" r:id="rId1"/>
    <sheet name="Feuil2" sheetId="2" r:id="rId2"/>
    <sheet name="Feuil3" sheetId="3" r:id="rId3"/>
  </sheets>
  <calcPr calcId="125725" iterateDelta="1E-4"/>
</workbook>
</file>

<file path=xl/calcChain.xml><?xml version="1.0" encoding="utf-8"?>
<calcChain xmlns="http://schemas.openxmlformats.org/spreadsheetml/2006/main">
  <c r="E42" i="1"/>
  <c r="G41"/>
  <c r="F41"/>
  <c r="E41"/>
  <c r="E43" s="1"/>
  <c r="E44" s="1"/>
  <c r="F40"/>
  <c r="F42" s="1"/>
  <c r="E40"/>
  <c r="G37"/>
  <c r="G38" s="1"/>
  <c r="F37"/>
  <c r="F38" s="1"/>
  <c r="E37"/>
  <c r="E38" s="1"/>
  <c r="G26"/>
  <c r="F26"/>
  <c r="E26"/>
  <c r="F25"/>
  <c r="E25"/>
  <c r="G23"/>
  <c r="G24" s="1"/>
  <c r="F23"/>
  <c r="F24" s="1"/>
  <c r="F29" s="1"/>
  <c r="E23"/>
  <c r="E24" s="1"/>
  <c r="E29" s="1"/>
  <c r="G8"/>
  <c r="G33" s="1"/>
  <c r="G34" s="1"/>
  <c r="G35" s="1"/>
  <c r="G7"/>
  <c r="F33" s="1"/>
  <c r="F34" s="1"/>
  <c r="F35" s="1"/>
  <c r="G6"/>
  <c r="E33" s="1"/>
  <c r="E34" s="1"/>
  <c r="E35" s="1"/>
  <c r="F32" l="1"/>
  <c r="F30"/>
  <c r="E30"/>
  <c r="E32"/>
  <c r="G25"/>
  <c r="G29"/>
  <c r="G40"/>
  <c r="F43"/>
  <c r="F44" s="1"/>
  <c r="G42" l="1"/>
  <c r="G43"/>
  <c r="G44" s="1"/>
  <c r="G32"/>
  <c r="G30"/>
</calcChain>
</file>

<file path=xl/sharedStrings.xml><?xml version="1.0" encoding="utf-8"?>
<sst xmlns="http://schemas.openxmlformats.org/spreadsheetml/2006/main" count="42" uniqueCount="39">
  <si>
    <t>Average price by PCB factories for 500</t>
  </si>
  <si>
    <t>Average price by PCB factories for 1000 units</t>
  </si>
  <si>
    <t>Average price by PCB factories for 5000 units</t>
  </si>
  <si>
    <t>CS transport fee</t>
  </si>
  <si>
    <t>Percentage of 12% CS</t>
  </si>
  <si>
    <t>8usd fee per unit DS</t>
  </si>
  <si>
    <t>Only paiment fee 2.9%</t>
  </si>
  <si>
    <t>Margin calculation / Funding goal</t>
  </si>
  <si>
    <t>Estimated quantity in units</t>
  </si>
  <si>
    <t>Target price Sharpikeebo</t>
  </si>
  <si>
    <t>Gross turnover in USD</t>
  </si>
  <si>
    <t>Commission Crowdsupply</t>
  </si>
  <si>
    <t>Payment fee  2.9%</t>
  </si>
  <si>
    <t>Handling fee 8USD per unit</t>
  </si>
  <si>
    <t>Import custims</t>
  </si>
  <si>
    <t>Morpheans Gross margin in USD</t>
  </si>
  <si>
    <t>Gross margin percentage</t>
  </si>
  <si>
    <t>En euros</t>
  </si>
  <si>
    <t>Morpheans Gross margin in EUR</t>
  </si>
  <si>
    <t>Total fee per unit</t>
  </si>
  <si>
    <t>Minimun sale amount to cover costs</t>
  </si>
  <si>
    <t>Minimum Units to sell to cover costs</t>
  </si>
  <si>
    <t>Funding goal in unit</t>
  </si>
  <si>
    <t>Funding goal in amount</t>
  </si>
  <si>
    <t>Minimal profit if goal is reached</t>
  </si>
  <si>
    <t>Direct sale estimation with no CF</t>
  </si>
  <si>
    <t>Shipping 15 EUR/pc</t>
  </si>
  <si>
    <t>Tindie 9% percentage</t>
  </si>
  <si>
    <t>Suggestion bonus if we reach 1000 backers</t>
  </si>
  <si>
    <t>If QTY&gt;100, we would have the money to pay for a plastic injection mold (20 000 USD investment , one short) . So we can offer an enclosure for free</t>
  </si>
  <si>
    <t>Rewards for QTY limit reached</t>
  </si>
  <si>
    <t>If QTY &gt; 5000, we would offer a leather enclosure</t>
  </si>
  <si>
    <t>per unit for 500 units</t>
  </si>
  <si>
    <t>per unit for 1000 units</t>
  </si>
  <si>
    <t>per unit for 5000 units</t>
  </si>
  <si>
    <t>Full assembled  with displaty  for 500</t>
  </si>
  <si>
    <t>Full assembled  with displaty  for 1000</t>
  </si>
  <si>
    <t>Full assembled  with displaty  for 5000</t>
  </si>
  <si>
    <t>We asked 10 different PCB factories to define an averadge price per unit.  We will use our current supplyer has the price is in the range</t>
  </si>
</sst>
</file>

<file path=xl/styles.xml><?xml version="1.0" encoding="utf-8"?>
<styleSheet xmlns="http://schemas.openxmlformats.org/spreadsheetml/2006/main">
  <numFmts count="6">
    <numFmt numFmtId="44" formatCode="_-* #,##0.00\ &quot;€&quot;_-;\-* #,##0.00\ &quot;€&quot;_-;_-* &quot;-&quot;??\ &quot;€&quot;_-;_-@_-"/>
    <numFmt numFmtId="164" formatCode="[$$-409]#,##0.00"/>
    <numFmt numFmtId="165" formatCode="_-[$$-409]* #,##0.00_ ;_-[$$-409]* \-#,##0.00\ ;_-[$$-409]* &quot;-&quot;??_ ;_-@_ "/>
    <numFmt numFmtId="166" formatCode="#,##0_ ;\-#,##0\ "/>
    <numFmt numFmtId="167" formatCode="[$$-409]#,##0_ ;\-[$$-409]#,##0\ "/>
    <numFmt numFmtId="168" formatCode="#,##0.00\ &quot;€&quot;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164" fontId="0" fillId="0" borderId="5" xfId="0" applyNumberFormat="1" applyBorder="1"/>
    <xf numFmtId="0" fontId="0" fillId="2" borderId="5" xfId="0" applyFill="1" applyBorder="1" applyAlignment="1">
      <alignment horizontal="right"/>
    </xf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0" xfId="0" applyAlignme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164" fontId="1" fillId="4" borderId="0" xfId="0" applyNumberFormat="1" applyFont="1" applyFill="1" applyBorder="1"/>
    <xf numFmtId="164" fontId="0" fillId="0" borderId="0" xfId="0" applyNumberFormat="1" applyBorder="1"/>
    <xf numFmtId="10" fontId="0" fillId="0" borderId="0" xfId="0" applyNumberFormat="1" applyBorder="1"/>
    <xf numFmtId="0" fontId="1" fillId="0" borderId="0" xfId="0" applyFont="1" applyBorder="1"/>
    <xf numFmtId="44" fontId="0" fillId="0" borderId="0" xfId="0" applyNumberFormat="1" applyBorder="1"/>
    <xf numFmtId="164" fontId="2" fillId="0" borderId="0" xfId="0" applyNumberFormat="1" applyFont="1" applyBorder="1"/>
    <xf numFmtId="165" fontId="0" fillId="0" borderId="0" xfId="0" applyNumberFormat="1" applyBorder="1"/>
    <xf numFmtId="0" fontId="1" fillId="2" borderId="4" xfId="0" applyFont="1" applyFill="1" applyBorder="1"/>
    <xf numFmtId="0" fontId="1" fillId="2" borderId="0" xfId="0" applyFont="1" applyFill="1" applyBorder="1"/>
    <xf numFmtId="166" fontId="1" fillId="2" borderId="0" xfId="0" applyNumberFormat="1" applyFont="1" applyFill="1" applyBorder="1"/>
    <xf numFmtId="167" fontId="1" fillId="2" borderId="0" xfId="0" applyNumberFormat="1" applyFont="1" applyFill="1" applyBorder="1"/>
    <xf numFmtId="0" fontId="1" fillId="0" borderId="4" xfId="0" applyFont="1" applyBorder="1"/>
    <xf numFmtId="167" fontId="1" fillId="0" borderId="0" xfId="0" applyNumberFormat="1" applyFont="1" applyBorder="1"/>
    <xf numFmtId="0" fontId="5" fillId="5" borderId="4" xfId="0" applyFont="1" applyFill="1" applyBorder="1"/>
    <xf numFmtId="0" fontId="5" fillId="5" borderId="0" xfId="0" applyFont="1" applyFill="1" applyBorder="1"/>
    <xf numFmtId="165" fontId="5" fillId="5" borderId="0" xfId="0" applyNumberFormat="1" applyFont="1" applyFill="1" applyBorder="1"/>
    <xf numFmtId="0" fontId="6" fillId="5" borderId="0" xfId="0" applyFont="1" applyFill="1" applyBorder="1"/>
    <xf numFmtId="168" fontId="5" fillId="5" borderId="0" xfId="0" applyNumberFormat="1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183477</xdr:colOff>
      <xdr:row>1</xdr:row>
      <xdr:rowOff>108342</xdr:rowOff>
    </xdr:from>
    <xdr:to>
      <xdr:col>2</xdr:col>
      <xdr:colOff>1463744</xdr:colOff>
      <xdr:row>4</xdr:row>
      <xdr:rowOff>54428</xdr:rowOff>
    </xdr:to>
    <xdr:pic>
      <xdr:nvPicPr>
        <xdr:cNvPr id="2" name="Image 1" descr="morpheans GRD-0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77" y="298842"/>
          <a:ext cx="1280267" cy="1347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H49"/>
  <sheetViews>
    <sheetView tabSelected="1" zoomScale="85" zoomScaleNormal="85" workbookViewId="0">
      <selection activeCell="C47" sqref="C47:G49"/>
    </sheetView>
  </sheetViews>
  <sheetFormatPr baseColWidth="10" defaultRowHeight="15"/>
  <cols>
    <col min="2" max="2" width="5.7109375" customWidth="1"/>
    <col min="3" max="3" width="50.42578125" customWidth="1"/>
    <col min="4" max="4" width="47.5703125" customWidth="1"/>
    <col min="5" max="5" width="41.28515625" customWidth="1"/>
    <col min="6" max="6" width="41.7109375" customWidth="1"/>
    <col min="7" max="7" width="39.28515625" customWidth="1"/>
    <col min="8" max="8" width="31.85546875" customWidth="1"/>
  </cols>
  <sheetData>
    <row r="2" spans="2:8" ht="77.25" customHeight="1"/>
    <row r="4" spans="2:8" ht="18" customHeight="1">
      <c r="D4" t="s">
        <v>38</v>
      </c>
    </row>
    <row r="5" spans="2:8">
      <c r="C5" s="1"/>
      <c r="D5" s="2"/>
      <c r="E5" s="2"/>
      <c r="F5" s="2"/>
      <c r="G5" s="3"/>
      <c r="H5" s="4"/>
    </row>
    <row r="6" spans="2:8">
      <c r="C6" s="5"/>
      <c r="D6" s="6" t="s">
        <v>0</v>
      </c>
      <c r="E6" s="7">
        <v>22.72</v>
      </c>
      <c r="F6" s="8" t="s">
        <v>35</v>
      </c>
      <c r="G6" s="9">
        <f t="shared" ref="G6:G13" si="0">E6+13.5</f>
        <v>36.22</v>
      </c>
      <c r="H6" s="10" t="s">
        <v>32</v>
      </c>
    </row>
    <row r="7" spans="2:8">
      <c r="C7" s="5"/>
      <c r="D7" s="6" t="s">
        <v>1</v>
      </c>
      <c r="E7" s="7">
        <v>21.52</v>
      </c>
      <c r="F7" s="8" t="s">
        <v>36</v>
      </c>
      <c r="G7" s="9">
        <f t="shared" si="0"/>
        <v>35.019999999999996</v>
      </c>
      <c r="H7" s="10" t="s">
        <v>33</v>
      </c>
    </row>
    <row r="8" spans="2:8">
      <c r="C8" s="5"/>
      <c r="D8" s="6" t="s">
        <v>2</v>
      </c>
      <c r="E8" s="7">
        <v>19.72</v>
      </c>
      <c r="F8" s="8" t="s">
        <v>37</v>
      </c>
      <c r="G8" s="9">
        <f t="shared" si="0"/>
        <v>33.22</v>
      </c>
      <c r="H8" s="10" t="s">
        <v>34</v>
      </c>
    </row>
    <row r="9" spans="2:8">
      <c r="C9" s="11"/>
      <c r="D9" s="12"/>
      <c r="E9" s="12"/>
      <c r="F9" s="12"/>
      <c r="G9" s="12"/>
      <c r="H9" s="13"/>
    </row>
    <row r="11" spans="2:8">
      <c r="D11" s="14" t="s">
        <v>3</v>
      </c>
      <c r="F11" s="15">
        <v>8</v>
      </c>
    </row>
    <row r="12" spans="2:8">
      <c r="D12" s="14" t="s">
        <v>4</v>
      </c>
      <c r="F12" s="16">
        <v>0.12</v>
      </c>
    </row>
    <row r="13" spans="2:8">
      <c r="D13" s="14" t="s">
        <v>5</v>
      </c>
      <c r="F13" s="15">
        <v>8</v>
      </c>
    </row>
    <row r="14" spans="2:8">
      <c r="D14" s="14" t="s">
        <v>6</v>
      </c>
      <c r="F14">
        <v>2.9</v>
      </c>
    </row>
    <row r="16" spans="2:8">
      <c r="B16" s="17"/>
      <c r="C16" s="17"/>
      <c r="D16" s="17"/>
      <c r="E16" s="17"/>
      <c r="F16" s="17"/>
      <c r="G16" s="17"/>
      <c r="H16" s="17"/>
    </row>
    <row r="17" spans="3:8" ht="18.75">
      <c r="C17" s="18" t="s">
        <v>7</v>
      </c>
      <c r="D17" s="19"/>
      <c r="E17" s="19"/>
      <c r="F17" s="19"/>
      <c r="G17" s="19"/>
      <c r="H17" s="20"/>
    </row>
    <row r="18" spans="3:8">
      <c r="C18" s="5"/>
      <c r="D18" s="21"/>
      <c r="E18" s="21"/>
      <c r="F18" s="21"/>
      <c r="G18" s="21"/>
      <c r="H18" s="10"/>
    </row>
    <row r="19" spans="3:8">
      <c r="C19" s="5"/>
      <c r="D19" s="21"/>
      <c r="E19" s="21"/>
      <c r="F19" s="21"/>
      <c r="G19" s="21"/>
      <c r="H19" s="10"/>
    </row>
    <row r="20" spans="3:8">
      <c r="C20" s="5"/>
      <c r="D20" s="22"/>
      <c r="E20" s="21"/>
      <c r="F20" s="21"/>
      <c r="G20" s="21"/>
      <c r="H20" s="10"/>
    </row>
    <row r="21" spans="3:8">
      <c r="C21" s="5"/>
      <c r="D21" s="23" t="s">
        <v>8</v>
      </c>
      <c r="E21" s="21">
        <v>500</v>
      </c>
      <c r="F21" s="21">
        <v>1000</v>
      </c>
      <c r="G21" s="21">
        <v>5000</v>
      </c>
      <c r="H21" s="10"/>
    </row>
    <row r="22" spans="3:8">
      <c r="C22" s="5" t="s">
        <v>9</v>
      </c>
      <c r="D22" s="24">
        <v>150</v>
      </c>
      <c r="E22" s="21"/>
      <c r="F22" s="21"/>
      <c r="G22" s="21"/>
      <c r="H22" s="10"/>
    </row>
    <row r="23" spans="3:8">
      <c r="C23" s="5"/>
      <c r="D23" s="21" t="s">
        <v>10</v>
      </c>
      <c r="E23" s="25">
        <f>D22*E21</f>
        <v>75000</v>
      </c>
      <c r="F23" s="25">
        <f>D22*F21</f>
        <v>150000</v>
      </c>
      <c r="G23" s="25">
        <f>G21*D22</f>
        <v>750000</v>
      </c>
      <c r="H23" s="10"/>
    </row>
    <row r="24" spans="3:8">
      <c r="C24" s="5"/>
      <c r="D24" s="22" t="s">
        <v>11</v>
      </c>
      <c r="E24" s="25">
        <f>E23*0.12</f>
        <v>9000</v>
      </c>
      <c r="F24" s="25">
        <f>F23*0.12</f>
        <v>18000</v>
      </c>
      <c r="G24" s="25">
        <f>G23*0.12</f>
        <v>90000</v>
      </c>
      <c r="H24" s="10"/>
    </row>
    <row r="25" spans="3:8">
      <c r="C25" s="5"/>
      <c r="D25" s="22" t="s">
        <v>12</v>
      </c>
      <c r="E25" s="25">
        <f>E23*0.029</f>
        <v>2175</v>
      </c>
      <c r="F25" s="25">
        <f t="shared" ref="F25:G25" si="1">F23*0.029</f>
        <v>4350</v>
      </c>
      <c r="G25" s="25">
        <f t="shared" si="1"/>
        <v>21750</v>
      </c>
      <c r="H25" s="10"/>
    </row>
    <row r="26" spans="3:8">
      <c r="C26" s="5"/>
      <c r="D26" s="22" t="s">
        <v>13</v>
      </c>
      <c r="E26" s="25">
        <f>8*E21</f>
        <v>4000</v>
      </c>
      <c r="F26" s="25">
        <f>8*F21</f>
        <v>8000</v>
      </c>
      <c r="G26" s="25">
        <f>8*G21</f>
        <v>40000</v>
      </c>
      <c r="H26" s="10"/>
    </row>
    <row r="27" spans="3:8">
      <c r="C27" s="5"/>
      <c r="D27" s="22" t="s">
        <v>14</v>
      </c>
      <c r="E27" s="21"/>
      <c r="F27" s="21"/>
      <c r="G27" s="21"/>
      <c r="H27" s="10"/>
    </row>
    <row r="28" spans="3:8">
      <c r="C28" s="5"/>
      <c r="D28" s="21"/>
      <c r="E28" s="21"/>
      <c r="F28" s="21"/>
      <c r="G28" s="21"/>
      <c r="H28" s="10"/>
    </row>
    <row r="29" spans="3:8">
      <c r="C29" s="5"/>
      <c r="D29" s="22" t="s">
        <v>15</v>
      </c>
      <c r="E29" s="25">
        <f>(E23-E24-E25-E26)-(E21*G6)</f>
        <v>41715</v>
      </c>
      <c r="F29" s="25">
        <f>(F23-F24-F25-F26)-(G7*F21)</f>
        <v>84630</v>
      </c>
      <c r="G29" s="25">
        <f>(G23-G24-G25-G26)-(G8*5000)</f>
        <v>432150</v>
      </c>
      <c r="H29" s="10"/>
    </row>
    <row r="30" spans="3:8">
      <c r="C30" s="5"/>
      <c r="D30" s="22" t="s">
        <v>16</v>
      </c>
      <c r="E30" s="26">
        <f>(E29/E23)</f>
        <v>0.55620000000000003</v>
      </c>
      <c r="F30" s="26">
        <f t="shared" ref="F30:G30" si="2">F29/F23</f>
        <v>0.56420000000000003</v>
      </c>
      <c r="G30" s="26">
        <f t="shared" si="2"/>
        <v>0.57620000000000005</v>
      </c>
      <c r="H30" s="10"/>
    </row>
    <row r="31" spans="3:8">
      <c r="C31" s="5"/>
      <c r="D31" s="27" t="s">
        <v>17</v>
      </c>
      <c r="E31" s="21"/>
      <c r="F31" s="21"/>
      <c r="G31" s="21"/>
      <c r="H31" s="10"/>
    </row>
    <row r="32" spans="3:8">
      <c r="C32" s="5"/>
      <c r="D32" s="22" t="s">
        <v>18</v>
      </c>
      <c r="E32" s="28">
        <f>E29*0.9</f>
        <v>37543.5</v>
      </c>
      <c r="F32" s="28">
        <f t="shared" ref="F32:G32" si="3">F29*0.9</f>
        <v>76167</v>
      </c>
      <c r="G32" s="28">
        <f t="shared" si="3"/>
        <v>388935</v>
      </c>
      <c r="H32" s="10"/>
    </row>
    <row r="33" spans="3:8">
      <c r="C33" s="5" t="s">
        <v>19</v>
      </c>
      <c r="D33" s="29"/>
      <c r="E33" s="25">
        <f>(G6*1.029*1.12)+8</f>
        <v>49.742825599999996</v>
      </c>
      <c r="F33" s="25">
        <f>(G7*1.029*1.12)+8</f>
        <v>48.359849599999997</v>
      </c>
      <c r="G33" s="25">
        <f>(G8*1.029*1.12)+8</f>
        <v>46.285385599999998</v>
      </c>
      <c r="H33" s="10"/>
    </row>
    <row r="34" spans="3:8">
      <c r="C34" s="5" t="s">
        <v>20</v>
      </c>
      <c r="D34" s="22"/>
      <c r="E34" s="30">
        <f>500*E33</f>
        <v>24871.412799999998</v>
      </c>
      <c r="F34" s="30">
        <f>1000*F33</f>
        <v>48359.849599999994</v>
      </c>
      <c r="G34" s="30">
        <f>5000*G33</f>
        <v>231426.92799999999</v>
      </c>
      <c r="H34" s="10"/>
    </row>
    <row r="35" spans="3:8">
      <c r="C35" s="31" t="s">
        <v>21</v>
      </c>
      <c r="D35" s="32"/>
      <c r="E35" s="33">
        <f>E34/150</f>
        <v>165.80941866666666</v>
      </c>
      <c r="F35" s="33">
        <f>F34/150</f>
        <v>322.39899733333328</v>
      </c>
      <c r="G35" s="33">
        <f>G34/150</f>
        <v>1542.8461866666667</v>
      </c>
      <c r="H35" s="10"/>
    </row>
    <row r="36" spans="3:8">
      <c r="C36" s="31" t="s">
        <v>22</v>
      </c>
      <c r="D36" s="32"/>
      <c r="E36" s="33">
        <v>300</v>
      </c>
      <c r="F36" s="33">
        <v>600</v>
      </c>
      <c r="G36" s="33">
        <v>3000</v>
      </c>
      <c r="H36" s="10"/>
    </row>
    <row r="37" spans="3:8">
      <c r="C37" s="31" t="s">
        <v>23</v>
      </c>
      <c r="D37" s="32"/>
      <c r="E37" s="34">
        <f>E36*150</f>
        <v>45000</v>
      </c>
      <c r="F37" s="34">
        <f>F36*150</f>
        <v>90000</v>
      </c>
      <c r="G37" s="34">
        <f>G36*150</f>
        <v>450000</v>
      </c>
      <c r="H37" s="10"/>
    </row>
    <row r="38" spans="3:8">
      <c r="C38" s="35" t="s">
        <v>24</v>
      </c>
      <c r="D38" s="27"/>
      <c r="E38" s="36">
        <f>E37-(E36*E33)</f>
        <v>30077.152320000001</v>
      </c>
      <c r="F38" s="36">
        <f>F37-(F36*F33)</f>
        <v>60984.090240000005</v>
      </c>
      <c r="G38" s="36">
        <f>G37-(G36*G33)</f>
        <v>311143.8432</v>
      </c>
      <c r="H38" s="10"/>
    </row>
    <row r="39" spans="3:8">
      <c r="C39" s="5"/>
      <c r="D39" s="21"/>
      <c r="E39" s="21"/>
      <c r="F39" s="21"/>
      <c r="G39" s="21"/>
      <c r="H39" s="10"/>
    </row>
    <row r="40" spans="3:8">
      <c r="C40" s="37" t="s">
        <v>25</v>
      </c>
      <c r="D40" s="38" t="s">
        <v>10</v>
      </c>
      <c r="E40" s="39">
        <f>E23</f>
        <v>75000</v>
      </c>
      <c r="F40" s="39">
        <f>F23</f>
        <v>150000</v>
      </c>
      <c r="G40" s="39">
        <f>G23</f>
        <v>750000</v>
      </c>
      <c r="H40" s="10"/>
    </row>
    <row r="41" spans="3:8">
      <c r="C41" s="37"/>
      <c r="D41" s="38" t="s">
        <v>26</v>
      </c>
      <c r="E41" s="39">
        <f>15*E21</f>
        <v>7500</v>
      </c>
      <c r="F41" s="39">
        <f t="shared" ref="F41:G41" si="4">15*F21</f>
        <v>15000</v>
      </c>
      <c r="G41" s="39">
        <f t="shared" si="4"/>
        <v>75000</v>
      </c>
      <c r="H41" s="10"/>
    </row>
    <row r="42" spans="3:8">
      <c r="C42" s="37"/>
      <c r="D42" s="38" t="s">
        <v>27</v>
      </c>
      <c r="E42" s="39">
        <f>E40*0.09</f>
        <v>6750</v>
      </c>
      <c r="F42" s="39">
        <f t="shared" ref="F42:G42" si="5">F40*0.09</f>
        <v>13500</v>
      </c>
      <c r="G42" s="39">
        <f t="shared" si="5"/>
        <v>67500</v>
      </c>
      <c r="H42" s="10"/>
    </row>
    <row r="43" spans="3:8">
      <c r="C43" s="37"/>
      <c r="D43" s="40" t="s">
        <v>15</v>
      </c>
      <c r="E43" s="39">
        <f>E40-E41-E42-(E21*G6)</f>
        <v>42640</v>
      </c>
      <c r="F43" s="39">
        <f>F40-F41-F42-(G7*F21)</f>
        <v>86480</v>
      </c>
      <c r="G43" s="39">
        <f>G40-G41-G42-(G21*G8)</f>
        <v>441400</v>
      </c>
      <c r="H43" s="10"/>
    </row>
    <row r="44" spans="3:8">
      <c r="C44" s="37"/>
      <c r="D44" s="40" t="s">
        <v>18</v>
      </c>
      <c r="E44" s="41">
        <f>E43*0.9</f>
        <v>38376</v>
      </c>
      <c r="F44" s="41">
        <f t="shared" ref="F44:G44" si="6">F43*0.9</f>
        <v>77832</v>
      </c>
      <c r="G44" s="41">
        <f t="shared" si="6"/>
        <v>397260</v>
      </c>
      <c r="H44" s="10"/>
    </row>
    <row r="45" spans="3:8">
      <c r="C45" s="42"/>
      <c r="D45" s="43"/>
      <c r="E45" s="43"/>
      <c r="F45" s="43"/>
      <c r="G45" s="43"/>
      <c r="H45" s="13"/>
    </row>
    <row r="47" spans="3:8">
      <c r="C47" s="44" t="s">
        <v>28</v>
      </c>
      <c r="D47" s="44" t="s">
        <v>29</v>
      </c>
      <c r="E47" s="44"/>
      <c r="F47" s="44"/>
      <c r="G47" s="44"/>
    </row>
    <row r="48" spans="3:8">
      <c r="C48" s="44" t="s">
        <v>30</v>
      </c>
      <c r="D48" s="44" t="s">
        <v>31</v>
      </c>
      <c r="E48" s="44"/>
      <c r="F48" s="44"/>
      <c r="G48" s="44"/>
    </row>
    <row r="49" spans="3:7">
      <c r="C49" s="44"/>
      <c r="D49" s="44"/>
      <c r="E49" s="44"/>
      <c r="F49" s="44"/>
      <c r="G49" s="44"/>
    </row>
  </sheetData>
  <pageMargins left="0.70866141732283472" right="0.70866141732283472" top="0.74803149606299213" bottom="0.74803149606299213" header="0.31496062992125984" footer="0.31496062992125984"/>
  <pageSetup paperSize="9"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ccadic</dc:creator>
  <cp:lastModifiedBy>ccadic</cp:lastModifiedBy>
  <cp:lastPrinted>2022-03-31T12:41:28Z</cp:lastPrinted>
  <dcterms:created xsi:type="dcterms:W3CDTF">2022-03-31T12:19:20Z</dcterms:created>
  <dcterms:modified xsi:type="dcterms:W3CDTF">2022-03-31T12:42:27Z</dcterms:modified>
</cp:coreProperties>
</file>