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221"/>
  <workbookPr showInkAnnotation="0" autoCompressPictures="0"/>
  <bookViews>
    <workbookView xWindow="0" yWindow="0" windowWidth="25600" windowHeight="14660" tabRatio="500"/>
  </bookViews>
  <sheets>
    <sheet name="Bracket" sheetId="3" r:id="rId1"/>
    <sheet name="Greece" sheetId="2" r:id="rId2"/>
    <sheet name="Italy" sheetId="4" r:id="rId3"/>
    <sheet name="Regional" sheetId="1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1" i="4" l="1"/>
  <c r="B20" i="4"/>
  <c r="G11" i="2"/>
  <c r="C16" i="1"/>
  <c r="B18" i="1"/>
  <c r="D10" i="1"/>
  <c r="F11" i="1"/>
  <c r="B27" i="1"/>
  <c r="E14" i="1"/>
  <c r="F14" i="1"/>
  <c r="E13" i="1"/>
  <c r="F13" i="1"/>
  <c r="E12" i="1"/>
  <c r="F12" i="1"/>
  <c r="B11" i="3"/>
  <c r="B10" i="3"/>
  <c r="G12" i="4"/>
  <c r="G13" i="4"/>
  <c r="G14" i="4"/>
  <c r="G16" i="4"/>
  <c r="B18" i="3"/>
  <c r="G12" i="2"/>
  <c r="G13" i="2"/>
  <c r="G14" i="2"/>
  <c r="G16" i="2"/>
  <c r="B19" i="3"/>
  <c r="B20" i="3"/>
  <c r="E14" i="4"/>
  <c r="E13" i="4"/>
  <c r="E12" i="4"/>
  <c r="E10" i="4"/>
  <c r="C16" i="4"/>
  <c r="B16" i="4"/>
  <c r="B16" i="2"/>
  <c r="C16" i="2"/>
  <c r="G15" i="2"/>
  <c r="B20" i="1"/>
  <c r="E10" i="2"/>
  <c r="E14" i="2"/>
  <c r="E13" i="2"/>
  <c r="E12" i="2"/>
  <c r="B7" i="3"/>
  <c r="C7" i="3"/>
  <c r="B6" i="3"/>
  <c r="C6" i="3"/>
  <c r="B5" i="3"/>
  <c r="C5" i="3"/>
  <c r="D7" i="3"/>
  <c r="D6" i="3"/>
  <c r="D5" i="3"/>
  <c r="B26" i="1"/>
  <c r="D11" i="1"/>
  <c r="D7" i="1"/>
  <c r="D8" i="1"/>
  <c r="D9" i="1"/>
  <c r="D17" i="1"/>
  <c r="B25" i="1"/>
  <c r="D4" i="1"/>
  <c r="D5" i="1"/>
  <c r="D6" i="1"/>
  <c r="D3" i="1"/>
  <c r="D16" i="1"/>
  <c r="B24" i="1"/>
  <c r="B23" i="1"/>
  <c r="B22" i="1"/>
  <c r="B16" i="1"/>
</calcChain>
</file>

<file path=xl/comments1.xml><?xml version="1.0" encoding="utf-8"?>
<comments xmlns="http://schemas.openxmlformats.org/spreadsheetml/2006/main">
  <authors>
    <author>Kjirste Morrell</author>
  </authors>
  <commentList>
    <comment ref="E10" authorId="0">
      <text>
        <r>
          <rPr>
            <b/>
            <sz val="9"/>
            <color indexed="81"/>
            <rFont val="Calibri"/>
            <family val="2"/>
          </rPr>
          <t>Kjirste Morrell:</t>
        </r>
        <r>
          <rPr>
            <sz val="9"/>
            <color indexed="81"/>
            <rFont val="Calibri"/>
            <family val="2"/>
          </rPr>
          <t xml:space="preserve">
Ratio of Aug 2014 to Sept 2014.  Immaterial apparently for 2015.</t>
        </r>
      </text>
    </comment>
    <comment ref="C11" authorId="0">
      <text>
        <r>
          <rPr>
            <b/>
            <sz val="9"/>
            <color indexed="81"/>
            <rFont val="Calibri"/>
            <family val="2"/>
          </rPr>
          <t>Kjirste Morrell:</t>
        </r>
        <r>
          <rPr>
            <sz val="9"/>
            <color indexed="81"/>
            <rFont val="Calibri"/>
            <family val="2"/>
          </rPr>
          <t xml:space="preserve">
Through 9/22</t>
        </r>
      </text>
    </comment>
    <comment ref="D11" authorId="0">
      <text>
        <r>
          <rPr>
            <b/>
            <sz val="9"/>
            <color indexed="81"/>
            <rFont val="Calibri"/>
            <family val="2"/>
          </rPr>
          <t>Kjirste Morrell:</t>
        </r>
        <r>
          <rPr>
            <sz val="9"/>
            <color indexed="81"/>
            <rFont val="Calibri"/>
            <family val="2"/>
          </rPr>
          <t xml:space="preserve">
End of the month, to use in calculating projection for month</t>
        </r>
      </text>
    </comment>
    <comment ref="C19" authorId="0">
      <text>
        <r>
          <rPr>
            <b/>
            <sz val="9"/>
            <color indexed="81"/>
            <rFont val="Calibri"/>
            <family val="2"/>
          </rPr>
          <t>Kjirste Morrell:</t>
        </r>
        <r>
          <rPr>
            <sz val="9"/>
            <color indexed="81"/>
            <rFont val="Calibri"/>
            <family val="2"/>
          </rPr>
          <t xml:space="preserve">
Update this text too.</t>
        </r>
      </text>
    </comment>
  </commentList>
</comments>
</file>

<file path=xl/comments2.xml><?xml version="1.0" encoding="utf-8"?>
<comments xmlns="http://schemas.openxmlformats.org/spreadsheetml/2006/main">
  <authors>
    <author>Kjirste Morrell</author>
  </authors>
  <commentList>
    <comment ref="C20" authorId="0">
      <text>
        <r>
          <rPr>
            <b/>
            <sz val="9"/>
            <color indexed="81"/>
            <rFont val="Calibri"/>
            <family val="2"/>
          </rPr>
          <t>Kjirste Morrell:</t>
        </r>
        <r>
          <rPr>
            <sz val="9"/>
            <color indexed="81"/>
            <rFont val="Calibri"/>
            <family val="2"/>
          </rPr>
          <t xml:space="preserve">
Update text too.</t>
        </r>
      </text>
    </comment>
  </commentList>
</comments>
</file>

<file path=xl/sharedStrings.xml><?xml version="1.0" encoding="utf-8"?>
<sst xmlns="http://schemas.openxmlformats.org/spreadsheetml/2006/main" count="83" uniqueCount="51">
  <si>
    <t>Sea arrivals of refugees and migrants to Europe:</t>
  </si>
  <si>
    <t>Month</t>
  </si>
  <si>
    <t>Feb</t>
  </si>
  <si>
    <t>Jan</t>
  </si>
  <si>
    <t>Mar</t>
  </si>
  <si>
    <t>April</t>
  </si>
  <si>
    <t>May</t>
  </si>
  <si>
    <t>June</t>
  </si>
  <si>
    <t>July</t>
  </si>
  <si>
    <t>Aug</t>
  </si>
  <si>
    <t>Sept</t>
  </si>
  <si>
    <t>Oct</t>
  </si>
  <si>
    <t>Nov</t>
  </si>
  <si>
    <t>Dec</t>
  </si>
  <si>
    <t>%change</t>
  </si>
  <si>
    <t>Total</t>
  </si>
  <si>
    <t>2.5 times 2014</t>
  </si>
  <si>
    <t>Greece</t>
  </si>
  <si>
    <t>current</t>
  </si>
  <si>
    <t>weeks left</t>
  </si>
  <si>
    <t>months left</t>
  </si>
  <si>
    <t>Final 3 months</t>
  </si>
  <si>
    <t>Ratio of month relative to Sept (2014 data)</t>
  </si>
  <si>
    <t>Projections based on 2014 pattern</t>
  </si>
  <si>
    <t>Avg (last 3 mos)</t>
  </si>
  <si>
    <t>Projected total</t>
  </si>
  <si>
    <t>projected rest of mo</t>
  </si>
  <si>
    <t>Italy</t>
  </si>
  <si>
    <t>rest of month</t>
  </si>
  <si>
    <t>Italy projected:</t>
  </si>
  <si>
    <t>Greece projected:</t>
  </si>
  <si>
    <t>Total:</t>
  </si>
  <si>
    <t>Alternatively, bracket and gut check</t>
  </si>
  <si>
    <t>Target</t>
  </si>
  <si>
    <t>per week</t>
  </si>
  <si>
    <t>per month</t>
  </si>
  <si>
    <t>Only an average of 10000 per month likely through Italy, if that.</t>
  </si>
  <si>
    <t>as of:</t>
  </si>
  <si>
    <t>end date</t>
  </si>
  <si>
    <t>add in for rest of month</t>
  </si>
  <si>
    <t>same as 2014 for final months</t>
  </si>
  <si>
    <t>avg increase times 2014</t>
  </si>
  <si>
    <t>recent avg %change times 2014</t>
  </si>
  <si>
    <t>project Sept at most recent rate, rest of year same ratio to Sept</t>
  </si>
  <si>
    <t>rel to Sept, 2014</t>
  </si>
  <si>
    <t>projection, use 2014 pattern</t>
  </si>
  <si>
    <t>September %change times 2014 last three months</t>
  </si>
  <si>
    <t>Projection from country tabs:</t>
  </si>
  <si>
    <t>Most recent daily rate:</t>
  </si>
  <si>
    <t>9/20-9/22</t>
  </si>
  <si>
    <t>9/1-9/20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</si>
</sst>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%"/>
    <numFmt numFmtId="165" formatCode="0.000"/>
    <numFmt numFmtId="166" formatCode="m/d/yy;@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b/>
      <sz val="10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/>
      <right/>
      <top style="double">
        <color theme="1"/>
      </top>
      <bottom/>
      <diagonal/>
    </border>
  </borders>
  <cellStyleXfs count="14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2">
    <xf numFmtId="0" fontId="0" fillId="0" borderId="0" xfId="0"/>
    <xf numFmtId="0" fontId="2" fillId="0" borderId="0" xfId="0" applyFont="1"/>
    <xf numFmtId="164" fontId="0" fillId="0" borderId="0" xfId="0" applyNumberFormat="1"/>
    <xf numFmtId="0" fontId="0" fillId="0" borderId="0" xfId="0" applyAlignment="1">
      <alignment horizontal="right"/>
    </xf>
    <xf numFmtId="2" fontId="0" fillId="0" borderId="0" xfId="0" applyNumberFormat="1"/>
    <xf numFmtId="1" fontId="0" fillId="0" borderId="0" xfId="0" applyNumberFormat="1"/>
    <xf numFmtId="0" fontId="2" fillId="0" borderId="0" xfId="0" applyFont="1" applyAlignment="1">
      <alignment horizontal="center"/>
    </xf>
    <xf numFmtId="0" fontId="7" fillId="0" borderId="0" xfId="0" applyFont="1"/>
    <xf numFmtId="0" fontId="2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7" fillId="0" borderId="0" xfId="0" applyFont="1" applyAlignment="1">
      <alignment shrinkToFit="1"/>
    </xf>
    <xf numFmtId="0" fontId="2" fillId="0" borderId="0" xfId="0" applyFont="1" applyAlignment="1">
      <alignment shrinkToFit="1"/>
    </xf>
    <xf numFmtId="0" fontId="7" fillId="0" borderId="0" xfId="0" applyFont="1" applyFill="1" applyAlignment="1">
      <alignment shrinkToFit="1"/>
    </xf>
    <xf numFmtId="165" fontId="0" fillId="0" borderId="0" xfId="0" applyNumberFormat="1"/>
    <xf numFmtId="9" fontId="0" fillId="0" borderId="0" xfId="1" applyFont="1"/>
    <xf numFmtId="14" fontId="0" fillId="0" borderId="0" xfId="0" applyNumberFormat="1"/>
    <xf numFmtId="166" fontId="0" fillId="0" borderId="0" xfId="0" applyNumberFormat="1"/>
    <xf numFmtId="0" fontId="0" fillId="0" borderId="1" xfId="0" applyBorder="1"/>
    <xf numFmtId="1" fontId="0" fillId="0" borderId="1" xfId="0" applyNumberFormat="1" applyBorder="1"/>
    <xf numFmtId="14" fontId="0" fillId="0" borderId="1" xfId="0" applyNumberFormat="1" applyBorder="1"/>
    <xf numFmtId="0" fontId="0" fillId="0" borderId="2" xfId="0" applyBorder="1"/>
    <xf numFmtId="1" fontId="0" fillId="0" borderId="2" xfId="0" applyNumberFormat="1" applyBorder="1"/>
  </cellXfs>
  <cellStyles count="14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304800</xdr:colOff>
      <xdr:row>3</xdr:row>
      <xdr:rowOff>10160</xdr:rowOff>
    </xdr:from>
    <xdr:to>
      <xdr:col>7</xdr:col>
      <xdr:colOff>518160</xdr:colOff>
      <xdr:row>7</xdr:row>
      <xdr:rowOff>60960</xdr:rowOff>
    </xdr:to>
    <xdr:sp macro="" textlink="">
      <xdr:nvSpPr>
        <xdr:cNvPr id="2" name="TextBox 1"/>
        <xdr:cNvSpPr txBox="1"/>
      </xdr:nvSpPr>
      <xdr:spPr>
        <a:xfrm>
          <a:off x="3779520" y="396240"/>
          <a:ext cx="2682240" cy="822960"/>
        </a:xfrm>
        <a:prstGeom prst="rect">
          <a:avLst/>
        </a:prstGeom>
        <a:solidFill>
          <a:srgbClr val="CCFFCC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Per</a:t>
          </a:r>
          <a:r>
            <a:rPr lang="en-US" sz="1100" b="1" baseline="0"/>
            <a:t> month </a:t>
          </a:r>
          <a:r>
            <a:rPr lang="en-US" sz="1100" baseline="0"/>
            <a:t>and </a:t>
          </a:r>
          <a:r>
            <a:rPr lang="en-US" sz="1100" b="1" baseline="0"/>
            <a:t>per week </a:t>
          </a:r>
          <a:r>
            <a:rPr lang="en-US" sz="1100" baseline="0"/>
            <a:t>columns give average rate that would need to see (Italy+Greece+others) for remaining part of 2015 to achieve the corresponding target.</a:t>
          </a:r>
          <a:endParaRPr lang="en-US" sz="1100"/>
        </a:p>
      </xdr:txBody>
    </xdr:sp>
    <xdr:clientData/>
  </xdr:twoCellAnchor>
  <xdr:twoCellAnchor>
    <xdr:from>
      <xdr:col>4</xdr:col>
      <xdr:colOff>284480</xdr:colOff>
      <xdr:row>15</xdr:row>
      <xdr:rowOff>0</xdr:rowOff>
    </xdr:from>
    <xdr:to>
      <xdr:col>7</xdr:col>
      <xdr:colOff>487680</xdr:colOff>
      <xdr:row>18</xdr:row>
      <xdr:rowOff>172720</xdr:rowOff>
    </xdr:to>
    <xdr:sp macro="" textlink="">
      <xdr:nvSpPr>
        <xdr:cNvPr id="3" name="TextBox 2"/>
        <xdr:cNvSpPr txBox="1"/>
      </xdr:nvSpPr>
      <xdr:spPr>
        <a:xfrm>
          <a:off x="4155440" y="2956560"/>
          <a:ext cx="2672080" cy="751840"/>
        </a:xfrm>
        <a:prstGeom prst="rect">
          <a:avLst/>
        </a:prstGeom>
        <a:solidFill>
          <a:schemeClr val="lt1"/>
        </a:solidFill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tx1"/>
              </a:solidFill>
            </a:rPr>
            <a:t>Red outlined </a:t>
          </a:r>
          <a:r>
            <a:rPr lang="en-US" sz="1100"/>
            <a:t>cells contain information that should</a:t>
          </a:r>
          <a:r>
            <a:rPr lang="en-US" sz="1100" baseline="0"/>
            <a:t> be updated with latest values from UNHCR page: http://data.unhcr.org/mediterranean/regional.php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17</xdr:row>
      <xdr:rowOff>81280</xdr:rowOff>
    </xdr:from>
    <xdr:to>
      <xdr:col>8</xdr:col>
      <xdr:colOff>152400</xdr:colOff>
      <xdr:row>21</xdr:row>
      <xdr:rowOff>182880</xdr:rowOff>
    </xdr:to>
    <xdr:sp macro="" textlink="">
      <xdr:nvSpPr>
        <xdr:cNvPr id="2" name="TextBox 1"/>
        <xdr:cNvSpPr txBox="1"/>
      </xdr:nvSpPr>
      <xdr:spPr>
        <a:xfrm>
          <a:off x="4257040" y="3738880"/>
          <a:ext cx="2621280" cy="873760"/>
        </a:xfrm>
        <a:prstGeom prst="rect">
          <a:avLst/>
        </a:prstGeom>
        <a:solidFill>
          <a:srgbClr val="CCFFCC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Various</a:t>
          </a:r>
          <a:r>
            <a:rPr lang="en-US" sz="1100" baseline="0"/>
            <a:t> ways of arriving at an estimate.  Prefer broken down by country though, since so different for Italy and Greece.  Also, see "Bracket" tab.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tabSelected="1" showRuler="0" zoomScale="125" zoomScaleNormal="125" zoomScalePageLayoutView="125" workbookViewId="0">
      <selection activeCell="D19" sqref="D19"/>
    </sheetView>
  </sheetViews>
  <sheetFormatPr baseColWidth="10" defaultRowHeight="15" x14ac:dyDescent="0"/>
  <cols>
    <col min="1" max="1" width="15.83203125" customWidth="1"/>
    <col min="2" max="2" width="13.33203125" bestFit="1" customWidth="1"/>
  </cols>
  <sheetData>
    <row r="1" spans="1:4">
      <c r="A1" s="1" t="s">
        <v>32</v>
      </c>
    </row>
    <row r="2" spans="1:4" ht="16" thickBot="1">
      <c r="A2" s="1"/>
      <c r="B2" s="6" t="s">
        <v>18</v>
      </c>
      <c r="C2" s="6" t="s">
        <v>37</v>
      </c>
    </row>
    <row r="3" spans="1:4" ht="17" thickTop="1" thickBot="1">
      <c r="B3" s="17">
        <v>487497</v>
      </c>
      <c r="C3" s="19">
        <v>42269</v>
      </c>
    </row>
    <row r="4" spans="1:4" ht="16" thickTop="1">
      <c r="A4" s="1" t="s">
        <v>33</v>
      </c>
      <c r="B4" s="1" t="s">
        <v>15</v>
      </c>
      <c r="C4" s="1" t="s">
        <v>35</v>
      </c>
      <c r="D4" s="1" t="s">
        <v>34</v>
      </c>
    </row>
    <row r="5" spans="1:4">
      <c r="A5" s="1">
        <v>560000</v>
      </c>
      <c r="B5">
        <f>A5-B3</f>
        <v>72503</v>
      </c>
      <c r="C5" s="5">
        <f>B5/B11</f>
        <v>22564.709183673469</v>
      </c>
      <c r="D5" s="5">
        <f>B5/B10</f>
        <v>5178.7857142857147</v>
      </c>
    </row>
    <row r="6" spans="1:4">
      <c r="A6" s="1">
        <v>710000</v>
      </c>
      <c r="B6">
        <f>A6-B3</f>
        <v>222503</v>
      </c>
      <c r="C6" s="5">
        <f>B6/B11</f>
        <v>69248.382653061228</v>
      </c>
      <c r="D6" s="5">
        <f>B6/B10</f>
        <v>15893.071428571429</v>
      </c>
    </row>
    <row r="7" spans="1:4">
      <c r="A7" s="1">
        <v>1000000</v>
      </c>
      <c r="B7">
        <f>A7-B3</f>
        <v>512503</v>
      </c>
      <c r="C7" s="5">
        <f>B7/B11</f>
        <v>159503.48469387754</v>
      </c>
      <c r="D7" s="5">
        <f>B7/B10</f>
        <v>36607.357142857145</v>
      </c>
    </row>
    <row r="9" spans="1:4">
      <c r="A9" t="s">
        <v>38</v>
      </c>
      <c r="B9" s="16">
        <v>42369</v>
      </c>
    </row>
    <row r="10" spans="1:4">
      <c r="A10" s="1" t="s">
        <v>19</v>
      </c>
      <c r="B10" s="4">
        <f>DAYS360(C3,B9,1)/7</f>
        <v>14</v>
      </c>
    </row>
    <row r="11" spans="1:4">
      <c r="A11" s="1" t="s">
        <v>20</v>
      </c>
      <c r="B11" s="4">
        <f>DAYS360(C3,B9,1)/30.5</f>
        <v>3.2131147540983607</v>
      </c>
    </row>
    <row r="13" spans="1:4">
      <c r="A13" t="s">
        <v>36</v>
      </c>
    </row>
    <row r="14" spans="1:4" ht="16" thickBot="1"/>
    <row r="15" spans="1:4" s="20" customFormat="1" ht="16" thickTop="1">
      <c r="B15" s="21"/>
    </row>
    <row r="17" spans="1:2">
      <c r="A17" s="1" t="s">
        <v>47</v>
      </c>
    </row>
    <row r="18" spans="1:2">
      <c r="A18" s="11" t="s">
        <v>29</v>
      </c>
      <c r="B18" s="5">
        <f>Italy!G16</f>
        <v>152634.57342475199</v>
      </c>
    </row>
    <row r="19" spans="1:2">
      <c r="A19" s="11" t="s">
        <v>30</v>
      </c>
      <c r="B19" s="5">
        <f>Greece!G16</f>
        <v>687381.1255701636</v>
      </c>
    </row>
    <row r="20" spans="1:2">
      <c r="A20" s="1" t="s">
        <v>31</v>
      </c>
      <c r="B20" s="5">
        <f>SUM(B18:B19)</f>
        <v>840015.69899491558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0"/>
  <sheetViews>
    <sheetView showRuler="0" zoomScale="125" zoomScaleNormal="125" zoomScalePageLayoutView="125" workbookViewId="0">
      <selection activeCell="E21" sqref="E21"/>
    </sheetView>
  </sheetViews>
  <sheetFormatPr baseColWidth="10" defaultRowHeight="15" x14ac:dyDescent="0"/>
  <cols>
    <col min="4" max="5" width="13.33203125" customWidth="1"/>
  </cols>
  <sheetData>
    <row r="1" spans="1:7">
      <c r="A1" s="1" t="s">
        <v>17</v>
      </c>
    </row>
    <row r="2" spans="1:7" s="8" customFormat="1" ht="42">
      <c r="A2" s="8" t="s">
        <v>1</v>
      </c>
      <c r="B2" s="8">
        <v>2014</v>
      </c>
      <c r="C2" s="8">
        <v>2015</v>
      </c>
      <c r="E2" s="9" t="s">
        <v>22</v>
      </c>
      <c r="G2" s="9" t="s">
        <v>23</v>
      </c>
    </row>
    <row r="3" spans="1:7">
      <c r="A3" s="1" t="s">
        <v>3</v>
      </c>
      <c r="B3">
        <v>955</v>
      </c>
      <c r="C3">
        <v>1690</v>
      </c>
    </row>
    <row r="4" spans="1:7">
      <c r="A4" s="1" t="s">
        <v>2</v>
      </c>
      <c r="B4">
        <v>1001</v>
      </c>
      <c r="C4">
        <v>2945</v>
      </c>
    </row>
    <row r="5" spans="1:7">
      <c r="A5" s="1" t="s">
        <v>4</v>
      </c>
      <c r="B5">
        <v>1501</v>
      </c>
      <c r="C5">
        <v>7634</v>
      </c>
    </row>
    <row r="6" spans="1:7">
      <c r="A6" s="1" t="s">
        <v>5</v>
      </c>
      <c r="B6">
        <v>1257</v>
      </c>
      <c r="C6">
        <v>13133</v>
      </c>
    </row>
    <row r="7" spans="1:7">
      <c r="A7" s="1" t="s">
        <v>6</v>
      </c>
      <c r="B7">
        <v>1703</v>
      </c>
      <c r="C7">
        <v>18444</v>
      </c>
    </row>
    <row r="8" spans="1:7">
      <c r="A8" s="1" t="s">
        <v>7</v>
      </c>
      <c r="B8">
        <v>3198</v>
      </c>
      <c r="C8">
        <v>30717</v>
      </c>
    </row>
    <row r="9" spans="1:7">
      <c r="A9" s="1" t="s">
        <v>8</v>
      </c>
      <c r="B9">
        <v>3927</v>
      </c>
      <c r="C9">
        <v>51951</v>
      </c>
    </row>
    <row r="10" spans="1:7" ht="16" thickBot="1">
      <c r="A10" s="1" t="s">
        <v>9</v>
      </c>
      <c r="B10">
        <v>6742</v>
      </c>
      <c r="C10">
        <v>107843</v>
      </c>
      <c r="E10" s="13">
        <f>B10/B11</f>
        <v>0.90448081566943928</v>
      </c>
    </row>
    <row r="11" spans="1:7" ht="17" thickTop="1" thickBot="1">
      <c r="A11" s="1" t="s">
        <v>10</v>
      </c>
      <c r="B11">
        <v>7454</v>
      </c>
      <c r="C11" s="17">
        <v>122708</v>
      </c>
      <c r="D11" s="16">
        <v>42277</v>
      </c>
      <c r="E11" s="13"/>
      <c r="F11" s="12" t="s">
        <v>26</v>
      </c>
      <c r="G11" s="5">
        <f>DAYS360(Bracket!$C$3,D11,1)*$B$19</f>
        <v>40000</v>
      </c>
    </row>
    <row r="12" spans="1:7" ht="16" thickTop="1">
      <c r="A12" s="1" t="s">
        <v>11</v>
      </c>
      <c r="B12">
        <v>7432</v>
      </c>
      <c r="D12" s="15">
        <v>42308</v>
      </c>
      <c r="E12" s="13">
        <f>B12/B11</f>
        <v>0.99704856452911184</v>
      </c>
      <c r="G12" s="5">
        <f>(C11+G11)*E12</f>
        <v>162227.77783740274</v>
      </c>
    </row>
    <row r="13" spans="1:7">
      <c r="A13" s="1" t="s">
        <v>12</v>
      </c>
      <c r="B13">
        <v>3812</v>
      </c>
      <c r="D13" s="15">
        <v>42338</v>
      </c>
      <c r="E13" s="13">
        <f>B13/B11</f>
        <v>0.51140327341024949</v>
      </c>
      <c r="G13" s="5">
        <f>(C11+G11)*E13</f>
        <v>83209.40381003487</v>
      </c>
    </row>
    <row r="14" spans="1:7">
      <c r="A14" s="1" t="s">
        <v>13</v>
      </c>
      <c r="B14">
        <v>2056</v>
      </c>
      <c r="D14" s="15">
        <v>42369</v>
      </c>
      <c r="E14" s="13">
        <f>B14/B11</f>
        <v>0.27582506037027099</v>
      </c>
      <c r="G14" s="5">
        <f>(C11+G11)*E14</f>
        <v>44878.943922726052</v>
      </c>
    </row>
    <row r="15" spans="1:7">
      <c r="F15" s="10" t="s">
        <v>24</v>
      </c>
      <c r="G15" s="5">
        <f>AVERAGE(G11:G14)</f>
        <v>82579.031392540914</v>
      </c>
    </row>
    <row r="16" spans="1:7">
      <c r="A16" s="1" t="s">
        <v>15</v>
      </c>
      <c r="B16">
        <f>SUM(B3:B14)</f>
        <v>41038</v>
      </c>
      <c r="C16">
        <f>SUM(C3:C14)</f>
        <v>357065</v>
      </c>
      <c r="F16" s="11" t="s">
        <v>25</v>
      </c>
      <c r="G16">
        <f>SUM(C3:C11)+SUM(G11:G14)</f>
        <v>687381.1255701636</v>
      </c>
    </row>
    <row r="18" spans="1:3" ht="16" thickBot="1"/>
    <row r="19" spans="1:3" ht="30" thickTop="1" thickBot="1">
      <c r="A19" s="9" t="s">
        <v>48</v>
      </c>
      <c r="B19" s="17">
        <v>5000</v>
      </c>
      <c r="C19" s="6" t="s">
        <v>49</v>
      </c>
    </row>
    <row r="20" spans="1:3" ht="16" thickTop="1"/>
  </sheetData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10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1"/>
  <sheetViews>
    <sheetView showRuler="0" zoomScale="125" zoomScaleNormal="125" zoomScalePageLayoutView="125" workbookViewId="0">
      <selection activeCell="G20" sqref="G20"/>
    </sheetView>
  </sheetViews>
  <sheetFormatPr baseColWidth="10" defaultRowHeight="15" x14ac:dyDescent="0"/>
  <cols>
    <col min="5" max="5" width="10.33203125" customWidth="1"/>
    <col min="7" max="7" width="11.1640625" customWidth="1"/>
  </cols>
  <sheetData>
    <row r="1" spans="1:7">
      <c r="A1" s="1" t="s">
        <v>27</v>
      </c>
    </row>
    <row r="2" spans="1:7" ht="70">
      <c r="A2" s="8" t="s">
        <v>1</v>
      </c>
      <c r="B2" s="8">
        <v>2014</v>
      </c>
      <c r="C2" s="8">
        <v>2015</v>
      </c>
      <c r="D2" s="8"/>
      <c r="E2" s="9" t="s">
        <v>22</v>
      </c>
      <c r="F2" s="8"/>
      <c r="G2" s="9" t="s">
        <v>23</v>
      </c>
    </row>
    <row r="3" spans="1:7">
      <c r="A3" s="1" t="s">
        <v>3</v>
      </c>
      <c r="B3">
        <v>2171</v>
      </c>
      <c r="C3">
        <v>3528</v>
      </c>
      <c r="E3" s="14"/>
    </row>
    <row r="4" spans="1:7">
      <c r="A4" s="1" t="s">
        <v>2</v>
      </c>
      <c r="B4">
        <v>3335</v>
      </c>
      <c r="C4">
        <v>4354</v>
      </c>
    </row>
    <row r="5" spans="1:7">
      <c r="A5" s="1" t="s">
        <v>4</v>
      </c>
      <c r="B5">
        <v>5459</v>
      </c>
      <c r="C5">
        <v>2283</v>
      </c>
    </row>
    <row r="6" spans="1:7">
      <c r="A6" s="1" t="s">
        <v>5</v>
      </c>
      <c r="B6">
        <v>15679</v>
      </c>
      <c r="C6">
        <v>16063</v>
      </c>
    </row>
    <row r="7" spans="1:7">
      <c r="A7" s="1" t="s">
        <v>6</v>
      </c>
      <c r="B7">
        <v>14599</v>
      </c>
      <c r="C7">
        <v>21235</v>
      </c>
    </row>
    <row r="8" spans="1:7">
      <c r="A8" s="1" t="s">
        <v>7</v>
      </c>
      <c r="B8">
        <v>22641</v>
      </c>
      <c r="C8">
        <v>22891</v>
      </c>
    </row>
    <row r="9" spans="1:7">
      <c r="A9" s="1" t="s">
        <v>8</v>
      </c>
      <c r="B9">
        <v>24031</v>
      </c>
      <c r="C9">
        <v>23186</v>
      </c>
    </row>
    <row r="10" spans="1:7" ht="16" thickBot="1">
      <c r="A10" s="1" t="s">
        <v>9</v>
      </c>
      <c r="B10">
        <v>24774</v>
      </c>
      <c r="C10">
        <v>22609</v>
      </c>
      <c r="E10" s="13">
        <f>B10/B11</f>
        <v>0.94894089707741214</v>
      </c>
    </row>
    <row r="11" spans="1:7" ht="17" thickTop="1" thickBot="1">
      <c r="A11" s="1" t="s">
        <v>10</v>
      </c>
      <c r="B11">
        <v>26107</v>
      </c>
      <c r="C11" s="17">
        <v>11851</v>
      </c>
      <c r="D11" s="15">
        <v>42277</v>
      </c>
      <c r="E11" s="13"/>
      <c r="F11" s="11" t="s">
        <v>28</v>
      </c>
      <c r="G11" s="5">
        <f>DAYS360(Bracket!$C$3,Italy!D11,1)*$B$20</f>
        <v>4740.3999999999996</v>
      </c>
    </row>
    <row r="12" spans="1:7" ht="16" thickTop="1">
      <c r="A12" s="1" t="s">
        <v>11</v>
      </c>
      <c r="B12">
        <v>15277</v>
      </c>
      <c r="E12" s="13">
        <f>B12/B11</f>
        <v>0.58516872869345382</v>
      </c>
      <c r="G12" s="5">
        <f>E12*(C11+G11)</f>
        <v>9708.7684452445701</v>
      </c>
    </row>
    <row r="13" spans="1:7">
      <c r="A13" s="1" t="s">
        <v>12</v>
      </c>
      <c r="B13">
        <v>9295</v>
      </c>
      <c r="E13" s="13">
        <f>B13/B11</f>
        <v>0.35603477994407629</v>
      </c>
      <c r="G13" s="5">
        <f>E13*(C11+G11)</f>
        <v>5907.1154479641482</v>
      </c>
    </row>
    <row r="14" spans="1:7">
      <c r="A14" s="1" t="s">
        <v>13</v>
      </c>
      <c r="B14">
        <v>6732</v>
      </c>
      <c r="E14" s="13">
        <f>B14/B11</f>
        <v>0.25786187612517714</v>
      </c>
      <c r="G14" s="5">
        <f>E14*(C11+G11)</f>
        <v>4278.2895315432643</v>
      </c>
    </row>
    <row r="16" spans="1:7">
      <c r="A16" s="1" t="s">
        <v>15</v>
      </c>
      <c r="B16">
        <f>SUM(B3:B14)</f>
        <v>170100</v>
      </c>
      <c r="C16">
        <f>SUM(C3:C14)</f>
        <v>128000</v>
      </c>
      <c r="G16">
        <f>SUM(C3:C11)+SUM(G11:G14)</f>
        <v>152634.57342475199</v>
      </c>
    </row>
    <row r="19" spans="1:3" ht="16" thickBot="1"/>
    <row r="20" spans="1:3" ht="30" thickTop="1" thickBot="1">
      <c r="A20" s="9" t="s">
        <v>48</v>
      </c>
      <c r="B20" s="18">
        <f>11851/20</f>
        <v>592.54999999999995</v>
      </c>
      <c r="C20" s="6" t="s">
        <v>50</v>
      </c>
    </row>
    <row r="21" spans="1:3" ht="16" thickTop="1"/>
  </sheetData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10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showRuler="0" zoomScale="125" zoomScaleNormal="125" zoomScalePageLayoutView="125" workbookViewId="0">
      <selection activeCell="F11" sqref="F11"/>
    </sheetView>
  </sheetViews>
  <sheetFormatPr baseColWidth="10" defaultRowHeight="15" x14ac:dyDescent="0"/>
  <cols>
    <col min="1" max="1" width="12.6640625" customWidth="1"/>
  </cols>
  <sheetData>
    <row r="1" spans="1:7">
      <c r="A1" s="1" t="s">
        <v>0</v>
      </c>
    </row>
    <row r="2" spans="1:7" ht="45">
      <c r="A2" s="1" t="s">
        <v>1</v>
      </c>
      <c r="B2" s="1">
        <v>2014</v>
      </c>
      <c r="C2" s="1">
        <v>2015</v>
      </c>
      <c r="D2" s="6" t="s">
        <v>14</v>
      </c>
      <c r="E2" s="8" t="s">
        <v>44</v>
      </c>
      <c r="F2" s="8" t="s">
        <v>45</v>
      </c>
    </row>
    <row r="3" spans="1:7">
      <c r="A3" s="1" t="s">
        <v>3</v>
      </c>
      <c r="B3">
        <v>3270</v>
      </c>
      <c r="C3">
        <v>5546</v>
      </c>
      <c r="D3" s="2">
        <f>C3/B3</f>
        <v>1.6960244648318044</v>
      </c>
    </row>
    <row r="4" spans="1:7">
      <c r="A4" s="1" t="s">
        <v>2</v>
      </c>
      <c r="B4">
        <v>4369</v>
      </c>
      <c r="C4">
        <v>7343</v>
      </c>
      <c r="D4" s="2">
        <f t="shared" ref="D4:D11" si="0">C4/B4</f>
        <v>1.6807049668116274</v>
      </c>
    </row>
    <row r="5" spans="1:7">
      <c r="A5" s="1" t="s">
        <v>4</v>
      </c>
      <c r="B5">
        <v>7283</v>
      </c>
      <c r="C5">
        <v>10184</v>
      </c>
      <c r="D5" s="2">
        <f t="shared" si="0"/>
        <v>1.3983248661265961</v>
      </c>
    </row>
    <row r="6" spans="1:7">
      <c r="A6" s="1" t="s">
        <v>5</v>
      </c>
      <c r="B6">
        <v>17084</v>
      </c>
      <c r="C6">
        <v>29441</v>
      </c>
      <c r="D6" s="2">
        <f t="shared" si="0"/>
        <v>1.7233083586981972</v>
      </c>
    </row>
    <row r="7" spans="1:7">
      <c r="A7" s="1" t="s">
        <v>6</v>
      </c>
      <c r="B7">
        <v>16627</v>
      </c>
      <c r="C7">
        <v>40117</v>
      </c>
      <c r="D7" s="2">
        <f t="shared" si="0"/>
        <v>2.4127623744511939</v>
      </c>
    </row>
    <row r="8" spans="1:7">
      <c r="A8" s="1" t="s">
        <v>7</v>
      </c>
      <c r="B8">
        <v>26221</v>
      </c>
      <c r="C8">
        <v>53987</v>
      </c>
      <c r="D8" s="2">
        <f t="shared" si="0"/>
        <v>2.0589222379009193</v>
      </c>
    </row>
    <row r="9" spans="1:7">
      <c r="A9" s="1" t="s">
        <v>8</v>
      </c>
      <c r="B9">
        <v>28303</v>
      </c>
      <c r="C9">
        <v>75483</v>
      </c>
      <c r="D9" s="2">
        <f t="shared" si="0"/>
        <v>2.6669610995300852</v>
      </c>
    </row>
    <row r="10" spans="1:7">
      <c r="A10" s="1" t="s">
        <v>9</v>
      </c>
      <c r="B10">
        <v>33478</v>
      </c>
      <c r="C10">
        <v>130837</v>
      </c>
      <c r="D10" s="2">
        <f t="shared" si="0"/>
        <v>3.9081486349244279</v>
      </c>
    </row>
    <row r="11" spans="1:7">
      <c r="A11" s="1" t="s">
        <v>10</v>
      </c>
      <c r="B11">
        <v>33944</v>
      </c>
      <c r="C11">
        <v>134559</v>
      </c>
      <c r="D11" s="2">
        <f t="shared" si="0"/>
        <v>3.9641468300730613</v>
      </c>
      <c r="F11">
        <f>8*5000</f>
        <v>40000</v>
      </c>
      <c r="G11" t="s">
        <v>39</v>
      </c>
    </row>
    <row r="12" spans="1:7">
      <c r="A12" s="1" t="s">
        <v>11</v>
      </c>
      <c r="B12">
        <v>23050</v>
      </c>
      <c r="E12">
        <f>B12/B11</f>
        <v>0.67905962762196559</v>
      </c>
      <c r="F12" s="5">
        <f>(F11+C11)*E12</f>
        <v>118535.96953806269</v>
      </c>
    </row>
    <row r="13" spans="1:7">
      <c r="A13" s="1" t="s">
        <v>12</v>
      </c>
      <c r="B13">
        <v>13318</v>
      </c>
      <c r="E13">
        <f>B13/B11</f>
        <v>0.39235210935658732</v>
      </c>
      <c r="F13" s="5">
        <f>(F11+C11)*E13</f>
        <v>68488.591857176521</v>
      </c>
    </row>
    <row r="14" spans="1:7">
      <c r="A14" s="1" t="s">
        <v>13</v>
      </c>
      <c r="B14">
        <v>9107</v>
      </c>
      <c r="E14">
        <f>B14/B11</f>
        <v>0.26829483855762432</v>
      </c>
      <c r="F14" s="5">
        <f>(F11+C11)*E14</f>
        <v>46833.278723780342</v>
      </c>
    </row>
    <row r="16" spans="1:7">
      <c r="A16" s="1" t="s">
        <v>15</v>
      </c>
      <c r="B16" s="3">
        <f>SUM(B3:B14)</f>
        <v>216054</v>
      </c>
      <c r="C16" s="3">
        <f>SUM(C3:C14)</f>
        <v>487497</v>
      </c>
      <c r="D16" s="2">
        <f>AVERAGE(D3:D11)</f>
        <v>2.3899226481497684</v>
      </c>
    </row>
    <row r="17" spans="1:4">
      <c r="D17" s="2">
        <f>AVERAGE(D7:D11)</f>
        <v>3.0021882353759373</v>
      </c>
    </row>
    <row r="18" spans="1:4">
      <c r="B18">
        <f>SUM(B12:B14)</f>
        <v>45475</v>
      </c>
    </row>
    <row r="20" spans="1:4">
      <c r="A20" s="11" t="s">
        <v>21</v>
      </c>
      <c r="B20">
        <f>SUM(B12:B14)</f>
        <v>45475</v>
      </c>
    </row>
    <row r="22" spans="1:4">
      <c r="B22">
        <f>C16+B18</f>
        <v>532972</v>
      </c>
      <c r="C22" s="7" t="s">
        <v>40</v>
      </c>
    </row>
    <row r="23" spans="1:4">
      <c r="B23" s="5">
        <f>C16+2.5*B18</f>
        <v>601184.5</v>
      </c>
      <c r="C23" s="7" t="s">
        <v>16</v>
      </c>
    </row>
    <row r="24" spans="1:4">
      <c r="B24" s="5">
        <f>C16+B18*D16</f>
        <v>596178.73242461076</v>
      </c>
      <c r="C24" s="7" t="s">
        <v>41</v>
      </c>
    </row>
    <row r="25" spans="1:4">
      <c r="B25" s="5">
        <f>C16+B18*D17</f>
        <v>624021.51000372076</v>
      </c>
      <c r="C25" s="7" t="s">
        <v>42</v>
      </c>
    </row>
    <row r="26" spans="1:4">
      <c r="B26" s="5">
        <f>SUM(C3:C10)+SUM(F11:F14)</f>
        <v>626795.84011901962</v>
      </c>
      <c r="C26" s="7" t="s">
        <v>43</v>
      </c>
    </row>
    <row r="27" spans="1:4">
      <c r="B27" s="5">
        <f>C16+B18*D10+F11</f>
        <v>705220.05917318841</v>
      </c>
      <c r="C27" s="7" t="s">
        <v>46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Bracket</vt:lpstr>
      <vt:lpstr>Greece</vt:lpstr>
      <vt:lpstr>Italy</vt:lpstr>
      <vt:lpstr>Regional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Kjirste Morrell</dc:creator>
  <cp:lastModifiedBy>Kjirste Morrell</cp:lastModifiedBy>
  <dcterms:created xsi:type="dcterms:W3CDTF">2015-04-11T01:05:42Z</dcterms:created>
  <dcterms:modified xsi:type="dcterms:W3CDTF">2015-09-24T20:20:09Z</dcterms:modified>
</cp:coreProperties>
</file>