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house" sheetId="1" state="visible" r:id="rId2"/>
    <sheet name="garage" sheetId="2" state="visible" r:id="rId3"/>
    <sheet name="ICF house" sheetId="3" state="visible" r:id="rId4"/>
  </sheets>
  <definedNames>
    <definedName function="false" hidden="false" name="BTU_per_wh" vbProcedure="false">garage!$N$5</definedName>
    <definedName function="false" hidden="false" name="M2_per_sqft" vbProcedure="false">garage!$N$2</definedName>
    <definedName function="false" hidden="false" name="RSI_per_R" vbProcedure="false">garage!$N$3</definedName>
    <definedName function="false" hidden="false" name="watthour_to_MJ" vbProcedure="false">house!$G$10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<sst xmlns="http://schemas.openxmlformats.org/spreadsheetml/2006/main" count="140" uniqueCount="84">
  <si>
    <t xml:space="preserve">https://www.engineeringtoolbox.com/heat-loss-transmission-d_748.html</t>
  </si>
  <si>
    <t xml:space="preserve">https://www.heatgeek.com/heat-losses/</t>
  </si>
  <si>
    <t xml:space="preserve">outside temperature C</t>
  </si>
  <si>
    <t xml:space="preserve">req’d inside temperature C</t>
  </si>
  <si>
    <t xml:space="preserve">heating power (W)</t>
  </si>
  <si>
    <t xml:space="preserve">HDD in year</t>
  </si>
  <si>
    <t xml:space="preserve">C-days</t>
  </si>
  <si>
    <t xml:space="preserve">average delta T</t>
  </si>
  <si>
    <t xml:space="preserve">C</t>
  </si>
  <si>
    <t xml:space="preserve">Watt-hour to MJ</t>
  </si>
  <si>
    <t xml:space="preserve">1 year</t>
  </si>
  <si>
    <t xml:space="preserve">hours</t>
  </si>
  <si>
    <t xml:space="preserve">energy in year</t>
  </si>
  <si>
    <t xml:space="preserve">GJ</t>
  </si>
  <si>
    <t xml:space="preserve">MJ/HDD</t>
  </si>
  <si>
    <t xml:space="preserve">location</t>
  </si>
  <si>
    <t xml:space="preserve">qty</t>
  </si>
  <si>
    <t xml:space="preserve">RSI
m2·K/W</t>
  </si>
  <si>
    <t xml:space="preserve">U
W/m2·K</t>
  </si>
  <si>
    <t xml:space="preserve">Area
m2</t>
  </si>
  <si>
    <t xml:space="preserve">Heat 
transfer
W/K</t>
  </si>
  <si>
    <t xml:space="preserve">Design
ΔT
K</t>
  </si>
  <si>
    <t xml:space="preserve">Heating
power
W</t>
  </si>
  <si>
    <t xml:space="preserve">yearly 
Energy
transfer
MJ</t>
  </si>
  <si>
    <t xml:space="preserve">%</t>
  </si>
  <si>
    <t xml:space="preserve">Windows </t>
  </si>
  <si>
    <t xml:space="preserve">Main floor brick</t>
  </si>
  <si>
    <t xml:space="preserve">Main floor walls</t>
  </si>
  <si>
    <t xml:space="preserve">doors</t>
  </si>
  <si>
    <t xml:space="preserve">Attic</t>
  </si>
  <si>
    <t xml:space="preserve">Foundation interior</t>
  </si>
  <si>
    <t xml:space="preserve">Main floor walls buffered</t>
  </si>
  <si>
    <t xml:space="preserve">Foundation crawlspace</t>
  </si>
  <si>
    <t xml:space="preserve">foundation slab</t>
  </si>
  <si>
    <t xml:space="preserve">crawlspace slab</t>
  </si>
  <si>
    <t xml:space="preserve">Floor over garage</t>
  </si>
  <si>
    <t xml:space="preserve">foundation pony wall</t>
  </si>
  <si>
    <t xml:space="preserve">foundation header</t>
  </si>
  <si>
    <t xml:space="preserve">Floor back cantilever</t>
  </si>
  <si>
    <t xml:space="preserve">air infiltration</t>
  </si>
  <si>
    <t xml:space="preserve">leaks</t>
  </si>
  <si>
    <t xml:space="preserve">volume of house</t>
  </si>
  <si>
    <t xml:space="preserve">m3 – back calculated from EqLA and ACH</t>
  </si>
  <si>
    <t xml:space="preserve">H i = Cp ρ n V (t i - t o )</t>
  </si>
  <si>
    <t xml:space="preserve">https://www.engineeringtoolbox.com/heat-loss-buildings-d_113.html</t>
  </si>
  <si>
    <t xml:space="preserve">air changes per hour</t>
  </si>
  <si>
    <t xml:space="preserve">measured 1.75 at 50 Pa</t>
  </si>
  <si>
    <t xml:space="preserve">Cp</t>
  </si>
  <si>
    <t xml:space="preserve">kJ/kgK </t>
  </si>
  <si>
    <t xml:space="preserve">equivalent leak area (EqLA)</t>
  </si>
  <si>
    <t xml:space="preserve">cm^2</t>
  </si>
  <si>
    <t xml:space="preserve">ρ</t>
  </si>
  <si>
    <t xml:space="preserve">kg/m3</t>
  </si>
  <si>
    <t xml:space="preserve">cfm50</t>
  </si>
  <si>
    <t xml:space="preserve">cubic feet per minute</t>
  </si>
  <si>
    <t xml:space="preserve">hours/second</t>
  </si>
  <si>
    <t xml:space="preserve">∆T</t>
  </si>
  <si>
    <t xml:space="preserve">rate of heat loss (watts)</t>
  </si>
  <si>
    <t xml:space="preserve">desired temperature</t>
  </si>
  <si>
    <t xml:space="preserve"> °F</t>
  </si>
  <si>
    <t xml:space="preserve">m2_per_sqft</t>
  </si>
  <si>
    <t xml:space="preserve">design outside temperature</t>
  </si>
  <si>
    <t xml:space="preserve">RSI per R-value</t>
  </si>
  <si>
    <t xml:space="preserve">BTU per watt-hour</t>
  </si>
  <si>
    <t xml:space="preserve">energy in one hour</t>
  </si>
  <si>
    <t xml:space="preserve">BTU/hr</t>
  </si>
  <si>
    <t xml:space="preserve">total</t>
  </si>
  <si>
    <t xml:space="preserve">R-value</t>
  </si>
  <si>
    <t xml:space="preserve">Design
ΔT
°C or K</t>
  </si>
  <si>
    <t xml:space="preserve">Energy
transfer
MJ</t>
  </si>
  <si>
    <t xml:space="preserve">R13 walls</t>
  </si>
  <si>
    <t xml:space="preserve">ceiling</t>
  </si>
  <si>
    <t xml:space="preserve">R7.5 wall</t>
  </si>
  <si>
    <t xml:space="preserve">window</t>
  </si>
  <si>
    <t xml:space="preserve">assuming 26’x20’ footprint</t>
  </si>
  <si>
    <t xml:space="preserve">desired inside temperature C</t>
  </si>
  <si>
    <t xml:space="preserve">Windows 1</t>
  </si>
  <si>
    <t xml:space="preserve">windows avg U-factor</t>
  </si>
  <si>
    <r>
      <rPr>
        <sz val="10"/>
        <rFont val="Arial"/>
        <family val="2"/>
      </rPr>
      <t xml:space="preserve">Floor header 1</t>
    </r>
    <r>
      <rPr>
        <vertAlign val="superscript"/>
        <sz val="10"/>
        <rFont val="Arial"/>
        <family val="2"/>
      </rPr>
      <t xml:space="preserve">st</t>
    </r>
    <r>
      <rPr>
        <sz val="10"/>
        <rFont val="Arial"/>
        <family val="2"/>
      </rPr>
      <t xml:space="preserve"> floor</t>
    </r>
  </si>
  <si>
    <r>
      <rPr>
        <sz val="10"/>
        <rFont val="Arial"/>
        <family val="2"/>
      </rPr>
      <t xml:space="preserve">Floor header 2</t>
    </r>
    <r>
      <rPr>
        <vertAlign val="superscript"/>
        <sz val="10"/>
        <rFont val="Arial"/>
        <family val="2"/>
      </rPr>
      <t xml:space="preserve">nd</t>
    </r>
    <r>
      <rPr>
        <sz val="10"/>
        <rFont val="Arial"/>
        <family val="2"/>
      </rPr>
      <t xml:space="preserve"> floor</t>
    </r>
  </si>
  <si>
    <t xml:space="preserve">Basement-1 pony wall</t>
  </si>
  <si>
    <t xml:space="preserve">Basement-1 header</t>
  </si>
  <si>
    <t xml:space="preserve">volume </t>
  </si>
  <si>
    <t xml:space="preserve">cubic meters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</si>
</sst>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0.00"/>
    <numFmt numFmtId="167" formatCode="0.0"/>
    <numFmt numFmtId="168" formatCode="0%"/>
    <numFmt numFmtId="169" formatCode="0.000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FF"/>
      <name val="Arial"/>
      <family val="2"/>
    </font>
    <font>
      <sz val="10"/>
      <name val="Times New Roman"/>
      <family val="1"/>
    </font>
    <font>
      <sz val="12"/>
      <name val="Times New Roman"/>
      <family val="1"/>
    </font>
    <font>
      <sz val="12"/>
      <color rgb="FF0000FF"/>
      <name val="Times New Roman"/>
      <family val="1"/>
    </font>
    <font>
      <vertAlign val="superscript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hyperlink" Target="https://en.wikipedia.org/wiki/Thermal_transmittance" TargetMode="Externa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hyperlink" Target="https://en.wikipedia.org/wiki/Thermal_transmittance" TargetMode="Externa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hyperlink" Target="https://en.wikipedia.org/wiki/Thermal_transmittance" TargetMode="Externa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5</xdr:col>
      <xdr:colOff>508320</xdr:colOff>
      <xdr:row>0</xdr:row>
      <xdr:rowOff>96480</xdr:rowOff>
    </xdr:from>
    <xdr:to>
      <xdr:col>11</xdr:col>
      <xdr:colOff>126360</xdr:colOff>
      <xdr:row>8</xdr:row>
      <xdr:rowOff>144360</xdr:rowOff>
    </xdr:to>
    <xdr:sp>
      <xdr:nvSpPr>
        <xdr:cNvPr id="0" name="TextShape 1"/>
        <xdr:cNvSpPr txBox="1"/>
      </xdr:nvSpPr>
      <xdr:spPr>
        <a:xfrm>
          <a:off x="4262400" y="96480"/>
          <a:ext cx="3508560" cy="1348200"/>
        </a:xfrm>
        <a:prstGeom prst="rect">
          <a:avLst/>
        </a:prstGeom>
        <a:solidFill>
          <a:srgbClr val="ffffff"/>
        </a:solidFill>
        <a:ln w="0">
          <a:noFill/>
        </a:ln>
      </xdr:spPr>
      <xdr:txBody>
        <a:bodyPr lIns="0" rIns="0" tIns="0" bIns="0">
          <a:noAutofit/>
        </a:bodyPr>
        <a:p>
          <a:r>
            <a:rPr b="0" lang="en-CA" sz="1200" spc="-1" strike="noStrike">
              <a:latin typeface="Times New Roman"/>
            </a:rPr>
            <a:t>Φ = A × U × ΔT</a:t>
          </a:r>
          <a:endParaRPr b="0" lang="en-CA" sz="1200" spc="-1" strike="noStrike">
            <a:latin typeface="Times New Roman"/>
          </a:endParaRPr>
        </a:p>
        <a:p>
          <a:r>
            <a:rPr b="0" lang="en-CA" sz="1200" spc="-1" strike="noStrike">
              <a:latin typeface="Times New Roman"/>
            </a:rPr>
            <a:t>where Φ is the heat transfer in watts, </a:t>
          </a:r>
          <a:br/>
          <a:r>
            <a:rPr b="0" lang="en-CA" sz="1200" spc="-1" strike="noStrike">
              <a:latin typeface="Times New Roman"/>
            </a:rPr>
            <a:t>U is the thermal transmittance, </a:t>
          </a:r>
          <a:br/>
          <a:r>
            <a:rPr b="0" lang="en-CA" sz="1200" spc="-1" strike="noStrike">
              <a:latin typeface="Times New Roman"/>
            </a:rPr>
            <a:t>ΔT is the temperature differential across the structure, </a:t>
          </a:r>
          <a:br/>
          <a:r>
            <a:rPr b="0" lang="en-CA" sz="1200" spc="-1" strike="noStrike">
              <a:latin typeface="Times New Roman"/>
            </a:rPr>
            <a:t>A is the area in square metres.</a:t>
          </a:r>
          <a:br/>
          <a:br/>
          <a:r>
            <a:rPr b="0" lang="en-CA" sz="1200" spc="-1" strike="noStrike">
              <a:latin typeface="Times New Roman"/>
              <a:hlinkClick r:id="rId1"/>
            </a:rPr>
            <a:t>https://en.wikipedia.org/wiki/Thermal_transmittance</a:t>
          </a:r>
          <a:endParaRPr b="0" lang="en-CA" sz="1200" spc="-1" strike="noStrike">
            <a:latin typeface="Times New Roman"/>
          </a:endParaRPr>
        </a:p>
        <a:p>
          <a:endParaRPr b="0" lang="en-CA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11</xdr:col>
      <xdr:colOff>190800</xdr:colOff>
      <xdr:row>0</xdr:row>
      <xdr:rowOff>114840</xdr:rowOff>
    </xdr:from>
    <xdr:to>
      <xdr:col>15</xdr:col>
      <xdr:colOff>81720</xdr:colOff>
      <xdr:row>14</xdr:row>
      <xdr:rowOff>358200</xdr:rowOff>
    </xdr:to>
    <xdr:sp>
      <xdr:nvSpPr>
        <xdr:cNvPr id="1" name="TextShape 1"/>
        <xdr:cNvSpPr txBox="1"/>
      </xdr:nvSpPr>
      <xdr:spPr>
        <a:xfrm>
          <a:off x="7835400" y="114840"/>
          <a:ext cx="3142080" cy="2518920"/>
        </a:xfrm>
        <a:prstGeom prst="rect">
          <a:avLst/>
        </a:prstGeom>
        <a:solidFill>
          <a:srgbClr val="ffffff"/>
        </a:solidFill>
        <a:ln w="0">
          <a:noFill/>
        </a:ln>
      </xdr:spPr>
      <xdr:txBody>
        <a:bodyPr lIns="0" rIns="0" tIns="0" bIns="0">
          <a:noAutofit/>
        </a:bodyPr>
        <a:p>
          <a:r>
            <a:rPr b="0" lang="en-CA" sz="1200" spc="-1" strike="noStrike">
              <a:latin typeface="Times New Roman"/>
            </a:rPr>
            <a:t>Rate of heat loss (W/K) = V x ACH x ∆T x Kfactor </a:t>
          </a:r>
          <a:endParaRPr b="0" lang="en-CA" sz="1200" spc="-1" strike="noStrike">
            <a:latin typeface="Times New Roman"/>
          </a:endParaRPr>
        </a:p>
        <a:p>
          <a:endParaRPr b="0" lang="en-CA" sz="1200" spc="-1" strike="noStrike">
            <a:latin typeface="Times New Roman"/>
          </a:endParaRPr>
        </a:p>
        <a:p>
          <a:r>
            <a:rPr b="0" lang="en-CA" sz="1200" spc="-1" strike="noStrike">
              <a:latin typeface="Times New Roman"/>
            </a:rPr>
            <a:t>ACH – air changes per hour</a:t>
          </a:r>
          <a:endParaRPr b="0" lang="en-CA" sz="1200" spc="-1" strike="noStrike">
            <a:latin typeface="Times New Roman"/>
          </a:endParaRPr>
        </a:p>
        <a:p>
          <a:endParaRPr b="0" lang="en-CA" sz="1200" spc="-1" strike="noStrike">
            <a:latin typeface="Times New Roman"/>
          </a:endParaRPr>
        </a:p>
        <a:p>
          <a:r>
            <a:rPr b="0" lang="en-CA" sz="1200" spc="-1" strike="noStrike">
              <a:latin typeface="Times New Roman"/>
            </a:rPr>
            <a:t>Rate of heat loss per ˚C difference between inside </a:t>
          </a:r>
          <a:r>
            <a:rPr b="0" lang="en-CA" sz="1200" spc="-1" strike="noStrike">
              <a:latin typeface="Times New Roman"/>
            </a:rPr>
            <a:t>and outside = V x ACH x Kfactor</a:t>
          </a:r>
          <a:endParaRPr b="0" lang="en-CA" sz="1200" spc="-1" strike="noStrike">
            <a:latin typeface="Times New Roman"/>
          </a:endParaRPr>
        </a:p>
        <a:p>
          <a:endParaRPr b="0" lang="en-CA" sz="1200" spc="-1" strike="noStrike">
            <a:latin typeface="Times New Roman"/>
          </a:endParaRPr>
        </a:p>
        <a:p>
          <a:r>
            <a:rPr b="0" lang="en-CA" sz="1200" spc="-1" strike="noStrike">
              <a:latin typeface="Times New Roman"/>
            </a:rPr>
            <a:t>Kfactor make the units work out</a:t>
          </a:r>
          <a:endParaRPr b="0" lang="en-CA" sz="1200" spc="-1" strike="noStrike">
            <a:latin typeface="Times New Roman"/>
          </a:endParaRPr>
        </a:p>
        <a:p>
          <a:endParaRPr b="0" lang="en-CA" sz="1200" spc="-1" strike="noStrike">
            <a:latin typeface="Times New Roman"/>
          </a:endParaRPr>
        </a:p>
        <a:p>
          <a:r>
            <a:rPr b="0" lang="en-CA" sz="1200" spc="-1" strike="noStrike">
              <a:latin typeface="Times New Roman"/>
            </a:rPr>
            <a:t>V is the volume of the room in cubic meters</a:t>
          </a:r>
          <a:endParaRPr b="0" lang="en-CA" sz="1200" spc="-1" strike="noStrike">
            <a:latin typeface="Times New Roman"/>
          </a:endParaRPr>
        </a:p>
        <a:p>
          <a:endParaRPr b="0" lang="en-CA" sz="1200" spc="-1" strike="noStrike">
            <a:latin typeface="Times New Roman"/>
          </a:endParaRPr>
        </a:p>
        <a:p>
          <a:r>
            <a:rPr b="0" lang="en-CA" sz="1200" spc="-1" strike="noStrike">
              <a:latin typeface="Times New Roman"/>
            </a:rPr>
            <a:t>∆</a:t>
          </a:r>
          <a:r>
            <a:rPr b="0" lang="en-CA" sz="1200" spc="-1" strike="noStrike">
              <a:latin typeface="Times New Roman"/>
            </a:rPr>
            <a:t>T is the temperature difference in degrees C</a:t>
          </a:r>
          <a:endParaRPr b="0" lang="en-CA" sz="12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5</xdr:col>
      <xdr:colOff>137880</xdr:colOff>
      <xdr:row>1</xdr:row>
      <xdr:rowOff>77400</xdr:rowOff>
    </xdr:from>
    <xdr:to>
      <xdr:col>11</xdr:col>
      <xdr:colOff>194040</xdr:colOff>
      <xdr:row>9</xdr:row>
      <xdr:rowOff>124920</xdr:rowOff>
    </xdr:to>
    <xdr:sp>
      <xdr:nvSpPr>
        <xdr:cNvPr id="2" name="TextShape 1"/>
        <xdr:cNvSpPr txBox="1"/>
      </xdr:nvSpPr>
      <xdr:spPr>
        <a:xfrm>
          <a:off x="3982680" y="239760"/>
          <a:ext cx="3508560" cy="1348200"/>
        </a:xfrm>
        <a:prstGeom prst="rect">
          <a:avLst/>
        </a:prstGeom>
        <a:solidFill>
          <a:srgbClr val="ffffff"/>
        </a:solidFill>
        <a:ln w="0">
          <a:noFill/>
        </a:ln>
      </xdr:spPr>
      <xdr:txBody>
        <a:bodyPr lIns="0" rIns="0" tIns="0" bIns="0">
          <a:noAutofit/>
        </a:bodyPr>
        <a:p>
          <a:r>
            <a:rPr b="0" lang="en-CA" sz="1200" spc="-1" strike="noStrike">
              <a:latin typeface="Times New Roman"/>
            </a:rPr>
            <a:t>Φ = A × U × ΔT</a:t>
          </a:r>
          <a:endParaRPr b="0" lang="en-CA" sz="1200" spc="-1" strike="noStrike">
            <a:latin typeface="Times New Roman"/>
          </a:endParaRPr>
        </a:p>
        <a:p>
          <a:r>
            <a:rPr b="0" lang="en-CA" sz="1200" spc="-1" strike="noStrike">
              <a:latin typeface="Times New Roman"/>
            </a:rPr>
            <a:t>where Φ is the heat transfer in watts, </a:t>
          </a:r>
          <a:br/>
          <a:r>
            <a:rPr b="0" lang="en-CA" sz="1200" spc="-1" strike="noStrike">
              <a:latin typeface="Times New Roman"/>
            </a:rPr>
            <a:t>U is the thermal transmittance, </a:t>
          </a:r>
          <a:br/>
          <a:r>
            <a:rPr b="0" lang="en-CA" sz="1200" spc="-1" strike="noStrike">
              <a:latin typeface="Times New Roman"/>
            </a:rPr>
            <a:t>ΔT is the temperature differential across the </a:t>
          </a:r>
          <a:r>
            <a:rPr b="0" lang="en-CA" sz="1200" spc="-1" strike="noStrike">
              <a:latin typeface="Times New Roman"/>
            </a:rPr>
            <a:t>structure, </a:t>
          </a:r>
          <a:br/>
          <a:r>
            <a:rPr b="0" lang="en-CA" sz="1200" spc="-1" strike="noStrike">
              <a:latin typeface="Times New Roman"/>
            </a:rPr>
            <a:t>A is the area in square metres.</a:t>
          </a:r>
          <a:br/>
          <a:br/>
          <a:r>
            <a:rPr b="0" lang="en-CA" sz="1200" spc="-1" strike="noStrike">
              <a:latin typeface="Times New Roman"/>
              <a:hlinkClick r:id="rId1"/>
            </a:rPr>
            <a:t>https://en.wikipedia.org/wiki/Thermal_transmittance</a:t>
          </a:r>
          <a:endParaRPr b="0" lang="en-CA" sz="1200" spc="-1" strike="noStrike">
            <a:latin typeface="Times New Roman"/>
          </a:endParaRPr>
        </a:p>
        <a:p>
          <a:endParaRPr b="0" lang="en-CA" sz="1200" spc="-1" strike="noStrike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5</xdr:col>
      <xdr:colOff>312120</xdr:colOff>
      <xdr:row>0</xdr:row>
      <xdr:rowOff>96480</xdr:rowOff>
    </xdr:from>
    <xdr:to>
      <xdr:col>10</xdr:col>
      <xdr:colOff>743040</xdr:colOff>
      <xdr:row>8</xdr:row>
      <xdr:rowOff>144360</xdr:rowOff>
    </xdr:to>
    <xdr:sp>
      <xdr:nvSpPr>
        <xdr:cNvPr id="3" name="TextShape 1"/>
        <xdr:cNvSpPr txBox="1"/>
      </xdr:nvSpPr>
      <xdr:spPr>
        <a:xfrm>
          <a:off x="4262400" y="96480"/>
          <a:ext cx="3508560" cy="1348200"/>
        </a:xfrm>
        <a:prstGeom prst="rect">
          <a:avLst/>
        </a:prstGeom>
        <a:solidFill>
          <a:srgbClr val="ffffff"/>
        </a:solidFill>
        <a:ln w="0">
          <a:noFill/>
        </a:ln>
      </xdr:spPr>
      <xdr:txBody>
        <a:bodyPr lIns="0" rIns="0" tIns="0" bIns="0">
          <a:noAutofit/>
        </a:bodyPr>
        <a:p>
          <a:r>
            <a:rPr b="0" lang="en-CA" sz="1200" spc="-1" strike="noStrike">
              <a:latin typeface="Times New Roman"/>
            </a:rPr>
            <a:t>Φ = A × U × ΔT</a:t>
          </a:r>
          <a:endParaRPr b="0" lang="en-CA" sz="1200" spc="-1" strike="noStrike">
            <a:latin typeface="Times New Roman"/>
          </a:endParaRPr>
        </a:p>
        <a:p>
          <a:r>
            <a:rPr b="0" lang="en-CA" sz="1200" spc="-1" strike="noStrike">
              <a:latin typeface="Times New Roman"/>
            </a:rPr>
            <a:t>where Φ is the heat transfer in watts, </a:t>
          </a:r>
          <a:br/>
          <a:r>
            <a:rPr b="0" lang="en-CA" sz="1200" spc="-1" strike="noStrike">
              <a:latin typeface="Times New Roman"/>
            </a:rPr>
            <a:t>U is the thermal transmittance, </a:t>
          </a:r>
          <a:br/>
          <a:r>
            <a:rPr b="0" lang="en-CA" sz="1200" spc="-1" strike="noStrike">
              <a:latin typeface="Times New Roman"/>
            </a:rPr>
            <a:t>ΔT is the temperature differential across the structure, </a:t>
          </a:r>
          <a:br/>
          <a:r>
            <a:rPr b="0" lang="en-CA" sz="1200" spc="-1" strike="noStrike">
              <a:latin typeface="Times New Roman"/>
            </a:rPr>
            <a:t>A is the area in square metres.</a:t>
          </a:r>
          <a:br/>
          <a:br/>
          <a:r>
            <a:rPr b="0" lang="en-CA" sz="1200" spc="-1" strike="noStrike">
              <a:latin typeface="Times New Roman"/>
              <a:hlinkClick r:id="rId1"/>
            </a:rPr>
            <a:t>https://en.wikipedia.org/wiki/Thermal_transmittance</a:t>
          </a:r>
          <a:endParaRPr b="0" lang="en-CA" sz="1200" spc="-1" strike="noStrike">
            <a:latin typeface="Times New Roman"/>
          </a:endParaRPr>
        </a:p>
        <a:p>
          <a:endParaRPr b="0" lang="en-CA" sz="12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engineeringtoolbox.com/heat-loss-buildings-d_113.html" TargetMode="External"/><Relationship Id="rId2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8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B38" activeCellId="0" sqref="B3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2"/>
    <col collapsed="false" customWidth="true" hidden="false" outlineLevel="0" max="2" min="2" style="0" width="7.08"/>
    <col collapsed="false" customWidth="true" hidden="false" outlineLevel="0" max="5" min="3" style="0" width="7.64"/>
    <col collapsed="false" customWidth="true" hidden="false" outlineLevel="0" max="6" min="6" style="0" width="9.31"/>
    <col collapsed="false" customWidth="true" hidden="false" outlineLevel="0" max="9" min="7" style="0" width="7.64"/>
    <col collapsed="false" customWidth="true" hidden="false" outlineLevel="0" max="10" min="10" style="0" width="11.39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4" customFormat="false" ht="12.8" hidden="false" customHeight="false" outlineLevel="0" collapsed="false">
      <c r="A4" s="1" t="s">
        <v>2</v>
      </c>
      <c r="B4" s="2" t="n">
        <v>6.2</v>
      </c>
    </row>
    <row r="5" customFormat="false" ht="12.8" hidden="false" customHeight="false" outlineLevel="0" collapsed="false">
      <c r="A5" s="1" t="s">
        <v>3</v>
      </c>
      <c r="B5" s="2" t="n">
        <v>18</v>
      </c>
    </row>
    <row r="7" customFormat="false" ht="12.8" hidden="false" customHeight="false" outlineLevel="0" collapsed="false">
      <c r="A7" s="3" t="s">
        <v>4</v>
      </c>
      <c r="B7" s="4" t="n">
        <f aca="false">SUM(H16:H30)</f>
        <v>2881.1659005976</v>
      </c>
    </row>
    <row r="8" customFormat="false" ht="12.8" hidden="false" customHeight="false" outlineLevel="0" collapsed="false">
      <c r="B8" s="4"/>
    </row>
    <row r="9" customFormat="false" ht="12.8" hidden="false" customHeight="false" outlineLevel="0" collapsed="false">
      <c r="A9" s="4"/>
      <c r="B9" s="1" t="s">
        <v>5</v>
      </c>
      <c r="C9" s="0" t="n">
        <v>3600</v>
      </c>
      <c r="D9" s="0" t="s">
        <v>6</v>
      </c>
    </row>
    <row r="10" customFormat="false" ht="12.8" hidden="false" customHeight="false" outlineLevel="0" collapsed="false">
      <c r="A10" s="4"/>
      <c r="B10" s="1" t="s">
        <v>7</v>
      </c>
      <c r="C10" s="5" t="n">
        <f aca="false">24*C9/C11</f>
        <v>9.85626283367557</v>
      </c>
      <c r="D10" s="0" t="s">
        <v>8</v>
      </c>
      <c r="G10" s="0" t="n">
        <v>0.0036</v>
      </c>
      <c r="H10" s="0" t="s">
        <v>9</v>
      </c>
    </row>
    <row r="11" customFormat="false" ht="12.8" hidden="false" customHeight="false" outlineLevel="0" collapsed="false">
      <c r="A11" s="4"/>
      <c r="B11" s="1" t="s">
        <v>10</v>
      </c>
      <c r="C11" s="0" t="n">
        <f aca="false">24*365.25</f>
        <v>8766</v>
      </c>
      <c r="D11" s="0" t="s">
        <v>11</v>
      </c>
      <c r="L11" s="4"/>
      <c r="M11" s="4"/>
    </row>
    <row r="12" customFormat="false" ht="12.8" hidden="false" customHeight="false" outlineLevel="0" collapsed="false">
      <c r="A12" s="4"/>
      <c r="B12" s="1" t="s">
        <v>12</v>
      </c>
      <c r="C12" s="4" t="n">
        <f aca="false">SUM(I16:I30)/1000</f>
        <v>90.9226810246987</v>
      </c>
      <c r="D12" s="0" t="s">
        <v>13</v>
      </c>
      <c r="L12" s="4"/>
      <c r="M12" s="4"/>
      <c r="O12" s="0" t="n">
        <f aca="false">2*1.2+0.5*PI()*1.2</f>
        <v>4.28495559215388</v>
      </c>
    </row>
    <row r="13" customFormat="false" ht="12.8" hidden="false" customHeight="false" outlineLevel="0" collapsed="false">
      <c r="A13" s="4"/>
      <c r="B13" s="1"/>
      <c r="C13" s="5" t="n">
        <f aca="false">1000*C12/C9</f>
        <v>25.2563002846385</v>
      </c>
      <c r="D13" s="0" t="s">
        <v>14</v>
      </c>
      <c r="L13" s="4"/>
      <c r="M13" s="4"/>
    </row>
    <row r="14" customFormat="false" ht="12.8" hidden="false" customHeight="false" outlineLevel="0" collapsed="false">
      <c r="H14" s="4"/>
      <c r="I14" s="5"/>
      <c r="L14" s="4"/>
      <c r="M14" s="4"/>
    </row>
    <row r="15" customFormat="false" ht="46.25" hidden="false" customHeight="false" outlineLevel="0" collapsed="false">
      <c r="A15" s="6" t="s">
        <v>15</v>
      </c>
      <c r="B15" s="6" t="s">
        <v>16</v>
      </c>
      <c r="C15" s="7" t="s">
        <v>17</v>
      </c>
      <c r="D15" s="7" t="s">
        <v>18</v>
      </c>
      <c r="E15" s="7" t="s">
        <v>19</v>
      </c>
      <c r="F15" s="7" t="s">
        <v>20</v>
      </c>
      <c r="G15" s="7" t="s">
        <v>21</v>
      </c>
      <c r="H15" s="7" t="s">
        <v>22</v>
      </c>
      <c r="I15" s="7" t="s">
        <v>23</v>
      </c>
      <c r="J15" s="6" t="s">
        <v>24</v>
      </c>
      <c r="K15" s="4"/>
      <c r="L15" s="4"/>
      <c r="M15" s="4"/>
    </row>
    <row r="16" customFormat="false" ht="12.8" hidden="false" customHeight="false" outlineLevel="0" collapsed="false">
      <c r="A16" s="0" t="s">
        <v>25</v>
      </c>
      <c r="B16" s="0" t="n">
        <v>17</v>
      </c>
      <c r="C16" s="5" t="n">
        <f aca="false">1/D16</f>
        <v>0.357142857142857</v>
      </c>
      <c r="D16" s="8" t="n">
        <v>2.8</v>
      </c>
      <c r="E16" s="9" t="n">
        <v>25.45</v>
      </c>
      <c r="F16" s="5" t="n">
        <f aca="false">D16*E16</f>
        <v>71.26</v>
      </c>
      <c r="G16" s="0" t="n">
        <f aca="false">$B$5-$B$4</f>
        <v>11.8</v>
      </c>
      <c r="H16" s="4" t="n">
        <f aca="false">F16*G16</f>
        <v>840.868</v>
      </c>
      <c r="I16" s="4" t="n">
        <f aca="false">F16*G16*$C$11*watthour_to_MJ</f>
        <v>26535.7759968</v>
      </c>
      <c r="J16" s="10" t="n">
        <f aca="false">I16/($C$12*1000)</f>
        <v>0.291849906951068</v>
      </c>
      <c r="K16" s="4"/>
      <c r="L16" s="4"/>
      <c r="M16" s="4"/>
    </row>
    <row r="17" customFormat="false" ht="12.8" hidden="false" customHeight="false" outlineLevel="0" collapsed="false">
      <c r="A17" s="0" t="s">
        <v>26</v>
      </c>
      <c r="B17" s="0" t="n">
        <v>1</v>
      </c>
      <c r="C17" s="8" t="n">
        <v>3.56</v>
      </c>
      <c r="D17" s="5" t="n">
        <f aca="false">1/C17</f>
        <v>0.280898876404494</v>
      </c>
      <c r="E17" s="9" t="n">
        <v>122</v>
      </c>
      <c r="F17" s="5" t="n">
        <f aca="false">D17*E17</f>
        <v>34.2696629213483</v>
      </c>
      <c r="G17" s="0" t="n">
        <f aca="false">$B$5-$B$4</f>
        <v>11.8</v>
      </c>
      <c r="H17" s="4" t="n">
        <f aca="false">F17*G17</f>
        <v>404.38202247191</v>
      </c>
      <c r="I17" s="4" t="n">
        <f aca="false">F17*G17*$C$11*watthour_to_MJ</f>
        <v>12761.3261123596</v>
      </c>
      <c r="J17" s="10" t="n">
        <f aca="false">I17/($C$12*1000)</f>
        <v>0.140353605596969</v>
      </c>
      <c r="K17" s="4"/>
      <c r="L17" s="4"/>
      <c r="M17" s="4"/>
    </row>
    <row r="18" customFormat="false" ht="12.8" hidden="false" customHeight="false" outlineLevel="0" collapsed="false">
      <c r="A18" s="0" t="s">
        <v>27</v>
      </c>
      <c r="B18" s="0" t="n">
        <v>1</v>
      </c>
      <c r="C18" s="8" t="n">
        <v>3.56</v>
      </c>
      <c r="D18" s="5" t="n">
        <f aca="false">1/C18</f>
        <v>0.280898876404494</v>
      </c>
      <c r="E18" s="9" t="n">
        <v>102.9</v>
      </c>
      <c r="F18" s="5" t="n">
        <f aca="false">D18*E18</f>
        <v>28.9044943820225</v>
      </c>
      <c r="G18" s="0" t="n">
        <f aca="false">$B$5-$B$4</f>
        <v>11.8</v>
      </c>
      <c r="H18" s="4" t="n">
        <f aca="false">F18*G18</f>
        <v>341.073033707865</v>
      </c>
      <c r="I18" s="4" t="n">
        <f aca="false">F18*G18*$C$11*watthour_to_MJ</f>
        <v>10763.4463685393</v>
      </c>
      <c r="J18" s="10" t="n">
        <f aca="false">I18/($C$12*1000)</f>
        <v>0.118380213245312</v>
      </c>
      <c r="K18" s="4"/>
      <c r="L18" s="4"/>
      <c r="M18" s="4"/>
    </row>
    <row r="19" customFormat="false" ht="12.8" hidden="false" customHeight="false" outlineLevel="0" collapsed="false">
      <c r="A19" s="0" t="s">
        <v>28</v>
      </c>
      <c r="B19" s="0" t="n">
        <v>4</v>
      </c>
      <c r="C19" s="5" t="n">
        <f aca="false">1/D19</f>
        <v>0.384615384615385</v>
      </c>
      <c r="D19" s="8" t="n">
        <v>2.6</v>
      </c>
      <c r="E19" s="9" t="n">
        <v>9.86</v>
      </c>
      <c r="F19" s="5" t="n">
        <f aca="false">D19*E19</f>
        <v>25.636</v>
      </c>
      <c r="G19" s="0" t="n">
        <f aca="false">$B$5-$B$4</f>
        <v>11.8</v>
      </c>
      <c r="H19" s="4" t="n">
        <f aca="false">F19*G19</f>
        <v>302.5048</v>
      </c>
      <c r="I19" s="4" t="n">
        <f aca="false">F19*G19*$C$11*watthour_to_MJ</f>
        <v>9546.32547648</v>
      </c>
      <c r="J19" s="10" t="n">
        <f aca="false">I19/($C$12*1000)</f>
        <v>0.104993884571956</v>
      </c>
      <c r="K19" s="4"/>
      <c r="L19" s="4"/>
      <c r="M19" s="4"/>
    </row>
    <row r="20" customFormat="false" ht="12.8" hidden="false" customHeight="false" outlineLevel="0" collapsed="false">
      <c r="A20" s="0" t="s">
        <v>29</v>
      </c>
      <c r="B20" s="0" t="n">
        <v>1</v>
      </c>
      <c r="C20" s="8" t="n">
        <v>8.54</v>
      </c>
      <c r="D20" s="5" t="n">
        <f aca="false">1/C20</f>
        <v>0.117096018735363</v>
      </c>
      <c r="E20" s="9" t="n">
        <v>160.3</v>
      </c>
      <c r="F20" s="5" t="n">
        <f aca="false">D20*E20</f>
        <v>18.7704918032787</v>
      </c>
      <c r="G20" s="0" t="n">
        <f aca="false">$B$5-$B$4</f>
        <v>11.8</v>
      </c>
      <c r="H20" s="4" t="n">
        <f aca="false">F20*G20</f>
        <v>221.491803278689</v>
      </c>
      <c r="I20" s="4" t="n">
        <f aca="false">F20*G20*$C$11*watthour_to_MJ</f>
        <v>6989.74973114754</v>
      </c>
      <c r="J20" s="10" t="n">
        <f aca="false">I20/($C$12*1000)</f>
        <v>0.0768757547882779</v>
      </c>
      <c r="K20" s="4"/>
      <c r="L20" s="4"/>
      <c r="M20" s="5"/>
    </row>
    <row r="21" customFormat="false" ht="12.8" hidden="false" customHeight="false" outlineLevel="0" collapsed="false">
      <c r="A21" s="0" t="s">
        <v>30</v>
      </c>
      <c r="B21" s="0" t="n">
        <v>1</v>
      </c>
      <c r="C21" s="8" t="n">
        <v>2.7</v>
      </c>
      <c r="D21" s="5" t="n">
        <f aca="false">1/C21</f>
        <v>0.37037037037037</v>
      </c>
      <c r="E21" s="9" t="n">
        <v>40.9</v>
      </c>
      <c r="F21" s="5" t="n">
        <f aca="false">D21*E21</f>
        <v>15.1481481481481</v>
      </c>
      <c r="G21" s="0" t="n">
        <f aca="false">$B$5-$B$4</f>
        <v>11.8</v>
      </c>
      <c r="H21" s="4" t="n">
        <f aca="false">F21*G21</f>
        <v>178.748148148148</v>
      </c>
      <c r="I21" s="4" t="n">
        <f aca="false">F21*G21*$C$11*watthour_to_MJ</f>
        <v>5640.86256</v>
      </c>
      <c r="J21" s="10" t="n">
        <f aca="false">I21/($C$12*1000)</f>
        <v>0.0620402136895599</v>
      </c>
      <c r="K21" s="4"/>
      <c r="L21" s="4"/>
      <c r="M21" s="4"/>
    </row>
    <row r="22" customFormat="false" ht="12.8" hidden="false" customHeight="false" outlineLevel="0" collapsed="false">
      <c r="A22" s="0" t="s">
        <v>31</v>
      </c>
      <c r="B22" s="0" t="n">
        <v>1</v>
      </c>
      <c r="C22" s="8" t="n">
        <v>2.78</v>
      </c>
      <c r="D22" s="5" t="n">
        <f aca="false">1/C22</f>
        <v>0.359712230215827</v>
      </c>
      <c r="E22" s="9" t="n">
        <v>33.4</v>
      </c>
      <c r="F22" s="5" t="n">
        <f aca="false">D22*E22</f>
        <v>12.0143884892086</v>
      </c>
      <c r="G22" s="0" t="n">
        <f aca="false">$B$5-$B$4</f>
        <v>11.8</v>
      </c>
      <c r="H22" s="4" t="n">
        <f aca="false">F22*G22</f>
        <v>141.769784172662</v>
      </c>
      <c r="I22" s="4" t="n">
        <f aca="false">F22*G22*$C$11*watthour_to_MJ</f>
        <v>4473.9141410072</v>
      </c>
      <c r="J22" s="10" t="n">
        <f aca="false">I22/($C$12*1000)</f>
        <v>0.0492056997284525</v>
      </c>
      <c r="K22" s="4"/>
      <c r="L22" s="4"/>
      <c r="M22" s="4"/>
    </row>
    <row r="23" customFormat="false" ht="12.8" hidden="false" customHeight="false" outlineLevel="0" collapsed="false">
      <c r="A23" s="0" t="s">
        <v>32</v>
      </c>
      <c r="B23" s="0" t="n">
        <v>1</v>
      </c>
      <c r="C23" s="8" t="n">
        <v>1.77</v>
      </c>
      <c r="D23" s="5" t="n">
        <f aca="false">1/C23</f>
        <v>0.564971751412429</v>
      </c>
      <c r="E23" s="9" t="n">
        <v>19.7</v>
      </c>
      <c r="F23" s="5" t="n">
        <f aca="false">D23*E23</f>
        <v>11.1299435028249</v>
      </c>
      <c r="G23" s="0" t="n">
        <f aca="false">$B$5-$B$4</f>
        <v>11.8</v>
      </c>
      <c r="H23" s="4" t="n">
        <f aca="false">F23*G23</f>
        <v>131.333333333333</v>
      </c>
      <c r="I23" s="4" t="n">
        <f aca="false">F23*G23*$C$11*watthour_to_MJ</f>
        <v>4144.5648</v>
      </c>
      <c r="J23" s="10" t="n">
        <f aca="false">I23/($C$12*1000)</f>
        <v>0.0455833984797935</v>
      </c>
      <c r="K23" s="4"/>
      <c r="L23" s="4"/>
      <c r="M23" s="4"/>
    </row>
    <row r="24" customFormat="false" ht="12.8" hidden="false" customHeight="false" outlineLevel="0" collapsed="false">
      <c r="A24" s="0" t="s">
        <v>33</v>
      </c>
      <c r="B24" s="0" t="n">
        <v>1</v>
      </c>
      <c r="C24" s="5" t="n">
        <f aca="false">1/D24</f>
        <v>10</v>
      </c>
      <c r="D24" s="8" t="n">
        <v>0.1</v>
      </c>
      <c r="E24" s="9" t="n">
        <v>64.8</v>
      </c>
      <c r="F24" s="5" t="n">
        <f aca="false">D24*E24</f>
        <v>6.48</v>
      </c>
      <c r="G24" s="0" t="n">
        <f aca="false">$B$5-$B$4</f>
        <v>11.8</v>
      </c>
      <c r="H24" s="4" t="n">
        <f aca="false">F24*G24</f>
        <v>76.464</v>
      </c>
      <c r="I24" s="4" t="n">
        <f aca="false">F24*G24*$C$11*watthour_to_MJ</f>
        <v>2413.0203264</v>
      </c>
      <c r="J24" s="10" t="n">
        <f aca="false">I24/($C$12*1000)</f>
        <v>0.0265392562032406</v>
      </c>
      <c r="K24" s="4"/>
      <c r="L24" s="4"/>
      <c r="M24" s="4"/>
    </row>
    <row r="25" customFormat="false" ht="12.8" hidden="false" customHeight="false" outlineLevel="0" collapsed="false">
      <c r="A25" s="0" t="s">
        <v>34</v>
      </c>
      <c r="B25" s="0" t="n">
        <v>1</v>
      </c>
      <c r="C25" s="5" t="n">
        <f aca="false">1/D25</f>
        <v>10</v>
      </c>
      <c r="D25" s="8" t="n">
        <v>0.1</v>
      </c>
      <c r="E25" s="9" t="n">
        <v>58.3</v>
      </c>
      <c r="F25" s="5" t="n">
        <f aca="false">D25*E25</f>
        <v>5.83</v>
      </c>
      <c r="G25" s="0" t="n">
        <f aca="false">$B$5-$B$4</f>
        <v>11.8</v>
      </c>
      <c r="H25" s="4" t="n">
        <f aca="false">F25*G25</f>
        <v>68.794</v>
      </c>
      <c r="I25" s="4" t="n">
        <f aca="false">F25*G25*$C$11*watthour_to_MJ</f>
        <v>2170.9735344</v>
      </c>
      <c r="J25" s="10" t="n">
        <f aca="false">I25/($C$12*1000)</f>
        <v>0.0238771394544587</v>
      </c>
      <c r="K25" s="4"/>
    </row>
    <row r="26" customFormat="false" ht="12.8" hidden="false" customHeight="false" outlineLevel="0" collapsed="false">
      <c r="A26" s="0" t="s">
        <v>35</v>
      </c>
      <c r="B26" s="0" t="n">
        <v>1</v>
      </c>
      <c r="C26" s="8" t="n">
        <v>5.32</v>
      </c>
      <c r="D26" s="5" t="n">
        <f aca="false">1/C26</f>
        <v>0.18796992481203</v>
      </c>
      <c r="E26" s="9" t="n">
        <v>28.3</v>
      </c>
      <c r="F26" s="5" t="n">
        <f aca="false">D26*E26</f>
        <v>5.31954887218045</v>
      </c>
      <c r="G26" s="0" t="n">
        <f aca="false">$B$5-$B$4</f>
        <v>11.8</v>
      </c>
      <c r="H26" s="4" t="n">
        <f aca="false">F26*G26</f>
        <v>62.7706766917293</v>
      </c>
      <c r="I26" s="4" t="n">
        <f aca="false">F26*G26*$C$11*watthour_to_MJ</f>
        <v>1980.89190676692</v>
      </c>
      <c r="J26" s="10" t="n">
        <f aca="false">I26/($C$12*1000)</f>
        <v>0.0217865540747618</v>
      </c>
      <c r="K26" s="4"/>
    </row>
    <row r="27" customFormat="false" ht="12.8" hidden="false" customHeight="false" outlineLevel="0" collapsed="false">
      <c r="A27" s="0" t="s">
        <v>36</v>
      </c>
      <c r="B27" s="0" t="n">
        <v>1</v>
      </c>
      <c r="C27" s="8" t="n">
        <v>2.95</v>
      </c>
      <c r="D27" s="5" t="n">
        <f aca="false">1/C27</f>
        <v>0.338983050847458</v>
      </c>
      <c r="E27" s="9" t="n">
        <v>11.5</v>
      </c>
      <c r="F27" s="5" t="n">
        <f aca="false">D27*E27</f>
        <v>3.89830508474576</v>
      </c>
      <c r="G27" s="0" t="n">
        <f aca="false">$B$5-$B$4</f>
        <v>11.8</v>
      </c>
      <c r="H27" s="4" t="n">
        <f aca="false">F27*G27</f>
        <v>46</v>
      </c>
      <c r="I27" s="4" t="n">
        <f aca="false">F27*G27*$C$11*watthour_to_MJ</f>
        <v>1451.6496</v>
      </c>
      <c r="J27" s="10" t="n">
        <f aca="false">I27/($C$12*1000)</f>
        <v>0.0159657588584048</v>
      </c>
      <c r="K27" s="4"/>
    </row>
    <row r="28" customFormat="false" ht="12.8" hidden="false" customHeight="false" outlineLevel="0" collapsed="false">
      <c r="A28" s="0" t="s">
        <v>37</v>
      </c>
      <c r="B28" s="0" t="n">
        <v>1</v>
      </c>
      <c r="C28" s="8" t="n">
        <v>2.51</v>
      </c>
      <c r="D28" s="5" t="n">
        <f aca="false">1/C28</f>
        <v>0.398406374501992</v>
      </c>
      <c r="E28" s="9" t="n">
        <v>9</v>
      </c>
      <c r="F28" s="5" t="n">
        <f aca="false">D28*E28</f>
        <v>3.58565737051793</v>
      </c>
      <c r="G28" s="0" t="n">
        <f aca="false">$B$5-$B$4</f>
        <v>11.8</v>
      </c>
      <c r="H28" s="4" t="n">
        <f aca="false">F28*G28</f>
        <v>42.3107569721116</v>
      </c>
      <c r="I28" s="4" t="n">
        <f aca="false">F28*G28*$C$11*watthour_to_MJ</f>
        <v>1335.22594422311</v>
      </c>
      <c r="J28" s="10" t="n">
        <f aca="false">I28/($C$12*1000)</f>
        <v>0.0146852900637675</v>
      </c>
      <c r="K28" s="4"/>
    </row>
    <row r="29" customFormat="false" ht="12.8" hidden="false" customHeight="false" outlineLevel="0" collapsed="false">
      <c r="A29" s="0" t="s">
        <v>38</v>
      </c>
      <c r="B29" s="0" t="n">
        <v>1</v>
      </c>
      <c r="C29" s="8" t="n">
        <v>5.3</v>
      </c>
      <c r="D29" s="5" t="n">
        <f aca="false">1/C29</f>
        <v>0.188679245283019</v>
      </c>
      <c r="E29" s="9" t="n">
        <v>8.7</v>
      </c>
      <c r="F29" s="5" t="n">
        <f aca="false">D29*E29</f>
        <v>1.64150943396226</v>
      </c>
      <c r="G29" s="0" t="n">
        <f aca="false">$B$5-$B$4</f>
        <v>11.8</v>
      </c>
      <c r="H29" s="4" t="n">
        <f aca="false">F29*G29</f>
        <v>19.3698113207547</v>
      </c>
      <c r="I29" s="4" t="n">
        <f aca="false">F29*G29*$C$11*watthour_to_MJ</f>
        <v>611.264757735849</v>
      </c>
      <c r="J29" s="10" t="n">
        <f aca="false">I29/($C$12*1000)</f>
        <v>0.00672290731912978</v>
      </c>
      <c r="K29" s="4"/>
    </row>
    <row r="30" customFormat="false" ht="12.8" hidden="false" customHeight="false" outlineLevel="0" collapsed="false">
      <c r="A30" s="0" t="s">
        <v>39</v>
      </c>
      <c r="C30" s="8"/>
      <c r="D30" s="5"/>
      <c r="E30" s="9"/>
      <c r="F30" s="5"/>
      <c r="H30" s="4" t="n">
        <f aca="false">B38</f>
        <v>3.28573050039337</v>
      </c>
      <c r="I30" s="4" t="n">
        <f aca="false">H30*$C$11*watthour_to_MJ</f>
        <v>103.689768839214</v>
      </c>
      <c r="J30" s="10" t="n">
        <f aca="false">I30/($C$12*1000)</f>
        <v>0.00114041697484753</v>
      </c>
    </row>
    <row r="32" customFormat="false" ht="12.8" hidden="false" customHeight="false" outlineLevel="0" collapsed="false">
      <c r="A32" s="6" t="s">
        <v>40</v>
      </c>
    </row>
    <row r="33" customFormat="false" ht="12.8" hidden="false" customHeight="false" outlineLevel="0" collapsed="false">
      <c r="A33" s="0" t="s">
        <v>41</v>
      </c>
      <c r="B33" s="4" t="n">
        <f aca="false">B36*60/B34*(0.3048^3)</f>
        <v>626.013915428572</v>
      </c>
      <c r="C33" s="0" t="s">
        <v>42</v>
      </c>
      <c r="H33" s="11" t="s">
        <v>43</v>
      </c>
      <c r="K33" s="12" t="s">
        <v>44</v>
      </c>
    </row>
    <row r="34" customFormat="false" ht="12.8" hidden="false" customHeight="false" outlineLevel="0" collapsed="false">
      <c r="A34" s="0" t="s">
        <v>45</v>
      </c>
      <c r="B34" s="0" t="n">
        <v>1.75</v>
      </c>
      <c r="C34" s="0" t="s">
        <v>46</v>
      </c>
      <c r="G34" s="13" t="s">
        <v>47</v>
      </c>
      <c r="H34" s="0" t="n">
        <v>0.7171</v>
      </c>
      <c r="I34" s="0" t="s">
        <v>48</v>
      </c>
    </row>
    <row r="35" customFormat="false" ht="12.8" hidden="false" customHeight="false" outlineLevel="0" collapsed="false">
      <c r="A35" s="0" t="s">
        <v>49</v>
      </c>
      <c r="B35" s="0" t="n">
        <v>416</v>
      </c>
      <c r="C35" s="0" t="s">
        <v>50</v>
      </c>
      <c r="G35" s="13" t="s">
        <v>51</v>
      </c>
      <c r="H35" s="0" t="n">
        <v>1.276</v>
      </c>
      <c r="I35" s="0" t="s">
        <v>52</v>
      </c>
      <c r="L35" s="13"/>
    </row>
    <row r="36" customFormat="false" ht="12.8" hidden="false" customHeight="false" outlineLevel="0" collapsed="false">
      <c r="A36" s="0" t="s">
        <v>53</v>
      </c>
      <c r="B36" s="0" t="n">
        <f aca="false">B35*10/(2.54^2)</f>
        <v>644.801289602579</v>
      </c>
      <c r="C36" s="0" t="s">
        <v>54</v>
      </c>
      <c r="H36" s="0" t="n">
        <f aca="false">1/3600</f>
        <v>0.000277777777777778</v>
      </c>
      <c r="I36" s="0" t="s">
        <v>55</v>
      </c>
      <c r="M36" s="13"/>
    </row>
    <row r="37" customFormat="false" ht="12.8" hidden="false" customHeight="false" outlineLevel="0" collapsed="false">
      <c r="A37" s="0" t="s">
        <v>56</v>
      </c>
      <c r="B37" s="0" t="n">
        <f aca="false">B5-B4</f>
        <v>11.8</v>
      </c>
      <c r="L37" s="13"/>
    </row>
    <row r="38" customFormat="false" ht="12.8" hidden="false" customHeight="false" outlineLevel="0" collapsed="false">
      <c r="A38" s="11" t="s">
        <v>57</v>
      </c>
      <c r="B38" s="4" t="n">
        <f aca="false">H34*H35*B34*B33*B37*H36</f>
        <v>3.28573050039337</v>
      </c>
    </row>
  </sheetData>
  <hyperlinks>
    <hyperlink ref="K33" r:id="rId1" display="https://www.engineeringtoolbox.com/heat-loss-buildings-d_113.html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38"/>
    <col collapsed="false" customWidth="true" hidden="false" outlineLevel="0" max="2" min="2" style="0" width="7.49"/>
    <col collapsed="false" customWidth="true" hidden="false" outlineLevel="0" max="3" min="3" style="0" width="8.33"/>
    <col collapsed="false" customWidth="true" hidden="false" outlineLevel="0" max="5" min="4" style="0" width="7.64"/>
    <col collapsed="false" customWidth="true" hidden="false" outlineLevel="0" max="6" min="6" style="0" width="9.31"/>
    <col collapsed="false" customWidth="true" hidden="false" outlineLevel="0" max="9" min="7" style="0" width="7.64"/>
    <col collapsed="false" customWidth="true" hidden="false" outlineLevel="0" max="10" min="10" style="0" width="5.18"/>
    <col collapsed="false" customWidth="true" hidden="false" outlineLevel="0" max="13" min="13" style="0" width="22.55"/>
  </cols>
  <sheetData>
    <row r="1" customFormat="false" ht="12.8" hidden="false" customHeight="false" outlineLevel="0" collapsed="false">
      <c r="F1" s="0" t="s">
        <v>0</v>
      </c>
    </row>
    <row r="2" customFormat="false" ht="12.8" hidden="false" customHeight="false" outlineLevel="0" collapsed="false">
      <c r="A2" s="0" t="s">
        <v>58</v>
      </c>
      <c r="B2" s="2" t="n">
        <v>65</v>
      </c>
      <c r="C2" s="0" t="s">
        <v>59</v>
      </c>
      <c r="D2" s="4" t="n">
        <f aca="false">(B2-32)*5/9</f>
        <v>18.3333333333333</v>
      </c>
      <c r="E2" s="0" t="s">
        <v>8</v>
      </c>
      <c r="M2" s="0" t="s">
        <v>60</v>
      </c>
      <c r="N2" s="0" t="n">
        <f aca="false">0.3048^2</f>
        <v>0.09290304</v>
      </c>
    </row>
    <row r="3" customFormat="false" ht="12.8" hidden="false" customHeight="false" outlineLevel="0" collapsed="false">
      <c r="A3" s="0" t="s">
        <v>61</v>
      </c>
      <c r="B3" s="2" t="n">
        <f aca="false">6</f>
        <v>6</v>
      </c>
      <c r="C3" s="0" t="s">
        <v>59</v>
      </c>
      <c r="D3" s="4" t="n">
        <f aca="false">(B3-32)*5/9</f>
        <v>-14.4444444444444</v>
      </c>
      <c r="E3" s="0" t="s">
        <v>8</v>
      </c>
      <c r="M3" s="0" t="s">
        <v>62</v>
      </c>
      <c r="N3" s="0" t="n">
        <v>0.1761</v>
      </c>
    </row>
    <row r="4" customFormat="false" ht="12.8" hidden="false" customHeight="false" outlineLevel="0" collapsed="false">
      <c r="B4" s="4"/>
    </row>
    <row r="5" customFormat="false" ht="12.8" hidden="false" customHeight="false" outlineLevel="0" collapsed="false">
      <c r="A5" s="3" t="s">
        <v>4</v>
      </c>
      <c r="B5" s="4" t="n">
        <f aca="false">SUM(H15:H28)</f>
        <v>772.018768872121</v>
      </c>
      <c r="M5" s="0" t="s">
        <v>63</v>
      </c>
      <c r="N5" s="0" t="n">
        <v>3.412141</v>
      </c>
    </row>
    <row r="6" customFormat="false" ht="12.8" hidden="false" customHeight="false" outlineLevel="0" collapsed="false">
      <c r="A6" s="3" t="s">
        <v>64</v>
      </c>
      <c r="B6" s="4" t="n">
        <f aca="false">B5*BTU_per_wh</f>
        <v>2634.23689403809</v>
      </c>
      <c r="C6" s="0" t="s">
        <v>65</v>
      </c>
    </row>
    <row r="7" customFormat="false" ht="12.8" hidden="false" customHeight="false" outlineLevel="0" collapsed="false">
      <c r="A7" s="3"/>
      <c r="B7" s="4"/>
    </row>
    <row r="8" customFormat="false" ht="12.8" hidden="false" customHeight="false" outlineLevel="0" collapsed="false">
      <c r="A8" s="4"/>
      <c r="B8" s="1" t="s">
        <v>5</v>
      </c>
      <c r="C8" s="2" t="n">
        <v>3600</v>
      </c>
      <c r="D8" s="0" t="s">
        <v>6</v>
      </c>
    </row>
    <row r="9" customFormat="false" ht="12.8" hidden="false" customHeight="false" outlineLevel="0" collapsed="false">
      <c r="A9" s="4"/>
      <c r="B9" s="1" t="s">
        <v>7</v>
      </c>
      <c r="C9" s="5" t="n">
        <f aca="false">24*C8/C10</f>
        <v>9.85626283367557</v>
      </c>
      <c r="D9" s="0" t="s">
        <v>8</v>
      </c>
    </row>
    <row r="10" customFormat="false" ht="12.8" hidden="false" customHeight="false" outlineLevel="0" collapsed="false">
      <c r="A10" s="4"/>
      <c r="B10" s="1" t="s">
        <v>10</v>
      </c>
      <c r="C10" s="0" t="n">
        <f aca="false">24*365.25</f>
        <v>8766</v>
      </c>
      <c r="D10" s="0" t="s">
        <v>11</v>
      </c>
    </row>
    <row r="11" customFormat="false" ht="12.8" hidden="false" customHeight="false" outlineLevel="0" collapsed="false">
      <c r="A11" s="4"/>
      <c r="B11" s="1" t="s">
        <v>12</v>
      </c>
      <c r="C11" s="9" t="n">
        <f aca="false">SUM(I15:I28)/1000</f>
        <v>16.0085811913323</v>
      </c>
      <c r="D11" s="0" t="s">
        <v>13</v>
      </c>
      <c r="M11" s="4"/>
    </row>
    <row r="12" customFormat="false" ht="12.8" hidden="false" customHeight="false" outlineLevel="0" collapsed="false">
      <c r="A12" s="4"/>
      <c r="B12" s="1"/>
      <c r="C12" s="5" t="n">
        <f aca="false">1000*C11/C8</f>
        <v>4.44682810870342</v>
      </c>
      <c r="D12" s="0" t="s">
        <v>14</v>
      </c>
      <c r="M12" s="4"/>
    </row>
    <row r="13" customFormat="false" ht="12.8" hidden="false" customHeight="false" outlineLevel="0" collapsed="false">
      <c r="H13" s="14" t="s">
        <v>66</v>
      </c>
      <c r="I13" s="4" t="n">
        <f aca="false">SUM(I15:I28)</f>
        <v>16008.5811913323</v>
      </c>
      <c r="M13" s="4"/>
    </row>
    <row r="14" customFormat="false" ht="35.05" hidden="false" customHeight="false" outlineLevel="0" collapsed="false">
      <c r="A14" s="6" t="s">
        <v>15</v>
      </c>
      <c r="B14" s="6" t="s">
        <v>67</v>
      </c>
      <c r="C14" s="7" t="s">
        <v>17</v>
      </c>
      <c r="D14" s="7" t="s">
        <v>18</v>
      </c>
      <c r="E14" s="7" t="s">
        <v>19</v>
      </c>
      <c r="F14" s="7" t="s">
        <v>20</v>
      </c>
      <c r="G14" s="7" t="s">
        <v>68</v>
      </c>
      <c r="H14" s="7" t="s">
        <v>22</v>
      </c>
      <c r="I14" s="7" t="s">
        <v>69</v>
      </c>
      <c r="J14" s="6" t="s">
        <v>24</v>
      </c>
      <c r="K14" s="4"/>
      <c r="L14" s="4"/>
      <c r="M14" s="4"/>
    </row>
    <row r="15" customFormat="false" ht="12.8" hidden="false" customHeight="false" outlineLevel="0" collapsed="false">
      <c r="A15" s="0" t="s">
        <v>70</v>
      </c>
      <c r="B15" s="15" t="n">
        <v>13</v>
      </c>
      <c r="C15" s="5" t="n">
        <f aca="false">B15*RSI_per_R</f>
        <v>2.2893</v>
      </c>
      <c r="D15" s="5" t="n">
        <f aca="false">1/C15</f>
        <v>0.436814746865854</v>
      </c>
      <c r="E15" s="9" t="n">
        <f aca="false">((2*26+20)*8)*M2_per_sqft</f>
        <v>53.51215104</v>
      </c>
      <c r="F15" s="5" t="n">
        <f aca="false">D15*E15</f>
        <v>23.374896710785</v>
      </c>
      <c r="G15" s="4" t="n">
        <f aca="false">(($B$2-$B$3)-32)*5/9</f>
        <v>15</v>
      </c>
      <c r="H15" s="4" t="n">
        <f aca="false">F15*G15</f>
        <v>350.623450661774</v>
      </c>
      <c r="I15" s="4" t="n">
        <f aca="false">F15*$C$10*0.0036*$C$9</f>
        <v>7270.52787292256</v>
      </c>
      <c r="J15" s="10" t="n">
        <f aca="false">I15/$I$13</f>
        <v>0.45416441257512</v>
      </c>
      <c r="K15" s="4"/>
      <c r="L15" s="4"/>
      <c r="M15" s="4"/>
    </row>
    <row r="16" customFormat="false" ht="12.8" hidden="false" customHeight="false" outlineLevel="0" collapsed="false">
      <c r="A16" s="0" t="s">
        <v>71</v>
      </c>
      <c r="B16" s="15" t="n">
        <v>19</v>
      </c>
      <c r="C16" s="5" t="n">
        <f aca="false">B16*RSI_per_R</f>
        <v>3.3459</v>
      </c>
      <c r="D16" s="5" t="n">
        <f aca="false">1/C16</f>
        <v>0.298873247855584</v>
      </c>
      <c r="E16" s="9" t="n">
        <f aca="false">520*M2_per_sqft</f>
        <v>48.3095808</v>
      </c>
      <c r="F16" s="5" t="n">
        <f aca="false">D16*E16</f>
        <v>14.4384413162378</v>
      </c>
      <c r="G16" s="4" t="n">
        <f aca="false">(($B$2-$B$3)-32)*5/9</f>
        <v>15</v>
      </c>
      <c r="H16" s="4" t="n">
        <f aca="false">F16*G16</f>
        <v>216.576619743567</v>
      </c>
      <c r="I16" s="4" t="n">
        <f aca="false">F16*$C$10*0.0036*$C$9</f>
        <v>4490.9327870026</v>
      </c>
      <c r="J16" s="10" t="n">
        <f aca="false">I16/$I$13</f>
        <v>0.280532842562848</v>
      </c>
      <c r="K16" s="4"/>
      <c r="L16" s="4"/>
    </row>
    <row r="17" customFormat="false" ht="12.8" hidden="false" customHeight="false" outlineLevel="0" collapsed="false">
      <c r="A17" s="0" t="s">
        <v>72</v>
      </c>
      <c r="B17" s="15" t="n">
        <v>7.5</v>
      </c>
      <c r="C17" s="5" t="n">
        <f aca="false">B17*RSI_per_R</f>
        <v>1.32075</v>
      </c>
      <c r="D17" s="5" t="n">
        <f aca="false">1/C17</f>
        <v>0.757145561234147</v>
      </c>
      <c r="E17" s="9" t="n">
        <f aca="false">20*8*M2_per_sqft</f>
        <v>14.8644864</v>
      </c>
      <c r="F17" s="5" t="n">
        <f aca="false">D17*E17</f>
        <v>11.2545798977854</v>
      </c>
      <c r="G17" s="4" t="n">
        <f aca="false">(($B$2-$B$3)-32)*5/9</f>
        <v>15</v>
      </c>
      <c r="H17" s="4" t="n">
        <f aca="false">F17*G17</f>
        <v>168.81869846678</v>
      </c>
      <c r="I17" s="4" t="n">
        <f aca="false">F17*$C$10*0.0036*$C$9</f>
        <v>3500.62453140716</v>
      </c>
      <c r="J17" s="10" t="n">
        <f aca="false">I17/$I$13</f>
        <v>0.218671754202836</v>
      </c>
      <c r="K17" s="4"/>
      <c r="L17" s="4"/>
    </row>
    <row r="18" customFormat="false" ht="12.8" hidden="false" customHeight="false" outlineLevel="0" collapsed="false">
      <c r="A18" s="0" t="s">
        <v>73</v>
      </c>
      <c r="B18" s="9" t="n">
        <f aca="false">C18/RSI_per_R</f>
        <v>1.89286390308537</v>
      </c>
      <c r="C18" s="5" t="n">
        <f aca="false">1/D18</f>
        <v>0.333333333333333</v>
      </c>
      <c r="D18" s="8" t="n">
        <v>3</v>
      </c>
      <c r="E18" s="9" t="n">
        <f aca="false">0.8</f>
        <v>0.8</v>
      </c>
      <c r="F18" s="5" t="n">
        <f aca="false">D18*E18</f>
        <v>2.4</v>
      </c>
      <c r="G18" s="4" t="n">
        <f aca="false">(($B$2-$B$3)-32)*5/9</f>
        <v>15</v>
      </c>
      <c r="H18" s="4" t="n">
        <f aca="false">F18*G18</f>
        <v>36</v>
      </c>
      <c r="I18" s="4" t="n">
        <f aca="false">F18*$C$10*0.0036*$C$9</f>
        <v>746.496</v>
      </c>
      <c r="J18" s="10" t="n">
        <f aca="false">I18/$I$13</f>
        <v>0.0466309906591961</v>
      </c>
      <c r="K18" s="4"/>
      <c r="L18" s="4"/>
    </row>
    <row r="19" customFormat="false" ht="12.8" hidden="false" customHeight="false" outlineLevel="0" collapsed="false">
      <c r="B19" s="5"/>
      <c r="C19" s="5"/>
      <c r="D19" s="9"/>
      <c r="E19" s="5"/>
      <c r="G19" s="4"/>
      <c r="H19" s="4"/>
      <c r="I19" s="10"/>
      <c r="J19" s="4"/>
      <c r="K19" s="4"/>
      <c r="L19" s="4"/>
    </row>
    <row r="20" customFormat="false" ht="12.8" hidden="false" customHeight="false" outlineLevel="0" collapsed="false">
      <c r="A20" s="0" t="s">
        <v>74</v>
      </c>
      <c r="B20" s="5"/>
      <c r="C20" s="5"/>
      <c r="D20" s="9"/>
      <c r="G20" s="4"/>
      <c r="H20" s="4"/>
      <c r="I20" s="10"/>
      <c r="J20" s="4"/>
      <c r="K20" s="4"/>
      <c r="L20" s="4"/>
    </row>
    <row r="21" customFormat="false" ht="12.8" hidden="false" customHeight="false" outlineLevel="0" collapsed="false">
      <c r="B21" s="5"/>
      <c r="C21" s="5"/>
      <c r="D21" s="9"/>
      <c r="G21" s="4"/>
      <c r="H21" s="4"/>
      <c r="I21" s="10"/>
      <c r="J21" s="4"/>
      <c r="K21" s="4"/>
      <c r="L21" s="4"/>
    </row>
    <row r="22" customFormat="false" ht="12.8" hidden="false" customHeight="false" outlineLevel="0" collapsed="false">
      <c r="B22" s="5"/>
      <c r="C22" s="5"/>
      <c r="D22" s="9"/>
      <c r="G22" s="5"/>
      <c r="H22" s="4"/>
      <c r="I22" s="10"/>
      <c r="J22" s="4"/>
      <c r="K22" s="4"/>
      <c r="L22" s="4"/>
    </row>
    <row r="23" customFormat="false" ht="12.8" hidden="false" customHeight="false" outlineLevel="0" collapsed="false">
      <c r="B23" s="5"/>
      <c r="C23" s="5"/>
      <c r="D23" s="9"/>
      <c r="G23" s="5"/>
      <c r="H23" s="4"/>
      <c r="I23" s="10"/>
      <c r="J23" s="4"/>
      <c r="K23" s="4"/>
      <c r="L23" s="4"/>
    </row>
    <row r="24" customFormat="false" ht="12.8" hidden="false" customHeight="false" outlineLevel="0" collapsed="false">
      <c r="B24" s="5"/>
      <c r="C24" s="5"/>
      <c r="D24" s="9"/>
      <c r="G24" s="5"/>
      <c r="H24" s="4"/>
      <c r="I24" s="10"/>
      <c r="J24" s="4"/>
      <c r="K24" s="4"/>
      <c r="L24" s="4"/>
    </row>
    <row r="25" customFormat="false" ht="12.8" hidden="false" customHeight="false" outlineLevel="0" collapsed="false">
      <c r="B25" s="5"/>
      <c r="C25" s="5"/>
      <c r="D25" s="9"/>
      <c r="G25" s="5"/>
      <c r="H25" s="4"/>
      <c r="I25" s="10"/>
      <c r="J25" s="4"/>
      <c r="K25" s="4"/>
      <c r="L25" s="4"/>
    </row>
    <row r="26" customFormat="false" ht="12.8" hidden="false" customHeight="false" outlineLevel="0" collapsed="false">
      <c r="B26" s="5"/>
      <c r="C26" s="5"/>
      <c r="D26" s="9"/>
      <c r="G26" s="5"/>
      <c r="H26" s="4"/>
      <c r="I26" s="10"/>
      <c r="J26" s="4"/>
      <c r="K26" s="4"/>
      <c r="L26" s="4"/>
    </row>
    <row r="27" customFormat="false" ht="12.8" hidden="false" customHeight="false" outlineLevel="0" collapsed="false">
      <c r="B27" s="5"/>
      <c r="C27" s="5"/>
      <c r="D27" s="9"/>
      <c r="E27" s="5"/>
      <c r="G27" s="5"/>
      <c r="H27" s="4"/>
      <c r="I27" s="10"/>
      <c r="J27" s="4"/>
      <c r="K27" s="4"/>
      <c r="L27" s="4"/>
    </row>
    <row r="28" customFormat="false" ht="12.8" hidden="false" customHeight="false" outlineLevel="0" collapsed="false">
      <c r="B28" s="5"/>
      <c r="C28" s="5"/>
      <c r="D28" s="9"/>
      <c r="E28" s="5"/>
      <c r="G28" s="5"/>
      <c r="H28" s="4"/>
      <c r="I28" s="1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1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L14" activeCellId="0" sqref="L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2"/>
    <col collapsed="false" customWidth="true" hidden="false" outlineLevel="0" max="2" min="2" style="0" width="9.86"/>
    <col collapsed="false" customWidth="true" hidden="false" outlineLevel="0" max="5" min="3" style="0" width="7.64"/>
    <col collapsed="false" customWidth="true" hidden="false" outlineLevel="0" max="6" min="6" style="0" width="9.31"/>
    <col collapsed="false" customWidth="true" hidden="false" outlineLevel="0" max="9" min="7" style="0" width="7.64"/>
    <col collapsed="false" customWidth="true" hidden="false" outlineLevel="0" max="10" min="10" style="0" width="11.39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4" customFormat="false" ht="12.8" hidden="false" customHeight="false" outlineLevel="0" collapsed="false">
      <c r="A4" s="1" t="s">
        <v>2</v>
      </c>
      <c r="B4" s="2" t="n">
        <v>-10</v>
      </c>
    </row>
    <row r="5" customFormat="false" ht="12.8" hidden="false" customHeight="false" outlineLevel="0" collapsed="false">
      <c r="A5" s="1" t="s">
        <v>75</v>
      </c>
      <c r="B5" s="2" t="n">
        <v>20</v>
      </c>
    </row>
    <row r="7" customFormat="false" ht="12.8" hidden="false" customHeight="false" outlineLevel="0" collapsed="false">
      <c r="A7" s="3" t="s">
        <v>4</v>
      </c>
      <c r="B7" s="4" t="n">
        <f aca="false">SUM(H16:H23)</f>
        <v>5686.20697916709</v>
      </c>
    </row>
    <row r="8" customFormat="false" ht="12.8" hidden="false" customHeight="false" outlineLevel="0" collapsed="false">
      <c r="B8" s="4"/>
    </row>
    <row r="9" customFormat="false" ht="12.8" hidden="false" customHeight="false" outlineLevel="0" collapsed="false">
      <c r="A9" s="4"/>
      <c r="B9" s="1" t="s">
        <v>5</v>
      </c>
      <c r="C9" s="0" t="n">
        <v>3600</v>
      </c>
      <c r="D9" s="0" t="s">
        <v>6</v>
      </c>
    </row>
    <row r="10" customFormat="false" ht="12.8" hidden="false" customHeight="false" outlineLevel="0" collapsed="false">
      <c r="A10" s="4"/>
      <c r="B10" s="1" t="s">
        <v>7</v>
      </c>
      <c r="C10" s="5" t="n">
        <f aca="false">24*C9/C11</f>
        <v>9.85626283367557</v>
      </c>
      <c r="D10" s="0" t="s">
        <v>8</v>
      </c>
    </row>
    <row r="11" customFormat="false" ht="12.8" hidden="false" customHeight="false" outlineLevel="0" collapsed="false">
      <c r="A11" s="4"/>
      <c r="B11" s="1" t="s">
        <v>10</v>
      </c>
      <c r="C11" s="0" t="n">
        <f aca="false">24*365.25</f>
        <v>8766</v>
      </c>
      <c r="D11" s="0" t="s">
        <v>11</v>
      </c>
      <c r="L11" s="4"/>
      <c r="M11" s="4"/>
    </row>
    <row r="12" customFormat="false" ht="12.8" hidden="false" customHeight="false" outlineLevel="0" collapsed="false">
      <c r="A12" s="4"/>
      <c r="B12" s="1" t="s">
        <v>12</v>
      </c>
      <c r="C12" s="4" t="n">
        <f aca="false">SUM(I16:I23)/1000</f>
        <v>58.9545939600044</v>
      </c>
      <c r="D12" s="0" t="s">
        <v>13</v>
      </c>
      <c r="L12" s="4"/>
      <c r="M12" s="4"/>
    </row>
    <row r="13" customFormat="false" ht="12.8" hidden="false" customHeight="false" outlineLevel="0" collapsed="false">
      <c r="A13" s="4"/>
      <c r="B13" s="1"/>
      <c r="C13" s="5" t="n">
        <f aca="false">1000*C12/C9</f>
        <v>16.3762761000012</v>
      </c>
      <c r="D13" s="0" t="s">
        <v>14</v>
      </c>
      <c r="L13" s="4"/>
      <c r="M13" s="4"/>
    </row>
    <row r="14" customFormat="false" ht="12.8" hidden="false" customHeight="false" outlineLevel="0" collapsed="false">
      <c r="H14" s="4"/>
      <c r="I14" s="5"/>
      <c r="L14" s="4"/>
      <c r="M14" s="4"/>
    </row>
    <row r="15" customFormat="false" ht="46.25" hidden="false" customHeight="false" outlineLevel="0" collapsed="false">
      <c r="A15" s="6" t="s">
        <v>15</v>
      </c>
      <c r="B15" s="6" t="s">
        <v>16</v>
      </c>
      <c r="C15" s="7" t="s">
        <v>17</v>
      </c>
      <c r="D15" s="7" t="s">
        <v>18</v>
      </c>
      <c r="E15" s="7" t="s">
        <v>19</v>
      </c>
      <c r="F15" s="7" t="s">
        <v>20</v>
      </c>
      <c r="G15" s="7" t="s">
        <v>21</v>
      </c>
      <c r="H15" s="7" t="s">
        <v>22</v>
      </c>
      <c r="I15" s="7" t="s">
        <v>23</v>
      </c>
      <c r="J15" s="6" t="s">
        <v>24</v>
      </c>
      <c r="K15" s="4"/>
      <c r="L15" s="4"/>
      <c r="M15" s="4"/>
    </row>
    <row r="16" customFormat="false" ht="12.8" hidden="false" customHeight="false" outlineLevel="0" collapsed="false">
      <c r="A16" s="0" t="s">
        <v>76</v>
      </c>
      <c r="B16" s="0" t="n">
        <v>25</v>
      </c>
      <c r="C16" s="5" t="n">
        <f aca="false">1/D16</f>
        <v>0.440528634361233</v>
      </c>
      <c r="D16" s="8" t="n">
        <v>2.27</v>
      </c>
      <c r="E16" s="9" t="n">
        <v>34.65</v>
      </c>
      <c r="F16" s="5" t="n">
        <f aca="false">D16*E16</f>
        <v>78.6555</v>
      </c>
      <c r="G16" s="0" t="n">
        <f aca="false">$B$5-$B$4</f>
        <v>30</v>
      </c>
      <c r="H16" s="4" t="n">
        <f aca="false">F16*G16</f>
        <v>2359.665</v>
      </c>
      <c r="I16" s="4" t="n">
        <f aca="false">F16*$C$11*0.0036*$C$10</f>
        <v>24465.00672</v>
      </c>
      <c r="J16" s="10" t="n">
        <f aca="false">I16/($C$12*1000)</f>
        <v>0.414980497306069</v>
      </c>
      <c r="K16" s="4"/>
      <c r="L16" s="4" t="s">
        <v>77</v>
      </c>
      <c r="M16" s="4"/>
    </row>
    <row r="17" customFormat="false" ht="12.8" hidden="false" customHeight="false" outlineLevel="0" collapsed="false">
      <c r="A17" s="0" t="s">
        <v>78</v>
      </c>
      <c r="B17" s="0" t="n">
        <v>1</v>
      </c>
      <c r="C17" s="8" t="n">
        <v>3.87</v>
      </c>
      <c r="D17" s="5" t="n">
        <f aca="false">1/C17</f>
        <v>0.258397932816537</v>
      </c>
      <c r="E17" s="9" t="n">
        <v>119.9</v>
      </c>
      <c r="F17" s="5" t="n">
        <f aca="false">D17*E17</f>
        <v>30.9819121447028</v>
      </c>
      <c r="G17" s="0" t="n">
        <f aca="false">$B$5-$B$4</f>
        <v>30</v>
      </c>
      <c r="H17" s="4" t="n">
        <f aca="false">F17*G17</f>
        <v>929.457364341085</v>
      </c>
      <c r="I17" s="4" t="n">
        <f aca="false">F17*$C$11*0.0036*$C$10</f>
        <v>9636.61395348837</v>
      </c>
      <c r="J17" s="10" t="n">
        <f aca="false">I17/($C$12*1000)</f>
        <v>0.163458236350945</v>
      </c>
      <c r="K17" s="4"/>
      <c r="L17" s="16" t="n">
        <f aca="false">(3+2*2.7+2*2.6+3*2.6+2.4+2.2+2.1*8+2*2+4*2+2)/25</f>
        <v>2.272</v>
      </c>
      <c r="M17" s="4"/>
    </row>
    <row r="18" customFormat="false" ht="12.8" hidden="false" customHeight="false" outlineLevel="0" collapsed="false">
      <c r="A18" s="0" t="s">
        <v>79</v>
      </c>
      <c r="B18" s="0" t="n">
        <v>1</v>
      </c>
      <c r="C18" s="8" t="n">
        <v>3.87</v>
      </c>
      <c r="D18" s="5" t="n">
        <f aca="false">1/C18</f>
        <v>0.258397932816537</v>
      </c>
      <c r="E18" s="9" t="n">
        <v>107.8</v>
      </c>
      <c r="F18" s="5" t="n">
        <f aca="false">D18*E18</f>
        <v>27.8552971576227</v>
      </c>
      <c r="G18" s="0" t="n">
        <f aca="false">$B$5-$B$4</f>
        <v>30</v>
      </c>
      <c r="H18" s="4" t="n">
        <f aca="false">F18*G18</f>
        <v>835.658914728682</v>
      </c>
      <c r="I18" s="4" t="n">
        <f aca="false">F18*$C$11*0.0036*$C$10</f>
        <v>8664.11162790698</v>
      </c>
      <c r="J18" s="10" t="n">
        <f aca="false">I18/($C$12*1000)</f>
        <v>0.146962451031124</v>
      </c>
      <c r="K18" s="4"/>
      <c r="L18" s="16"/>
      <c r="M18" s="4"/>
    </row>
    <row r="19" customFormat="false" ht="12.8" hidden="false" customHeight="false" outlineLevel="0" collapsed="false">
      <c r="A19" s="0" t="s">
        <v>30</v>
      </c>
      <c r="B19" s="0" t="n">
        <v>1</v>
      </c>
      <c r="C19" s="8" t="n">
        <v>4.41</v>
      </c>
      <c r="D19" s="5" t="n">
        <f aca="false">1/C19</f>
        <v>0.226757369614512</v>
      </c>
      <c r="E19" s="9" t="n">
        <v>92.2</v>
      </c>
      <c r="F19" s="5" t="n">
        <f aca="false">D19*E19</f>
        <v>20.907029478458</v>
      </c>
      <c r="G19" s="0" t="n">
        <f aca="false">$B$5-$B$4</f>
        <v>30</v>
      </c>
      <c r="H19" s="4" t="n">
        <f aca="false">F19*G19</f>
        <v>627.210884353741</v>
      </c>
      <c r="I19" s="4" t="n">
        <f aca="false">F19*$C$11*0.0036*$C$10</f>
        <v>6502.92244897959</v>
      </c>
      <c r="J19" s="10" t="n">
        <f aca="false">I19/($C$12*1000)</f>
        <v>0.110303913777971</v>
      </c>
      <c r="K19" s="4"/>
      <c r="L19" s="4"/>
      <c r="M19" s="4"/>
    </row>
    <row r="20" customFormat="false" ht="12.8" hidden="false" customHeight="false" outlineLevel="0" collapsed="false">
      <c r="A20" s="0" t="s">
        <v>29</v>
      </c>
      <c r="B20" s="0" t="n">
        <v>1</v>
      </c>
      <c r="C20" s="8" t="n">
        <v>6.85</v>
      </c>
      <c r="D20" s="5" t="n">
        <f aca="false">1/C20</f>
        <v>0.145985401459854</v>
      </c>
      <c r="E20" s="9" t="n">
        <v>96.9</v>
      </c>
      <c r="F20" s="5" t="n">
        <f aca="false">D20*E20</f>
        <v>14.1459854014599</v>
      </c>
      <c r="G20" s="0" t="n">
        <f aca="false">$B$5-$B$4</f>
        <v>30</v>
      </c>
      <c r="H20" s="4" t="n">
        <f aca="false">F20*G20</f>
        <v>424.379562043796</v>
      </c>
      <c r="I20" s="4" t="n">
        <f aca="false">F20*$C$11*0.0036*$C$10</f>
        <v>4399.96729927007</v>
      </c>
      <c r="J20" s="10" t="n">
        <f aca="false">I20/($C$12*1000)</f>
        <v>0.0746331541568257</v>
      </c>
      <c r="K20" s="4"/>
      <c r="L20" s="4"/>
      <c r="M20" s="4"/>
    </row>
    <row r="21" customFormat="false" ht="12.8" hidden="false" customHeight="false" outlineLevel="0" collapsed="false">
      <c r="A21" s="0" t="s">
        <v>28</v>
      </c>
      <c r="B21" s="0" t="n">
        <v>4</v>
      </c>
      <c r="C21" s="5" t="n">
        <f aca="false">1/D21</f>
        <v>1</v>
      </c>
      <c r="D21" s="8" t="n">
        <v>1</v>
      </c>
      <c r="E21" s="9" t="n">
        <v>8.08</v>
      </c>
      <c r="F21" s="5" t="n">
        <f aca="false">D21*E21</f>
        <v>8.08</v>
      </c>
      <c r="G21" s="0" t="n">
        <f aca="false">$B$5-$B$4</f>
        <v>30</v>
      </c>
      <c r="H21" s="4" t="n">
        <f aca="false">F21*G21</f>
        <v>242.4</v>
      </c>
      <c r="I21" s="4" t="n">
        <f aca="false">F21*$C$11*0.0036*$C$10</f>
        <v>2513.2032</v>
      </c>
      <c r="J21" s="10" t="n">
        <f aca="false">I21/($C$12*1000)</f>
        <v>0.0426294717881526</v>
      </c>
      <c r="K21" s="4"/>
      <c r="L21" s="4"/>
      <c r="M21" s="4"/>
    </row>
    <row r="22" customFormat="false" ht="12.8" hidden="false" customHeight="false" outlineLevel="0" collapsed="false">
      <c r="A22" s="0" t="s">
        <v>80</v>
      </c>
      <c r="B22" s="0" t="n">
        <v>1</v>
      </c>
      <c r="C22" s="8" t="n">
        <v>3.52</v>
      </c>
      <c r="D22" s="5" t="n">
        <f aca="false">1/C22</f>
        <v>0.284090909090909</v>
      </c>
      <c r="E22" s="9" t="n">
        <v>19.1</v>
      </c>
      <c r="F22" s="5" t="n">
        <f aca="false">D22*E22</f>
        <v>5.42613636363636</v>
      </c>
      <c r="G22" s="0" t="n">
        <f aca="false">$B$5-$B$4</f>
        <v>30</v>
      </c>
      <c r="H22" s="4" t="n">
        <f aca="false">F22*G22</f>
        <v>162.784090909091</v>
      </c>
      <c r="I22" s="4" t="n">
        <f aca="false">F22*$C$11*0.0036*$C$10</f>
        <v>1687.74545454545</v>
      </c>
      <c r="J22" s="10" t="n">
        <f aca="false">I22/($C$12*1000)</f>
        <v>0.0286278870089487</v>
      </c>
      <c r="K22" s="4"/>
      <c r="L22" s="4"/>
      <c r="M22" s="4"/>
    </row>
    <row r="23" customFormat="false" ht="12.8" hidden="false" customHeight="false" outlineLevel="0" collapsed="false">
      <c r="A23" s="0" t="s">
        <v>81</v>
      </c>
      <c r="B23" s="0" t="n">
        <v>1</v>
      </c>
      <c r="C23" s="8" t="n">
        <v>3.87</v>
      </c>
      <c r="D23" s="5" t="n">
        <f aca="false">1/C23</f>
        <v>0.258397932816537</v>
      </c>
      <c r="E23" s="9" t="n">
        <v>13.5</v>
      </c>
      <c r="F23" s="5" t="n">
        <f aca="false">D23*E23</f>
        <v>3.48837209302326</v>
      </c>
      <c r="G23" s="0" t="n">
        <f aca="false">$B$5-$B$4</f>
        <v>30</v>
      </c>
      <c r="H23" s="4" t="n">
        <f aca="false">F23*G23</f>
        <v>104.651162790698</v>
      </c>
      <c r="I23" s="4" t="n">
        <f aca="false">F23*$C$11*0.0036*$C$10</f>
        <v>1085.02325581395</v>
      </c>
      <c r="J23" s="10" t="n">
        <f aca="false">I23/($C$12*1000)</f>
        <v>0.0184043885799646</v>
      </c>
      <c r="K23" s="4"/>
      <c r="L23" s="4"/>
      <c r="M23" s="4"/>
    </row>
    <row r="25" customFormat="false" ht="12.8" hidden="false" customHeight="false" outlineLevel="0" collapsed="false">
      <c r="A25" s="6" t="s">
        <v>40</v>
      </c>
    </row>
    <row r="26" customFormat="false" ht="12.8" hidden="false" customHeight="false" outlineLevel="0" collapsed="false">
      <c r="A26" s="0" t="s">
        <v>82</v>
      </c>
      <c r="B26" s="4" t="n">
        <f aca="false">B29*60/B27*(0.3048^3)</f>
        <v>745.358919344262</v>
      </c>
      <c r="C26" s="0" t="s">
        <v>83</v>
      </c>
    </row>
    <row r="27" customFormat="false" ht="12.8" hidden="false" customHeight="false" outlineLevel="0" collapsed="false">
      <c r="A27" s="0" t="s">
        <v>45</v>
      </c>
      <c r="B27" s="0" t="n">
        <v>1.22</v>
      </c>
      <c r="C27" s="0" t="s">
        <v>46</v>
      </c>
    </row>
    <row r="28" customFormat="false" ht="12.8" hidden="false" customHeight="false" outlineLevel="0" collapsed="false">
      <c r="A28" s="0" t="s">
        <v>49</v>
      </c>
      <c r="B28" s="0" t="n">
        <v>345.3</v>
      </c>
      <c r="C28" s="0" t="s">
        <v>50</v>
      </c>
    </row>
    <row r="29" customFormat="false" ht="12.8" hidden="false" customHeight="false" outlineLevel="0" collapsed="false">
      <c r="A29" s="0" t="s">
        <v>53</v>
      </c>
      <c r="B29" s="9" t="n">
        <f aca="false">B28*10/(2.54^2)</f>
        <v>535.216070432141</v>
      </c>
      <c r="C29" s="0" t="s">
        <v>54</v>
      </c>
    </row>
    <row r="30" customFormat="false" ht="12.8" hidden="false" customHeight="false" outlineLevel="0" collapsed="false">
      <c r="A30" s="0" t="s">
        <v>56</v>
      </c>
      <c r="B30" s="0" t="n">
        <f aca="false">B5-B4</f>
        <v>30</v>
      </c>
    </row>
    <row r="31" customFormat="false" ht="12.8" hidden="false" customHeight="false" outlineLevel="0" collapsed="false">
      <c r="A31" s="11" t="s">
        <v>57</v>
      </c>
      <c r="B31" s="4" t="n">
        <f aca="false">house!H34*house!H35*B26*B27*B30*house!H36</f>
        <v>6.93384987238732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1984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2023-11-16T20:46:25Z</dcterms:created>
  <dc:creator/>
  <dc:description/>
  <dc:language>en-CA</dc:language>
  <cp:lastModifiedBy/>
  <dcterms:modified xsi:type="dcterms:W3CDTF">2023-11-22T09:48:07Z</dcterms:modified>
  <cp:revision>29</cp:revision>
  <dc:subject/>
  <dc:title/>
</cp:coreProperties>
</file>