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" sheetId="1" state="visible" r:id="rId2"/>
    <sheet name="garage" sheetId="2" state="visible" r:id="rId3"/>
  </sheets>
  <definedNames>
    <definedName function="false" hidden="false" name="BTU_per_wh" vbProcedure="false">garage!$N$5</definedName>
    <definedName function="false" hidden="false" name="M2_per_sqft" vbProcedure="false">garage!$N$2</definedName>
    <definedName function="false" hidden="false" name="RSI_per_R" vbProcedure="false">garage!$N$3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<sst xmlns="http://schemas.openxmlformats.org/spreadsheetml/2006/main" count="89" uniqueCount="68">
  <si>
    <t xml:space="preserve">https://www.engineeringtoolbox.com/heat-loss-transmission-d_748.html</t>
  </si>
  <si>
    <t xml:space="preserve">https://www.heatgeek.com/heat-losses/</t>
  </si>
  <si>
    <t xml:space="preserve">outside temperature C</t>
  </si>
  <si>
    <t xml:space="preserve">desired inside temperature C</t>
  </si>
  <si>
    <t xml:space="preserve">heating power (W)</t>
  </si>
  <si>
    <t xml:space="preserve">HDD in year</t>
  </si>
  <si>
    <t xml:space="preserve">C-days</t>
  </si>
  <si>
    <t xml:space="preserve">average delta T</t>
  </si>
  <si>
    <t xml:space="preserve">C</t>
  </si>
  <si>
    <t xml:space="preserve">1 year</t>
  </si>
  <si>
    <t xml:space="preserve">hours</t>
  </si>
  <si>
    <t xml:space="preserve">energy in year</t>
  </si>
  <si>
    <t xml:space="preserve">GJ</t>
  </si>
  <si>
    <t xml:space="preserve">MJ/HDD</t>
  </si>
  <si>
    <t xml:space="preserve">location</t>
  </si>
  <si>
    <t xml:space="preserve">qty</t>
  </si>
  <si>
    <t xml:space="preserve">RSI
m2·K/W</t>
  </si>
  <si>
    <t xml:space="preserve">U
W/m2·K</t>
  </si>
  <si>
    <t xml:space="preserve">Area
m2</t>
  </si>
  <si>
    <t xml:space="preserve">Heat 
transfer
W/K</t>
  </si>
  <si>
    <t xml:space="preserve">Design
ΔT
K</t>
  </si>
  <si>
    <t xml:space="preserve">Heating
power
W</t>
  </si>
  <si>
    <t xml:space="preserve">yearly 
Energy
transfer
MJ</t>
  </si>
  <si>
    <t xml:space="preserve">%</t>
  </si>
  <si>
    <t xml:space="preserve">Windows </t>
  </si>
  <si>
    <t xml:space="preserve">Main floor brick</t>
  </si>
  <si>
    <t xml:space="preserve">Main floor walls</t>
  </si>
  <si>
    <t xml:space="preserve">doors</t>
  </si>
  <si>
    <t xml:space="preserve">Attic</t>
  </si>
  <si>
    <t xml:space="preserve">Foundation interior</t>
  </si>
  <si>
    <t xml:space="preserve">Main floor walls buffered</t>
  </si>
  <si>
    <t xml:space="preserve">Foundation crawlspace</t>
  </si>
  <si>
    <t xml:space="preserve">foundation slab</t>
  </si>
  <si>
    <t xml:space="preserve">crawlspace slab</t>
  </si>
  <si>
    <t xml:space="preserve">Floor over garage</t>
  </si>
  <si>
    <t xml:space="preserve">foundation pony wall</t>
  </si>
  <si>
    <t xml:space="preserve">foundation header</t>
  </si>
  <si>
    <t xml:space="preserve">Floor back cantilever</t>
  </si>
  <si>
    <t xml:space="preserve">leaks</t>
  </si>
  <si>
    <t xml:space="preserve">volume </t>
  </si>
  <si>
    <t xml:space="preserve">cubic meters</t>
  </si>
  <si>
    <t xml:space="preserve">air changes per hour</t>
  </si>
  <si>
    <t xml:space="preserve">measured 1.75 at 50 Pa</t>
  </si>
  <si>
    <t xml:space="preserve">infiltration loss is in Imperial, convert to metric for MJ output</t>
  </si>
  <si>
    <t xml:space="preserve">equivalent leak area (EqLA)</t>
  </si>
  <si>
    <t xml:space="preserve">cm^2</t>
  </si>
  <si>
    <t xml:space="preserve">0.018*BTU/h_to_W*C_to_degreeF*m3toCF</t>
  </si>
  <si>
    <t xml:space="preserve">cfm50</t>
  </si>
  <si>
    <t xml:space="preserve">cubic feet per minute</t>
  </si>
  <si>
    <t xml:space="preserve">∆T</t>
  </si>
  <si>
    <t xml:space="preserve">rate of heat loss (W)</t>
  </si>
  <si>
    <t xml:space="preserve">desired temperature</t>
  </si>
  <si>
    <t xml:space="preserve"> °F</t>
  </si>
  <si>
    <t xml:space="preserve">m2_per_sqft</t>
  </si>
  <si>
    <t xml:space="preserve">design outside temperature</t>
  </si>
  <si>
    <t xml:space="preserve">RSI per R-value</t>
  </si>
  <si>
    <t xml:space="preserve">BTU per watt-hour</t>
  </si>
  <si>
    <t xml:space="preserve">energy in one hour</t>
  </si>
  <si>
    <t xml:space="preserve">BTU/hr</t>
  </si>
  <si>
    <t xml:space="preserve">total</t>
  </si>
  <si>
    <t xml:space="preserve">R-value</t>
  </si>
  <si>
    <r>
      <rPr>
        <b val="true"/>
        <sz val="10"/>
        <rFont val="Arial"/>
        <family val="2"/>
      </rPr>
      <t xml:space="preserve">Design
ΔT
</t>
    </r>
    <r>
      <rPr>
        <b val="true"/>
        <sz val="10"/>
        <rFont val="Arial"/>
        <family val="2"/>
        <charset val="1"/>
      </rPr>
      <t xml:space="preserve">°C or K</t>
    </r>
  </si>
  <si>
    <t xml:space="preserve">Energy
transfer
MJ</t>
  </si>
  <si>
    <t xml:space="preserve">R13 walls</t>
  </si>
  <si>
    <t xml:space="preserve">ceiling</t>
  </si>
  <si>
    <t xml:space="preserve">R7.5 wall</t>
  </si>
  <si>
    <t xml:space="preserve">window</t>
  </si>
  <si>
    <t xml:space="preserve">assuming 26’x20’ footprint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</si>
</sst>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Times New Roman"/>
      <family val="1"/>
    </font>
    <font>
      <sz val="12"/>
      <color rgb="FF0000FF"/>
      <name val="Times New Roman"/>
      <family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Thermal_transmittance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Thermal_transmittance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508320</xdr:colOff>
      <xdr:row>0</xdr:row>
      <xdr:rowOff>96480</xdr:rowOff>
    </xdr:from>
    <xdr:to>
      <xdr:col>11</xdr:col>
      <xdr:colOff>126360</xdr:colOff>
      <xdr:row>8</xdr:row>
      <xdr:rowOff>144360</xdr:rowOff>
    </xdr:to>
    <xdr:sp>
      <xdr:nvSpPr>
        <xdr:cNvPr id="0" name="TextShape 1"/>
        <xdr:cNvSpPr txBox="1"/>
      </xdr:nvSpPr>
      <xdr:spPr>
        <a:xfrm>
          <a:off x="4262400" y="96480"/>
          <a:ext cx="3508560" cy="1348200"/>
        </a:xfrm>
        <a:prstGeom prst="rect">
          <a:avLst/>
        </a:prstGeom>
        <a:solidFill>
          <a:srgbClr val="ffffff"/>
        </a:solidFill>
        <a:ln w="0">
          <a:noFill/>
        </a:ln>
      </xdr:spPr>
      <xdr:txBody>
        <a:bodyPr lIns="0" rIns="0" tIns="0" bIns="0">
          <a:noAutofit/>
        </a:bodyPr>
        <a:p>
          <a:r>
            <a:rPr b="0" lang="en-CA" sz="1200" spc="-1" strike="noStrike">
              <a:latin typeface="Times New Roman"/>
            </a:rPr>
            <a:t>Φ = A × U × ΔT</a:t>
          </a:r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where Φ is the heat transfer in watts, </a:t>
          </a:r>
          <a:br/>
          <a:r>
            <a:rPr b="0" lang="en-CA" sz="1200" spc="-1" strike="noStrike">
              <a:latin typeface="Times New Roman"/>
            </a:rPr>
            <a:t>U is the thermal transmittance, </a:t>
          </a:r>
          <a:br/>
          <a:r>
            <a:rPr b="0" lang="en-CA" sz="1200" spc="-1" strike="noStrike">
              <a:latin typeface="Times New Roman"/>
            </a:rPr>
            <a:t>ΔT is the temperature differential across the structure, </a:t>
          </a:r>
          <a:br/>
          <a:r>
            <a:rPr b="0" lang="en-CA" sz="1200" spc="-1" strike="noStrike">
              <a:latin typeface="Times New Roman"/>
            </a:rPr>
            <a:t>A is the area in square metres.</a:t>
          </a:r>
          <a:br/>
          <a:br/>
          <a:r>
            <a:rPr b="0" lang="en-CA" sz="1200" spc="-1" strike="noStrike">
              <a:latin typeface="Times New Roman"/>
              <a:hlinkClick r:id="rId1"/>
            </a:rPr>
            <a:t>https://en.wikipedia.org/wiki/Thermal_transmittance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190800</xdr:colOff>
      <xdr:row>0</xdr:row>
      <xdr:rowOff>114840</xdr:rowOff>
    </xdr:from>
    <xdr:to>
      <xdr:col>15</xdr:col>
      <xdr:colOff>81720</xdr:colOff>
      <xdr:row>14</xdr:row>
      <xdr:rowOff>358200</xdr:rowOff>
    </xdr:to>
    <xdr:sp>
      <xdr:nvSpPr>
        <xdr:cNvPr id="1" name="TextShape 1"/>
        <xdr:cNvSpPr txBox="1"/>
      </xdr:nvSpPr>
      <xdr:spPr>
        <a:xfrm>
          <a:off x="7835400" y="114840"/>
          <a:ext cx="3142080" cy="2518920"/>
        </a:xfrm>
        <a:prstGeom prst="rect">
          <a:avLst/>
        </a:prstGeom>
        <a:solidFill>
          <a:srgbClr val="ffffff"/>
        </a:solidFill>
        <a:ln w="0">
          <a:noFill/>
        </a:ln>
      </xdr:spPr>
      <xdr:txBody>
        <a:bodyPr lIns="0" rIns="0" tIns="0" bIns="0">
          <a:noAutofit/>
        </a:bodyPr>
        <a:p>
          <a:r>
            <a:rPr b="0" lang="en-CA" sz="1200" spc="-1" strike="noStrike">
              <a:latin typeface="Times New Roman"/>
            </a:rPr>
            <a:t>Rate of heat loss (W/K) = V x ACH x ∆T x 0.33 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ACH – air changes per hour 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Rate of heat loss per ˚C difference between inside and outside = V x ACH x 0.33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0.33 product of specific heat capacity and density of air 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V is the volume of the room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∆</a:t>
          </a:r>
          <a:r>
            <a:rPr b="0" lang="en-CA" sz="1200" spc="-1" strike="noStrike">
              <a:latin typeface="Times New Roman"/>
            </a:rPr>
            <a:t>T is the temperature difference</a:t>
          </a:r>
          <a:endParaRPr b="0" lang="en-CA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137880</xdr:colOff>
      <xdr:row>1</xdr:row>
      <xdr:rowOff>77400</xdr:rowOff>
    </xdr:from>
    <xdr:to>
      <xdr:col>11</xdr:col>
      <xdr:colOff>194040</xdr:colOff>
      <xdr:row>9</xdr:row>
      <xdr:rowOff>124920</xdr:rowOff>
    </xdr:to>
    <xdr:sp>
      <xdr:nvSpPr>
        <xdr:cNvPr id="2" name="TextShape 1"/>
        <xdr:cNvSpPr txBox="1"/>
      </xdr:nvSpPr>
      <xdr:spPr>
        <a:xfrm>
          <a:off x="3982680" y="239760"/>
          <a:ext cx="3508560" cy="1348200"/>
        </a:xfrm>
        <a:prstGeom prst="rect">
          <a:avLst/>
        </a:prstGeom>
        <a:solidFill>
          <a:srgbClr val="ffffff"/>
        </a:solidFill>
        <a:ln w="0">
          <a:noFill/>
        </a:ln>
      </xdr:spPr>
      <xdr:txBody>
        <a:bodyPr lIns="0" rIns="0" tIns="0" bIns="0">
          <a:noAutofit/>
        </a:bodyPr>
        <a:p>
          <a:r>
            <a:rPr b="0" lang="en-CA" sz="1200" spc="-1" strike="noStrike">
              <a:latin typeface="Times New Roman"/>
            </a:rPr>
            <a:t>Φ = A × U × ΔT</a:t>
          </a:r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where Φ is the heat transfer in watts, </a:t>
          </a:r>
          <a:br/>
          <a:r>
            <a:rPr b="0" lang="en-CA" sz="1200" spc="-1" strike="noStrike">
              <a:latin typeface="Times New Roman"/>
            </a:rPr>
            <a:t>U is the thermal transmittance, </a:t>
          </a:r>
          <a:br/>
          <a:r>
            <a:rPr b="0" lang="en-CA" sz="1200" spc="-1" strike="noStrike">
              <a:latin typeface="Times New Roman"/>
            </a:rPr>
            <a:t>ΔT is the temperature differential across the structure, </a:t>
          </a:r>
          <a:br/>
          <a:r>
            <a:rPr b="0" lang="en-CA" sz="1200" spc="-1" strike="noStrike">
              <a:latin typeface="Times New Roman"/>
            </a:rPr>
            <a:t>A is the area in square metres.</a:t>
          </a:r>
          <a:br/>
          <a:br/>
          <a:r>
            <a:rPr b="0" lang="en-CA" sz="1200" spc="-1" strike="noStrike">
              <a:latin typeface="Times New Roman"/>
              <a:hlinkClick r:id="rId1"/>
            </a:rPr>
            <a:t>https://en.wikipedia.org/wiki/Thermal_transmittance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7.08"/>
    <col collapsed="false" customWidth="true" hidden="false" outlineLevel="0" max="5" min="3" style="0" width="7.64"/>
    <col collapsed="false" customWidth="true" hidden="false" outlineLevel="0" max="6" min="6" style="0" width="9.31"/>
    <col collapsed="false" customWidth="true" hidden="false" outlineLevel="0" max="9" min="7" style="0" width="7.64"/>
    <col collapsed="false" customWidth="true" hidden="false" outlineLevel="0" max="10" min="10" style="0" width="11.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1" t="s">
        <v>2</v>
      </c>
      <c r="B4" s="0" t="n">
        <v>-10</v>
      </c>
    </row>
    <row r="5" customFormat="false" ht="12.8" hidden="false" customHeight="false" outlineLevel="0" collapsed="false">
      <c r="A5" s="1" t="s">
        <v>3</v>
      </c>
      <c r="B5" s="0" t="n">
        <v>20</v>
      </c>
    </row>
    <row r="7" customFormat="false" ht="12.8" hidden="false" customHeight="false" outlineLevel="0" collapsed="false">
      <c r="A7" s="2" t="s">
        <v>4</v>
      </c>
      <c r="B7" s="3" t="n">
        <f aca="false">SUM(H16:H29)</f>
        <v>7819.93536574475</v>
      </c>
    </row>
    <row r="8" customFormat="false" ht="12.8" hidden="false" customHeight="false" outlineLevel="0" collapsed="false">
      <c r="B8" s="3"/>
    </row>
    <row r="9" customFormat="false" ht="12.8" hidden="false" customHeight="false" outlineLevel="0" collapsed="false">
      <c r="A9" s="3"/>
      <c r="B9" s="1" t="s">
        <v>5</v>
      </c>
      <c r="C9" s="0" t="n">
        <v>3600</v>
      </c>
      <c r="D9" s="0" t="s">
        <v>6</v>
      </c>
    </row>
    <row r="10" customFormat="false" ht="12.8" hidden="false" customHeight="false" outlineLevel="0" collapsed="false">
      <c r="A10" s="3"/>
      <c r="B10" s="1" t="s">
        <v>7</v>
      </c>
      <c r="C10" s="4" t="n">
        <f aca="false">24*C9/C11</f>
        <v>9.85626283367557</v>
      </c>
      <c r="D10" s="0" t="s">
        <v>8</v>
      </c>
    </row>
    <row r="11" customFormat="false" ht="12.8" hidden="false" customHeight="false" outlineLevel="0" collapsed="false">
      <c r="A11" s="3"/>
      <c r="B11" s="1" t="s">
        <v>9</v>
      </c>
      <c r="C11" s="0" t="n">
        <f aca="false">24*365.25</f>
        <v>8766</v>
      </c>
      <c r="D11" s="0" t="s">
        <v>10</v>
      </c>
      <c r="L11" s="3"/>
      <c r="M11" s="3"/>
    </row>
    <row r="12" customFormat="false" ht="12.8" hidden="false" customHeight="false" outlineLevel="0" collapsed="false">
      <c r="A12" s="3"/>
      <c r="B12" s="1" t="s">
        <v>11</v>
      </c>
      <c r="C12" s="3" t="n">
        <f aca="false">SUM(I16:I29)/1000</f>
        <v>81.0770898720416</v>
      </c>
      <c r="D12" s="0" t="s">
        <v>12</v>
      </c>
      <c r="L12" s="3"/>
      <c r="M12" s="3"/>
      <c r="O12" s="0" t="n">
        <f aca="false">2*1.2+0.5*PI()*1.2</f>
        <v>4.28495559215388</v>
      </c>
    </row>
    <row r="13" customFormat="false" ht="12.8" hidden="false" customHeight="false" outlineLevel="0" collapsed="false">
      <c r="A13" s="3"/>
      <c r="B13" s="1"/>
      <c r="C13" s="4" t="n">
        <f aca="false">1000*C12/C9</f>
        <v>22.5214138533449</v>
      </c>
      <c r="D13" s="0" t="s">
        <v>13</v>
      </c>
      <c r="L13" s="3"/>
      <c r="M13" s="3"/>
    </row>
    <row r="14" customFormat="false" ht="12.8" hidden="false" customHeight="false" outlineLevel="0" collapsed="false">
      <c r="H14" s="3"/>
      <c r="I14" s="4"/>
      <c r="L14" s="3"/>
      <c r="M14" s="3"/>
    </row>
    <row r="15" customFormat="false" ht="46.25" hidden="false" customHeight="false" outlineLevel="0" collapsed="false">
      <c r="A15" s="5" t="s">
        <v>14</v>
      </c>
      <c r="B15" s="5" t="s">
        <v>15</v>
      </c>
      <c r="C15" s="6" t="s">
        <v>16</v>
      </c>
      <c r="D15" s="6" t="s">
        <v>17</v>
      </c>
      <c r="E15" s="6" t="s">
        <v>18</v>
      </c>
      <c r="F15" s="6" t="s">
        <v>19</v>
      </c>
      <c r="G15" s="6" t="s">
        <v>20</v>
      </c>
      <c r="H15" s="6" t="s">
        <v>21</v>
      </c>
      <c r="I15" s="6" t="s">
        <v>22</v>
      </c>
      <c r="J15" s="5" t="s">
        <v>23</v>
      </c>
      <c r="K15" s="3"/>
      <c r="L15" s="3"/>
      <c r="M15" s="3"/>
    </row>
    <row r="16" customFormat="false" ht="12.8" hidden="false" customHeight="false" outlineLevel="0" collapsed="false">
      <c r="A16" s="0" t="s">
        <v>24</v>
      </c>
      <c r="B16" s="0" t="n">
        <v>17</v>
      </c>
      <c r="C16" s="4" t="n">
        <f aca="false">1/D16</f>
        <v>0.357142857142857</v>
      </c>
      <c r="D16" s="7" t="n">
        <v>2.8</v>
      </c>
      <c r="E16" s="8" t="n">
        <v>25.45</v>
      </c>
      <c r="F16" s="4" t="n">
        <f aca="false">D16*E16</f>
        <v>71.26</v>
      </c>
      <c r="G16" s="0" t="n">
        <f aca="false">$B$5-$B$4</f>
        <v>30</v>
      </c>
      <c r="H16" s="3" t="n">
        <f aca="false">F16*G16</f>
        <v>2137.8</v>
      </c>
      <c r="I16" s="3" t="n">
        <f aca="false">F16*$C$11*0.0036*$C$10</f>
        <v>22164.7104</v>
      </c>
      <c r="J16" s="9" t="n">
        <f aca="false">I16/($C$12*1000)</f>
        <v>0.273378218618614</v>
      </c>
      <c r="K16" s="3"/>
      <c r="L16" s="3"/>
      <c r="M16" s="3"/>
    </row>
    <row r="17" customFormat="false" ht="12.8" hidden="false" customHeight="false" outlineLevel="0" collapsed="false">
      <c r="A17" s="0" t="s">
        <v>25</v>
      </c>
      <c r="B17" s="0" t="n">
        <v>1</v>
      </c>
      <c r="C17" s="7" t="n">
        <v>2.39</v>
      </c>
      <c r="D17" s="4" t="n">
        <f aca="false">1/C17</f>
        <v>0.418410041841004</v>
      </c>
      <c r="E17" s="8" t="n">
        <v>122</v>
      </c>
      <c r="F17" s="4" t="n">
        <f aca="false">D17*E17</f>
        <v>51.0460251046025</v>
      </c>
      <c r="G17" s="0" t="n">
        <f aca="false">$B$5-$B$4</f>
        <v>30</v>
      </c>
      <c r="H17" s="3" t="n">
        <f aca="false">F17*G17</f>
        <v>1531.38075313808</v>
      </c>
      <c r="I17" s="3" t="n">
        <f aca="false">F17*$C$11*0.0036*$C$10</f>
        <v>15877.3556485356</v>
      </c>
      <c r="J17" s="9" t="n">
        <f aca="false">I17/($C$12*1000)</f>
        <v>0.19583035939738</v>
      </c>
      <c r="K17" s="3"/>
      <c r="L17" s="3"/>
      <c r="M17" s="3"/>
    </row>
    <row r="18" customFormat="false" ht="12.8" hidden="false" customHeight="false" outlineLevel="0" collapsed="false">
      <c r="A18" s="0" t="s">
        <v>26</v>
      </c>
      <c r="B18" s="0" t="n">
        <v>1</v>
      </c>
      <c r="C18" s="7" t="n">
        <v>3.56</v>
      </c>
      <c r="D18" s="4" t="n">
        <f aca="false">1/C18</f>
        <v>0.280898876404494</v>
      </c>
      <c r="E18" s="8" t="n">
        <v>102.9</v>
      </c>
      <c r="F18" s="4" t="n">
        <f aca="false">D18*E18</f>
        <v>28.9044943820225</v>
      </c>
      <c r="G18" s="0" t="n">
        <f aca="false">$B$5-$B$4</f>
        <v>30</v>
      </c>
      <c r="H18" s="3" t="n">
        <f aca="false">F18*G18</f>
        <v>867.134831460674</v>
      </c>
      <c r="I18" s="3" t="n">
        <f aca="false">F18*$C$11*0.0036*$C$10</f>
        <v>8990.45393258427</v>
      </c>
      <c r="J18" s="9" t="n">
        <f aca="false">I18/($C$12*1000)</f>
        <v>0.110887723606919</v>
      </c>
      <c r="K18" s="3"/>
      <c r="L18" s="3"/>
      <c r="M18" s="3"/>
    </row>
    <row r="19" customFormat="false" ht="12.8" hidden="false" customHeight="false" outlineLevel="0" collapsed="false">
      <c r="A19" s="0" t="s">
        <v>27</v>
      </c>
      <c r="B19" s="0" t="n">
        <v>4</v>
      </c>
      <c r="C19" s="4" t="n">
        <f aca="false">1/D19</f>
        <v>0.384615384615385</v>
      </c>
      <c r="D19" s="7" t="n">
        <v>2.6</v>
      </c>
      <c r="E19" s="8" t="n">
        <v>9.86</v>
      </c>
      <c r="F19" s="4" t="n">
        <f aca="false">D19*E19</f>
        <v>25.636</v>
      </c>
      <c r="G19" s="0" t="n">
        <f aca="false">$B$5-$B$4</f>
        <v>30</v>
      </c>
      <c r="H19" s="3" t="n">
        <f aca="false">F19*G19</f>
        <v>769.08</v>
      </c>
      <c r="I19" s="3" t="n">
        <f aca="false">F19*$C$11*0.0036*$C$10</f>
        <v>7973.82144</v>
      </c>
      <c r="J19" s="9" t="n">
        <f aca="false">I19/($C$12*1000)</f>
        <v>0.0983486389630478</v>
      </c>
      <c r="K19" s="3"/>
      <c r="L19" s="3"/>
      <c r="M19" s="3"/>
    </row>
    <row r="20" customFormat="false" ht="12.8" hidden="false" customHeight="false" outlineLevel="0" collapsed="false">
      <c r="A20" s="0" t="s">
        <v>28</v>
      </c>
      <c r="B20" s="0" t="n">
        <v>1</v>
      </c>
      <c r="C20" s="7" t="n">
        <v>8.54</v>
      </c>
      <c r="D20" s="4" t="n">
        <f aca="false">1/C20</f>
        <v>0.117096018735363</v>
      </c>
      <c r="E20" s="8" t="n">
        <v>160.3</v>
      </c>
      <c r="F20" s="4" t="n">
        <f aca="false">D20*E20</f>
        <v>18.7704918032787</v>
      </c>
      <c r="G20" s="0" t="n">
        <f aca="false">$B$5-$B$4</f>
        <v>30</v>
      </c>
      <c r="H20" s="3" t="n">
        <f aca="false">F20*G20</f>
        <v>563.114754098361</v>
      </c>
      <c r="I20" s="3" t="n">
        <f aca="false">F20*$C$11*0.0036*$C$10</f>
        <v>5838.37377049181</v>
      </c>
      <c r="J20" s="9" t="n">
        <f aca="false">I20/($C$12*1000)</f>
        <v>0.0720101545295485</v>
      </c>
      <c r="K20" s="3"/>
      <c r="L20" s="3"/>
      <c r="M20" s="3"/>
    </row>
    <row r="21" customFormat="false" ht="12.8" hidden="false" customHeight="false" outlineLevel="0" collapsed="false">
      <c r="A21" s="0" t="s">
        <v>29</v>
      </c>
      <c r="B21" s="0" t="n">
        <v>1</v>
      </c>
      <c r="C21" s="7" t="n">
        <v>2.7</v>
      </c>
      <c r="D21" s="4" t="n">
        <f aca="false">1/C21</f>
        <v>0.37037037037037</v>
      </c>
      <c r="E21" s="8" t="n">
        <v>40.9</v>
      </c>
      <c r="F21" s="4" t="n">
        <f aca="false">D21*E21</f>
        <v>15.1481481481481</v>
      </c>
      <c r="G21" s="0" t="n">
        <f aca="false">$B$5-$B$4</f>
        <v>30</v>
      </c>
      <c r="H21" s="3" t="n">
        <f aca="false">F21*G21</f>
        <v>454.444444444444</v>
      </c>
      <c r="I21" s="3" t="n">
        <f aca="false">F21*$C$11*0.0036*$C$10</f>
        <v>4711.68</v>
      </c>
      <c r="J21" s="9" t="n">
        <f aca="false">I21/($C$12*1000)</f>
        <v>0.058113580635863</v>
      </c>
      <c r="K21" s="3"/>
      <c r="L21" s="3"/>
      <c r="M21" s="3"/>
    </row>
    <row r="22" customFormat="false" ht="12.8" hidden="false" customHeight="false" outlineLevel="0" collapsed="false">
      <c r="A22" s="0" t="s">
        <v>30</v>
      </c>
      <c r="B22" s="0" t="n">
        <v>1</v>
      </c>
      <c r="C22" s="7" t="n">
        <v>2.78</v>
      </c>
      <c r="D22" s="4" t="n">
        <f aca="false">1/C22</f>
        <v>0.359712230215827</v>
      </c>
      <c r="E22" s="8" t="n">
        <v>33.4</v>
      </c>
      <c r="F22" s="4" t="n">
        <f aca="false">D22*E22</f>
        <v>12.0143884892086</v>
      </c>
      <c r="G22" s="0" t="n">
        <f aca="false">$B$5-$B$4</f>
        <v>30</v>
      </c>
      <c r="H22" s="3" t="n">
        <f aca="false">F22*G22</f>
        <v>360.431654676259</v>
      </c>
      <c r="I22" s="3" t="n">
        <f aca="false">F22*$C$11*0.0036*$C$10</f>
        <v>3736.95539568345</v>
      </c>
      <c r="J22" s="9" t="n">
        <f aca="false">I22/($C$12*1000)</f>
        <v>0.0460913853911288</v>
      </c>
      <c r="K22" s="3"/>
      <c r="L22" s="3"/>
      <c r="M22" s="3"/>
    </row>
    <row r="23" customFormat="false" ht="12.8" hidden="false" customHeight="false" outlineLevel="0" collapsed="false">
      <c r="A23" s="0" t="s">
        <v>31</v>
      </c>
      <c r="B23" s="0" t="n">
        <v>1</v>
      </c>
      <c r="C23" s="7" t="n">
        <v>1.77</v>
      </c>
      <c r="D23" s="4" t="n">
        <f aca="false">1/C23</f>
        <v>0.564971751412429</v>
      </c>
      <c r="E23" s="8" t="n">
        <v>19.7</v>
      </c>
      <c r="F23" s="4" t="n">
        <f aca="false">D23*E23</f>
        <v>11.1299435028249</v>
      </c>
      <c r="G23" s="0" t="n">
        <f aca="false">$B$5-$B$4</f>
        <v>30</v>
      </c>
      <c r="H23" s="3" t="n">
        <f aca="false">F23*G23</f>
        <v>333.898305084746</v>
      </c>
      <c r="I23" s="3" t="n">
        <f aca="false">F23*$C$11*0.0036*$C$10</f>
        <v>3461.85762711864</v>
      </c>
      <c r="J23" s="9" t="n">
        <f aca="false">I23/($C$12*1000)</f>
        <v>0.0426983458900937</v>
      </c>
      <c r="K23" s="3"/>
      <c r="L23" s="3"/>
      <c r="M23" s="3"/>
    </row>
    <row r="24" customFormat="false" ht="12.8" hidden="false" customHeight="false" outlineLevel="0" collapsed="false">
      <c r="A24" s="0" t="s">
        <v>32</v>
      </c>
      <c r="B24" s="0" t="n">
        <v>1</v>
      </c>
      <c r="C24" s="4" t="n">
        <f aca="false">1/D24</f>
        <v>10</v>
      </c>
      <c r="D24" s="7" t="n">
        <v>0.1</v>
      </c>
      <c r="E24" s="8" t="n">
        <v>64.8</v>
      </c>
      <c r="F24" s="4" t="n">
        <f aca="false">D24*E24</f>
        <v>6.48</v>
      </c>
      <c r="G24" s="0" t="n">
        <f aca="false">$B$5-$B$4</f>
        <v>30</v>
      </c>
      <c r="H24" s="3" t="n">
        <f aca="false">F24*G24</f>
        <v>194.4</v>
      </c>
      <c r="I24" s="3" t="n">
        <f aca="false">F24*$C$11*0.0036*$C$10</f>
        <v>2015.5392</v>
      </c>
      <c r="J24" s="9" t="n">
        <f aca="false">I24/($C$12*1000)</f>
        <v>0.0248595405086811</v>
      </c>
      <c r="K24" s="3"/>
      <c r="L24" s="3"/>
      <c r="M24" s="3"/>
    </row>
    <row r="25" customFormat="false" ht="12.8" hidden="false" customHeight="false" outlineLevel="0" collapsed="false">
      <c r="A25" s="0" t="s">
        <v>33</v>
      </c>
      <c r="B25" s="0" t="n">
        <v>1</v>
      </c>
      <c r="C25" s="4" t="n">
        <f aca="false">1/D25</f>
        <v>10</v>
      </c>
      <c r="D25" s="7" t="n">
        <v>0.1</v>
      </c>
      <c r="E25" s="8" t="n">
        <v>58.3</v>
      </c>
      <c r="F25" s="4" t="n">
        <f aca="false">D25*E25</f>
        <v>5.83</v>
      </c>
      <c r="G25" s="0" t="n">
        <f aca="false">$B$5-$B$4</f>
        <v>30</v>
      </c>
      <c r="H25" s="3" t="n">
        <f aca="false">F25*G25</f>
        <v>174.9</v>
      </c>
      <c r="I25" s="3" t="n">
        <f aca="false">F25*$C$11*0.0036*$C$10</f>
        <v>1813.3632</v>
      </c>
      <c r="J25" s="9" t="n">
        <f aca="false">I25/($C$12*1000)</f>
        <v>0.0223659137601252</v>
      </c>
      <c r="K25" s="3"/>
    </row>
    <row r="26" customFormat="false" ht="12.8" hidden="false" customHeight="false" outlineLevel="0" collapsed="false">
      <c r="A26" s="0" t="s">
        <v>34</v>
      </c>
      <c r="B26" s="0" t="n">
        <v>1</v>
      </c>
      <c r="C26" s="7" t="n">
        <v>5.32</v>
      </c>
      <c r="D26" s="4" t="n">
        <f aca="false">1/C26</f>
        <v>0.18796992481203</v>
      </c>
      <c r="E26" s="8" t="n">
        <v>28.3</v>
      </c>
      <c r="F26" s="4" t="n">
        <f aca="false">D26*E26</f>
        <v>5.31954887218045</v>
      </c>
      <c r="G26" s="0" t="n">
        <f aca="false">$B$5-$B$4</f>
        <v>30</v>
      </c>
      <c r="H26" s="3" t="n">
        <f aca="false">F26*G26</f>
        <v>159.586466165414</v>
      </c>
      <c r="I26" s="3" t="n">
        <f aca="false">F26*$C$11*0.0036*$C$10</f>
        <v>1654.59248120301</v>
      </c>
      <c r="J26" s="9" t="n">
        <f aca="false">I26/($C$12*1000)</f>
        <v>0.0204076451660307</v>
      </c>
      <c r="K26" s="3"/>
    </row>
    <row r="27" customFormat="false" ht="12.8" hidden="false" customHeight="false" outlineLevel="0" collapsed="false">
      <c r="A27" s="0" t="s">
        <v>35</v>
      </c>
      <c r="B27" s="0" t="n">
        <v>1</v>
      </c>
      <c r="C27" s="7" t="n">
        <v>2.95</v>
      </c>
      <c r="D27" s="4" t="n">
        <f aca="false">1/C27</f>
        <v>0.338983050847458</v>
      </c>
      <c r="E27" s="8" t="n">
        <v>11.5</v>
      </c>
      <c r="F27" s="4" t="n">
        <f aca="false">D27*E27</f>
        <v>3.89830508474576</v>
      </c>
      <c r="G27" s="0" t="n">
        <f aca="false">$B$5-$B$4</f>
        <v>30</v>
      </c>
      <c r="H27" s="3" t="n">
        <f aca="false">F27*G27</f>
        <v>116.949152542373</v>
      </c>
      <c r="I27" s="3" t="n">
        <f aca="false">F27*$C$11*0.0036*$C$10</f>
        <v>1212.52881355932</v>
      </c>
      <c r="J27" s="9" t="n">
        <f aca="false">I27/($C$12*1000)</f>
        <v>0.0149552582051597</v>
      </c>
      <c r="K27" s="3"/>
    </row>
    <row r="28" customFormat="false" ht="12.8" hidden="false" customHeight="false" outlineLevel="0" collapsed="false">
      <c r="A28" s="0" t="s">
        <v>36</v>
      </c>
      <c r="B28" s="0" t="n">
        <v>1</v>
      </c>
      <c r="C28" s="7" t="n">
        <v>2.51</v>
      </c>
      <c r="D28" s="4" t="n">
        <f aca="false">1/C28</f>
        <v>0.398406374501992</v>
      </c>
      <c r="E28" s="8" t="n">
        <v>9</v>
      </c>
      <c r="F28" s="4" t="n">
        <f aca="false">D28*E28</f>
        <v>3.58565737051793</v>
      </c>
      <c r="G28" s="0" t="n">
        <f aca="false">$B$5-$B$4</f>
        <v>30</v>
      </c>
      <c r="H28" s="3" t="n">
        <f aca="false">F28*G28</f>
        <v>107.569721115538</v>
      </c>
      <c r="I28" s="3" t="n">
        <f aca="false">F28*$C$11*0.0036*$C$10</f>
        <v>1115.2828685259</v>
      </c>
      <c r="J28" s="9" t="n">
        <f aca="false">I28/($C$12*1000)</f>
        <v>0.0137558325081237</v>
      </c>
      <c r="K28" s="3"/>
    </row>
    <row r="29" customFormat="false" ht="12.8" hidden="false" customHeight="false" outlineLevel="0" collapsed="false">
      <c r="A29" s="0" t="s">
        <v>37</v>
      </c>
      <c r="B29" s="0" t="n">
        <v>1</v>
      </c>
      <c r="C29" s="7" t="n">
        <v>5.3</v>
      </c>
      <c r="D29" s="4" t="n">
        <f aca="false">1/C29</f>
        <v>0.188679245283019</v>
      </c>
      <c r="E29" s="8" t="n">
        <v>8.7</v>
      </c>
      <c r="F29" s="4" t="n">
        <f aca="false">D29*E29</f>
        <v>1.64150943396226</v>
      </c>
      <c r="G29" s="0" t="n">
        <f aca="false">$B$5-$B$4</f>
        <v>30</v>
      </c>
      <c r="H29" s="3" t="n">
        <f aca="false">F29*G29</f>
        <v>49.2452830188679</v>
      </c>
      <c r="I29" s="3" t="n">
        <f aca="false">F29*$C$11*0.0036*$C$10</f>
        <v>510.575094339623</v>
      </c>
      <c r="J29" s="9" t="n">
        <f aca="false">I29/($C$12*1000)</f>
        <v>0.00629740281928506</v>
      </c>
    </row>
    <row r="31" customFormat="false" ht="12.8" hidden="false" customHeight="false" outlineLevel="0" collapsed="false">
      <c r="A31" s="5" t="s">
        <v>38</v>
      </c>
    </row>
    <row r="32" customFormat="false" ht="12.8" hidden="false" customHeight="false" outlineLevel="0" collapsed="false">
      <c r="A32" s="0" t="s">
        <v>39</v>
      </c>
      <c r="B32" s="3" t="n">
        <f aca="false">B35*60/B33*(0.3048^3)</f>
        <v>626.013915428572</v>
      </c>
      <c r="C32" s="0" t="s">
        <v>40</v>
      </c>
    </row>
    <row r="33" customFormat="false" ht="12.8" hidden="false" customHeight="false" outlineLevel="0" collapsed="false">
      <c r="A33" s="0" t="s">
        <v>41</v>
      </c>
      <c r="B33" s="0" t="n">
        <v>1.75</v>
      </c>
      <c r="C33" s="0" t="s">
        <v>42</v>
      </c>
      <c r="I33" s="0" t="s">
        <v>43</v>
      </c>
    </row>
    <row r="34" customFormat="false" ht="12.8" hidden="false" customHeight="false" outlineLevel="0" collapsed="false">
      <c r="A34" s="0" t="s">
        <v>44</v>
      </c>
      <c r="B34" s="0" t="n">
        <v>416</v>
      </c>
      <c r="C34" s="0" t="s">
        <v>45</v>
      </c>
      <c r="I34" s="0" t="s">
        <v>46</v>
      </c>
    </row>
    <row r="35" customFormat="false" ht="12.8" hidden="false" customHeight="false" outlineLevel="0" collapsed="false">
      <c r="A35" s="0" t="s">
        <v>47</v>
      </c>
      <c r="B35" s="0" t="n">
        <f aca="false">B34*10/(2.54^2)</f>
        <v>644.801289602579</v>
      </c>
      <c r="C35" s="0" t="s">
        <v>48</v>
      </c>
      <c r="I35" s="0" t="n">
        <f aca="false">0.018*(9/5)*0.2930710702/(0.3048^3)</f>
        <v>0.335330512302265</v>
      </c>
    </row>
    <row r="36" customFormat="false" ht="12.8" hidden="false" customHeight="false" outlineLevel="0" collapsed="false">
      <c r="A36" s="0" t="s">
        <v>49</v>
      </c>
      <c r="B36" s="0" t="n">
        <f aca="false">B5-B4</f>
        <v>30</v>
      </c>
    </row>
    <row r="37" customFormat="false" ht="12.8" hidden="false" customHeight="false" outlineLevel="0" collapsed="false">
      <c r="A37" s="0" t="s">
        <v>50</v>
      </c>
      <c r="B37" s="3" t="n">
        <f aca="false">B32*B36*B33*I35</f>
        <v>11020.882265873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7.49"/>
    <col collapsed="false" customWidth="true" hidden="false" outlineLevel="0" max="3" min="3" style="0" width="8.33"/>
    <col collapsed="false" customWidth="true" hidden="false" outlineLevel="0" max="5" min="4" style="0" width="7.64"/>
    <col collapsed="false" customWidth="true" hidden="false" outlineLevel="0" max="6" min="6" style="0" width="9.31"/>
    <col collapsed="false" customWidth="true" hidden="false" outlineLevel="0" max="9" min="7" style="0" width="7.64"/>
    <col collapsed="false" customWidth="true" hidden="false" outlineLevel="0" max="10" min="10" style="0" width="5.18"/>
    <col collapsed="false" customWidth="true" hidden="false" outlineLevel="0" max="13" min="13" style="0" width="22.55"/>
  </cols>
  <sheetData>
    <row r="1" customFormat="false" ht="12.8" hidden="false" customHeight="false" outlineLevel="0" collapsed="false">
      <c r="F1" s="0" t="s">
        <v>0</v>
      </c>
    </row>
    <row r="2" customFormat="false" ht="12.8" hidden="false" customHeight="false" outlineLevel="0" collapsed="false">
      <c r="A2" s="0" t="s">
        <v>51</v>
      </c>
      <c r="B2" s="10" t="n">
        <v>65</v>
      </c>
      <c r="C2" s="0" t="s">
        <v>52</v>
      </c>
      <c r="D2" s="3" t="n">
        <f aca="false">(B2-32)*5/9</f>
        <v>18.3333333333333</v>
      </c>
      <c r="E2" s="0" t="s">
        <v>8</v>
      </c>
      <c r="M2" s="0" t="s">
        <v>53</v>
      </c>
      <c r="N2" s="0" t="n">
        <f aca="false">0.3048^2</f>
        <v>0.09290304</v>
      </c>
    </row>
    <row r="3" customFormat="false" ht="12.8" hidden="false" customHeight="false" outlineLevel="0" collapsed="false">
      <c r="A3" s="0" t="s">
        <v>54</v>
      </c>
      <c r="B3" s="10" t="n">
        <f aca="false">6</f>
        <v>6</v>
      </c>
      <c r="C3" s="0" t="s">
        <v>52</v>
      </c>
      <c r="D3" s="3" t="n">
        <f aca="false">(B3-32)*5/9</f>
        <v>-14.4444444444444</v>
      </c>
      <c r="E3" s="0" t="s">
        <v>8</v>
      </c>
      <c r="M3" s="0" t="s">
        <v>55</v>
      </c>
      <c r="N3" s="0" t="n">
        <v>0.1761</v>
      </c>
    </row>
    <row r="4" customFormat="false" ht="12.8" hidden="false" customHeight="false" outlineLevel="0" collapsed="false">
      <c r="B4" s="3"/>
    </row>
    <row r="5" customFormat="false" ht="12.8" hidden="false" customHeight="false" outlineLevel="0" collapsed="false">
      <c r="A5" s="2" t="s">
        <v>4</v>
      </c>
      <c r="B5" s="3" t="n">
        <f aca="false">SUM(H15:H28)</f>
        <v>772.018768872121</v>
      </c>
      <c r="M5" s="0" t="s">
        <v>56</v>
      </c>
      <c r="N5" s="0" t="n">
        <v>3.412141</v>
      </c>
    </row>
    <row r="6" customFormat="false" ht="12.8" hidden="false" customHeight="false" outlineLevel="0" collapsed="false">
      <c r="A6" s="2" t="s">
        <v>57</v>
      </c>
      <c r="B6" s="3" t="n">
        <f aca="false">B5*BTU_per_wh</f>
        <v>2634.23689403809</v>
      </c>
      <c r="C6" s="0" t="s">
        <v>58</v>
      </c>
    </row>
    <row r="7" customFormat="false" ht="12.8" hidden="false" customHeight="false" outlineLevel="0" collapsed="false">
      <c r="A7" s="2"/>
      <c r="B7" s="3"/>
    </row>
    <row r="8" customFormat="false" ht="12.8" hidden="false" customHeight="false" outlineLevel="0" collapsed="false">
      <c r="A8" s="3"/>
      <c r="B8" s="1" t="s">
        <v>5</v>
      </c>
      <c r="C8" s="10" t="n">
        <v>3600</v>
      </c>
      <c r="D8" s="0" t="s">
        <v>6</v>
      </c>
    </row>
    <row r="9" customFormat="false" ht="12.8" hidden="false" customHeight="false" outlineLevel="0" collapsed="false">
      <c r="A9" s="3"/>
      <c r="B9" s="1" t="s">
        <v>7</v>
      </c>
      <c r="C9" s="4" t="n">
        <f aca="false">24*C8/C10</f>
        <v>9.85626283367557</v>
      </c>
      <c r="D9" s="0" t="s">
        <v>8</v>
      </c>
    </row>
    <row r="10" customFormat="false" ht="12.8" hidden="false" customHeight="false" outlineLevel="0" collapsed="false">
      <c r="A10" s="3"/>
      <c r="B10" s="1" t="s">
        <v>9</v>
      </c>
      <c r="C10" s="0" t="n">
        <f aca="false">24*365.25</f>
        <v>8766</v>
      </c>
      <c r="D10" s="0" t="s">
        <v>10</v>
      </c>
    </row>
    <row r="11" customFormat="false" ht="12.8" hidden="false" customHeight="false" outlineLevel="0" collapsed="false">
      <c r="A11" s="3"/>
      <c r="B11" s="1" t="s">
        <v>11</v>
      </c>
      <c r="C11" s="8" t="n">
        <f aca="false">SUM(I15:I28)/1000</f>
        <v>16.0085811913323</v>
      </c>
      <c r="D11" s="0" t="s">
        <v>12</v>
      </c>
      <c r="M11" s="3"/>
    </row>
    <row r="12" customFormat="false" ht="12.8" hidden="false" customHeight="false" outlineLevel="0" collapsed="false">
      <c r="A12" s="3"/>
      <c r="B12" s="1"/>
      <c r="C12" s="4" t="n">
        <f aca="false">1000*C11/C8</f>
        <v>4.44682810870342</v>
      </c>
      <c r="D12" s="0" t="s">
        <v>13</v>
      </c>
      <c r="M12" s="3"/>
    </row>
    <row r="13" customFormat="false" ht="12.8" hidden="false" customHeight="false" outlineLevel="0" collapsed="false">
      <c r="H13" s="11" t="s">
        <v>59</v>
      </c>
      <c r="I13" s="3" t="n">
        <f aca="false">SUM(I15:I28)</f>
        <v>16008.5811913323</v>
      </c>
      <c r="M13" s="3"/>
    </row>
    <row r="14" customFormat="false" ht="35.05" hidden="false" customHeight="false" outlineLevel="0" collapsed="false">
      <c r="A14" s="5" t="s">
        <v>14</v>
      </c>
      <c r="B14" s="5" t="s">
        <v>60</v>
      </c>
      <c r="C14" s="6" t="s">
        <v>16</v>
      </c>
      <c r="D14" s="6" t="s">
        <v>17</v>
      </c>
      <c r="E14" s="6" t="s">
        <v>18</v>
      </c>
      <c r="F14" s="6" t="s">
        <v>19</v>
      </c>
      <c r="G14" s="6" t="s">
        <v>61</v>
      </c>
      <c r="H14" s="6" t="s">
        <v>21</v>
      </c>
      <c r="I14" s="6" t="s">
        <v>62</v>
      </c>
      <c r="J14" s="5" t="s">
        <v>23</v>
      </c>
      <c r="K14" s="3"/>
      <c r="L14" s="3"/>
      <c r="M14" s="3"/>
    </row>
    <row r="15" customFormat="false" ht="12.8" hidden="false" customHeight="false" outlineLevel="0" collapsed="false">
      <c r="A15" s="0" t="s">
        <v>63</v>
      </c>
      <c r="B15" s="12" t="n">
        <v>13</v>
      </c>
      <c r="C15" s="4" t="n">
        <f aca="false">B15*RSI_per_R</f>
        <v>2.2893</v>
      </c>
      <c r="D15" s="4" t="n">
        <f aca="false">1/C15</f>
        <v>0.436814746865854</v>
      </c>
      <c r="E15" s="8" t="n">
        <f aca="false">((2*26+20)*8)*M2_per_sqft</f>
        <v>53.51215104</v>
      </c>
      <c r="F15" s="4" t="n">
        <f aca="false">D15*E15</f>
        <v>23.374896710785</v>
      </c>
      <c r="G15" s="3" t="n">
        <f aca="false">(($B$2-$B$3)-32)*5/9</f>
        <v>15</v>
      </c>
      <c r="H15" s="3" t="n">
        <f aca="false">F15*G15</f>
        <v>350.623450661774</v>
      </c>
      <c r="I15" s="3" t="n">
        <f aca="false">F15*$C$10*0.0036*$C$9</f>
        <v>7270.52787292256</v>
      </c>
      <c r="J15" s="9" t="n">
        <f aca="false">I15/$I$13</f>
        <v>0.45416441257512</v>
      </c>
      <c r="K15" s="3"/>
      <c r="L15" s="3"/>
      <c r="M15" s="3"/>
    </row>
    <row r="16" customFormat="false" ht="12.8" hidden="false" customHeight="false" outlineLevel="0" collapsed="false">
      <c r="A16" s="0" t="s">
        <v>64</v>
      </c>
      <c r="B16" s="12" t="n">
        <v>19</v>
      </c>
      <c r="C16" s="4" t="n">
        <f aca="false">B16*RSI_per_R</f>
        <v>3.3459</v>
      </c>
      <c r="D16" s="4" t="n">
        <f aca="false">1/C16</f>
        <v>0.298873247855584</v>
      </c>
      <c r="E16" s="8" t="n">
        <f aca="false">520*M2_per_sqft</f>
        <v>48.3095808</v>
      </c>
      <c r="F16" s="4" t="n">
        <f aca="false">D16*E16</f>
        <v>14.4384413162378</v>
      </c>
      <c r="G16" s="3" t="n">
        <f aca="false">(($B$2-$B$3)-32)*5/9</f>
        <v>15</v>
      </c>
      <c r="H16" s="3" t="n">
        <f aca="false">F16*G16</f>
        <v>216.576619743567</v>
      </c>
      <c r="I16" s="3" t="n">
        <f aca="false">F16*$C$10*0.0036*$C$9</f>
        <v>4490.9327870026</v>
      </c>
      <c r="J16" s="9" t="n">
        <f aca="false">I16/$I$13</f>
        <v>0.280532842562848</v>
      </c>
      <c r="K16" s="3"/>
      <c r="L16" s="3"/>
    </row>
    <row r="17" customFormat="false" ht="12.8" hidden="false" customHeight="false" outlineLevel="0" collapsed="false">
      <c r="A17" s="0" t="s">
        <v>65</v>
      </c>
      <c r="B17" s="12" t="n">
        <v>7.5</v>
      </c>
      <c r="C17" s="4" t="n">
        <f aca="false">B17*RSI_per_R</f>
        <v>1.32075</v>
      </c>
      <c r="D17" s="4" t="n">
        <f aca="false">1/C17</f>
        <v>0.757145561234147</v>
      </c>
      <c r="E17" s="8" t="n">
        <f aca="false">20*8*M2_per_sqft</f>
        <v>14.8644864</v>
      </c>
      <c r="F17" s="4" t="n">
        <f aca="false">D17*E17</f>
        <v>11.2545798977854</v>
      </c>
      <c r="G17" s="3" t="n">
        <f aca="false">(($B$2-$B$3)-32)*5/9</f>
        <v>15</v>
      </c>
      <c r="H17" s="3" t="n">
        <f aca="false">F17*G17</f>
        <v>168.81869846678</v>
      </c>
      <c r="I17" s="3" t="n">
        <f aca="false">F17*$C$10*0.0036*$C$9</f>
        <v>3500.62453140716</v>
      </c>
      <c r="J17" s="9" t="n">
        <f aca="false">I17/$I$13</f>
        <v>0.218671754202836</v>
      </c>
      <c r="K17" s="3"/>
      <c r="L17" s="3"/>
    </row>
    <row r="18" customFormat="false" ht="12.8" hidden="false" customHeight="false" outlineLevel="0" collapsed="false">
      <c r="A18" s="0" t="s">
        <v>66</v>
      </c>
      <c r="B18" s="8" t="n">
        <f aca="false">C18/RSI_per_R</f>
        <v>1.89286390308537</v>
      </c>
      <c r="C18" s="4" t="n">
        <f aca="false">1/D18</f>
        <v>0.333333333333333</v>
      </c>
      <c r="D18" s="7" t="n">
        <v>3</v>
      </c>
      <c r="E18" s="8" t="n">
        <f aca="false">0.8</f>
        <v>0.8</v>
      </c>
      <c r="F18" s="4" t="n">
        <f aca="false">D18*E18</f>
        <v>2.4</v>
      </c>
      <c r="G18" s="3" t="n">
        <f aca="false">(($B$2-$B$3)-32)*5/9</f>
        <v>15</v>
      </c>
      <c r="H18" s="3" t="n">
        <f aca="false">F18*G18</f>
        <v>36</v>
      </c>
      <c r="I18" s="3" t="n">
        <f aca="false">F18*$C$10*0.0036*$C$9</f>
        <v>746.496</v>
      </c>
      <c r="J18" s="9" t="n">
        <f aca="false">I18/$I$13</f>
        <v>0.0466309906591962</v>
      </c>
      <c r="K18" s="3"/>
      <c r="L18" s="3"/>
    </row>
    <row r="19" customFormat="false" ht="12.8" hidden="false" customHeight="false" outlineLevel="0" collapsed="false">
      <c r="B19" s="4"/>
      <c r="C19" s="4"/>
      <c r="D19" s="8"/>
      <c r="E19" s="4"/>
      <c r="G19" s="3"/>
      <c r="H19" s="3"/>
      <c r="I19" s="9"/>
      <c r="J19" s="3"/>
      <c r="K19" s="3"/>
      <c r="L19" s="3"/>
    </row>
    <row r="20" customFormat="false" ht="12.8" hidden="false" customHeight="false" outlineLevel="0" collapsed="false">
      <c r="A20" s="0" t="s">
        <v>67</v>
      </c>
      <c r="B20" s="4"/>
      <c r="C20" s="4"/>
      <c r="D20" s="8"/>
      <c r="G20" s="3"/>
      <c r="H20" s="3"/>
      <c r="I20" s="9"/>
      <c r="J20" s="3"/>
      <c r="K20" s="3"/>
      <c r="L20" s="3"/>
    </row>
    <row r="21" customFormat="false" ht="12.8" hidden="false" customHeight="false" outlineLevel="0" collapsed="false">
      <c r="B21" s="4"/>
      <c r="C21" s="4"/>
      <c r="D21" s="8"/>
      <c r="G21" s="3"/>
      <c r="H21" s="3"/>
      <c r="I21" s="9"/>
      <c r="J21" s="3"/>
      <c r="K21" s="3"/>
      <c r="L21" s="3"/>
    </row>
    <row r="22" customFormat="false" ht="12.8" hidden="false" customHeight="false" outlineLevel="0" collapsed="false">
      <c r="B22" s="4"/>
      <c r="C22" s="4"/>
      <c r="D22" s="8"/>
      <c r="G22" s="4"/>
      <c r="H22" s="3"/>
      <c r="I22" s="9"/>
      <c r="J22" s="3"/>
      <c r="K22" s="3"/>
      <c r="L22" s="3"/>
    </row>
    <row r="23" customFormat="false" ht="12.8" hidden="false" customHeight="false" outlineLevel="0" collapsed="false">
      <c r="B23" s="4"/>
      <c r="C23" s="4"/>
      <c r="D23" s="8"/>
      <c r="G23" s="4"/>
      <c r="H23" s="3"/>
      <c r="I23" s="9"/>
      <c r="J23" s="3"/>
      <c r="K23" s="3"/>
      <c r="L23" s="3"/>
    </row>
    <row r="24" customFormat="false" ht="12.8" hidden="false" customHeight="false" outlineLevel="0" collapsed="false">
      <c r="B24" s="4"/>
      <c r="C24" s="4"/>
      <c r="D24" s="8"/>
      <c r="G24" s="4"/>
      <c r="H24" s="3"/>
      <c r="I24" s="9"/>
      <c r="J24" s="3"/>
      <c r="K24" s="3"/>
      <c r="L24" s="3"/>
    </row>
    <row r="25" customFormat="false" ht="12.8" hidden="false" customHeight="false" outlineLevel="0" collapsed="false">
      <c r="B25" s="4"/>
      <c r="C25" s="4"/>
      <c r="D25" s="8"/>
      <c r="G25" s="4"/>
      <c r="H25" s="3"/>
      <c r="I25" s="9"/>
      <c r="J25" s="3"/>
      <c r="K25" s="3"/>
      <c r="L25" s="3"/>
    </row>
    <row r="26" customFormat="false" ht="12.8" hidden="false" customHeight="false" outlineLevel="0" collapsed="false">
      <c r="B26" s="4"/>
      <c r="C26" s="4"/>
      <c r="D26" s="8"/>
      <c r="G26" s="4"/>
      <c r="H26" s="3"/>
      <c r="I26" s="9"/>
      <c r="J26" s="3"/>
      <c r="K26" s="3"/>
      <c r="L26" s="3"/>
    </row>
    <row r="27" customFormat="false" ht="12.8" hidden="false" customHeight="false" outlineLevel="0" collapsed="false">
      <c r="B27" s="4"/>
      <c r="C27" s="4"/>
      <c r="D27" s="8"/>
      <c r="E27" s="4"/>
      <c r="G27" s="4"/>
      <c r="H27" s="3"/>
      <c r="I27" s="9"/>
      <c r="J27" s="3"/>
      <c r="K27" s="3"/>
      <c r="L27" s="3"/>
    </row>
    <row r="28" customFormat="false" ht="12.8" hidden="false" customHeight="false" outlineLevel="0" collapsed="false">
      <c r="B28" s="4"/>
      <c r="C28" s="4"/>
      <c r="D28" s="8"/>
      <c r="E28" s="4"/>
      <c r="G28" s="4"/>
      <c r="H28" s="3"/>
      <c r="I28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2023-11-16T20:46:25Z</dcterms:created>
  <dc:creator/>
  <dc:description/>
  <dc:language>en-CA</dc:language>
  <cp:lastModifiedBy/>
  <dcterms:modified xsi:type="dcterms:W3CDTF">2023-11-18T15:48:17Z</dcterms:modified>
  <cp:revision>23</cp:revision>
  <dc:subject/>
  <dc:title/>
</cp:coreProperties>
</file>