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xr:revisionPtr revIDLastSave="0" documentId="11_31ADF8690124BF34E4756BA191BB8D52BF1411D2" xr6:coauthVersionLast="47" xr6:coauthVersionMax="47" xr10:uidLastSave="{00000000-0000-0000-0000-000000000000}"/>
  <bookViews>
    <workbookView xWindow="0" yWindow="0" windowWidth="16384" windowHeight="8192" tabRatio="500" xr2:uid="{00000000-000D-0000-FFFF-FFFF00000000}"/>
  </bookViews>
  <sheets>
    <sheet name="1_lease_conversion" sheetId="1" r:id="rId1"/>
  </sheets>
  <calcPr calcId="0" fullCalcOnLoad="1"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E110" i="1" l="1"/>
  <c r="D110" i="1"/>
  <c r="E109" i="1"/>
  <c r="D109" i="1"/>
  <c r="E108" i="1"/>
  <c r="D108" i="1"/>
  <c r="E104" i="1"/>
  <c r="E102" i="1"/>
  <c r="E98" i="1"/>
  <c r="D98" i="1"/>
  <c r="E97" i="1"/>
  <c r="E96" i="1"/>
  <c r="E95" i="1"/>
  <c r="D95" i="1"/>
  <c r="E93" i="1"/>
  <c r="D93" i="1"/>
  <c r="E92" i="1"/>
  <c r="E91" i="1"/>
  <c r="E90" i="1"/>
  <c r="E89" i="1"/>
  <c r="D89" i="1"/>
  <c r="E88" i="1"/>
  <c r="M80" i="1"/>
  <c r="E80" i="1"/>
  <c r="M79" i="1"/>
  <c r="L79" i="1"/>
  <c r="E79" i="1"/>
  <c r="D79" i="1"/>
  <c r="M78" i="1"/>
  <c r="E78" i="1"/>
  <c r="M77" i="1"/>
  <c r="L77" i="1"/>
  <c r="E77" i="1"/>
  <c r="M76" i="1"/>
  <c r="E76" i="1"/>
  <c r="M75" i="1"/>
  <c r="L75" i="1"/>
  <c r="E75" i="1"/>
  <c r="M74" i="1"/>
  <c r="E73" i="1"/>
  <c r="F59" i="1"/>
  <c r="E59" i="1"/>
  <c r="F58" i="1"/>
  <c r="E58" i="1"/>
  <c r="E52" i="1"/>
  <c r="C52" i="1"/>
  <c r="J51" i="1"/>
  <c r="I51" i="1"/>
  <c r="H51" i="1"/>
  <c r="G51" i="1"/>
  <c r="F51" i="1"/>
  <c r="E51" i="1"/>
  <c r="D51" i="1"/>
  <c r="C51" i="1"/>
  <c r="B51" i="1"/>
  <c r="J50" i="1"/>
  <c r="I50" i="1"/>
  <c r="H50" i="1"/>
  <c r="G50" i="1"/>
  <c r="F50" i="1"/>
  <c r="E50" i="1"/>
  <c r="D50" i="1"/>
  <c r="C50" i="1"/>
  <c r="B50" i="1"/>
  <c r="J49" i="1"/>
  <c r="I49" i="1"/>
  <c r="H49" i="1"/>
  <c r="G49" i="1"/>
  <c r="F49" i="1"/>
  <c r="E49" i="1"/>
  <c r="D49" i="1"/>
  <c r="C49" i="1"/>
  <c r="B49" i="1"/>
  <c r="J48" i="1"/>
  <c r="I48" i="1"/>
  <c r="H48" i="1"/>
  <c r="G48" i="1"/>
  <c r="F48" i="1"/>
  <c r="E48" i="1"/>
  <c r="D48" i="1"/>
  <c r="C48" i="1"/>
  <c r="B48" i="1"/>
  <c r="J47" i="1"/>
  <c r="I47" i="1"/>
  <c r="H47" i="1"/>
  <c r="G47" i="1"/>
  <c r="F47" i="1"/>
  <c r="E47" i="1"/>
  <c r="D47" i="1"/>
  <c r="C47" i="1"/>
  <c r="B47" i="1"/>
  <c r="J46" i="1"/>
  <c r="I46" i="1"/>
  <c r="H46" i="1"/>
  <c r="G46" i="1"/>
  <c r="F46" i="1"/>
  <c r="E46" i="1"/>
  <c r="D46" i="1"/>
  <c r="C46" i="1"/>
  <c r="B46" i="1"/>
  <c r="J45" i="1"/>
  <c r="I45" i="1"/>
  <c r="H45" i="1"/>
  <c r="G45" i="1"/>
  <c r="F45" i="1"/>
  <c r="E45" i="1"/>
  <c r="D45" i="1"/>
  <c r="C45" i="1"/>
  <c r="B45" i="1"/>
  <c r="J44" i="1"/>
  <c r="I44" i="1"/>
  <c r="H44" i="1"/>
  <c r="G44" i="1"/>
  <c r="F44" i="1"/>
  <c r="E44" i="1"/>
  <c r="D44" i="1"/>
  <c r="B44" i="1"/>
  <c r="J43" i="1"/>
  <c r="I43" i="1"/>
  <c r="H43" i="1"/>
  <c r="G43" i="1"/>
  <c r="F43" i="1"/>
  <c r="E43" i="1"/>
  <c r="D43" i="1"/>
  <c r="B43" i="1"/>
  <c r="J42" i="1"/>
  <c r="I42" i="1"/>
  <c r="H42" i="1"/>
  <c r="G42" i="1"/>
  <c r="F42" i="1"/>
  <c r="E42" i="1"/>
  <c r="D42" i="1"/>
  <c r="B42" i="1"/>
  <c r="J41" i="1"/>
  <c r="I41" i="1"/>
  <c r="H41" i="1"/>
  <c r="G41" i="1"/>
  <c r="F41" i="1"/>
  <c r="E41" i="1"/>
  <c r="D41" i="1"/>
  <c r="B41" i="1"/>
  <c r="J40" i="1"/>
  <c r="I40" i="1"/>
  <c r="H40" i="1"/>
  <c r="G40" i="1"/>
  <c r="F40" i="1"/>
  <c r="E40" i="1"/>
  <c r="D40" i="1"/>
  <c r="B40" i="1"/>
  <c r="H39" i="1"/>
  <c r="B18" i="1"/>
  <c r="B17" i="1"/>
  <c r="B16" i="1"/>
  <c r="B15" i="1"/>
</calcChain>
</file>

<file path=xl/sharedStrings.xml><?xml version="1.0" encoding="utf-8"?>
<sst xmlns="http://schemas.openxmlformats.org/spreadsheetml/2006/main" count="84" uniqueCount="79">
  <si>
    <t>Lease leabilities for operating leases as of December 31, 2022  were as follow:</t>
  </si>
  <si>
    <t>Fiscal year</t>
  </si>
  <si>
    <t>Operating Leases (in million)</t>
  </si>
  <si>
    <t>Thereafter</t>
  </si>
  <si>
    <t>Solution</t>
  </si>
  <si>
    <t>Part 1</t>
  </si>
  <si>
    <t>Part 2</t>
  </si>
  <si>
    <t>Interest rate</t>
  </si>
  <si>
    <t>Year</t>
  </si>
  <si>
    <t>MLP</t>
  </si>
  <si>
    <t>Df</t>
  </si>
  <si>
    <t>PV MLP</t>
  </si>
  <si>
    <t>Interest</t>
  </si>
  <si>
    <t>Lease Obligation</t>
  </si>
  <si>
    <t>Lease Balance</t>
  </si>
  <si>
    <t>Depreciation</t>
  </si>
  <si>
    <t>Total Expense</t>
  </si>
  <si>
    <t>Total</t>
  </si>
  <si>
    <t>The magnitude is quite considerable: more than  22% of the financing is out of the balance.</t>
  </si>
  <si>
    <t>Item</t>
  </si>
  <si>
    <t>Reported</t>
  </si>
  <si>
    <t>Adjustment</t>
  </si>
  <si>
    <t>%</t>
  </si>
  <si>
    <t>Total asset</t>
  </si>
  <si>
    <t>Total liability</t>
  </si>
  <si>
    <t>Part 3</t>
  </si>
  <si>
    <t>Besides adding the lease asset and liability, we need to add further 3 adjustments:</t>
  </si>
  <si>
    <t>1) operating expenses: reduction by $177 (=-454 operating leases that will not be paid + 277 of new depreciation expense).</t>
  </si>
  <si>
    <t>2) interest expense increase by $193.</t>
  </si>
  <si>
    <t>3) tax expenses: reduction of  (193-177)*35%.</t>
  </si>
  <si>
    <t>COLGATE-PALMOLIVE COMPANY</t>
  </si>
  <si>
    <t>Consolidated Balance Sheets</t>
  </si>
  <si>
    <t>Consolidated Statements of Income</t>
  </si>
  <si>
    <t>As of December 31, (Dollars in Millions Except Share and Per Share Amounts)</t>
  </si>
  <si>
    <t>For the years ended December 31, (Dollars in Millions Except Per Share Amounts)</t>
  </si>
  <si>
    <t>Assets</t>
  </si>
  <si>
    <t>Adjustments</t>
  </si>
  <si>
    <t>Final</t>
  </si>
  <si>
    <t>Net sales</t>
  </si>
  <si>
    <t>$17,967</t>
  </si>
  <si>
    <t>Total current assets</t>
  </si>
  <si>
    <t>Cost of sales</t>
  </si>
  <si>
    <t>Gross profit</t>
  </si>
  <si>
    <t>Property, plant and equipment, net</t>
  </si>
  <si>
    <t>Operating profit</t>
  </si>
  <si>
    <t>Goodwill</t>
  </si>
  <si>
    <t>Non-service related postretirement costs</t>
  </si>
  <si>
    <t>Other intangible assets, net</t>
  </si>
  <si>
    <t>Interest (income) expense, net</t>
  </si>
  <si>
    <t>Deferred income taxes</t>
  </si>
  <si>
    <t>Income before income taxes</t>
  </si>
  <si>
    <t>Other assets</t>
  </si>
  <si>
    <t>Provision for income taxes</t>
  </si>
  <si>
    <t>Total assets</t>
  </si>
  <si>
    <t>$15,731</t>
  </si>
  <si>
    <t>Net income including noncontrolling interests</t>
  </si>
  <si>
    <t>Liabilities and Shareholders’ Equity</t>
  </si>
  <si>
    <t>Current Liabilities</t>
  </si>
  <si>
    <t>Notes and loans payable</t>
  </si>
  <si>
    <t>$11</t>
  </si>
  <si>
    <t>Current portion of long-term debt</t>
  </si>
  <si>
    <t>Accounts payable</t>
  </si>
  <si>
    <t>Accrued income taxes</t>
  </si>
  <si>
    <t>Other accruals</t>
  </si>
  <si>
    <t>Total current liabilities</t>
  </si>
  <si>
    <t>Long-term debt</t>
  </si>
  <si>
    <t>Other liabilities</t>
  </si>
  <si>
    <t>Total liabilities</t>
  </si>
  <si>
    <t>Total equity</t>
  </si>
  <si>
    <t>Total liabilities and equity</t>
  </si>
  <si>
    <t>Part 4</t>
  </si>
  <si>
    <t>Financial Ratio</t>
  </si>
  <si>
    <t>Before</t>
  </si>
  <si>
    <t>After</t>
  </si>
  <si>
    <t>Current Ratio</t>
  </si>
  <si>
    <t>Total debt to equity</t>
  </si>
  <si>
    <t>Times interest earned</t>
  </si>
  <si>
    <t>Conclusion: in all metrics, reclassifying the operating lease as a capital lease leads to  significantly worsening of the credit/ solvency conditions.</t>
  </si>
  <si>
    <t>Given the long-term commitments of the operating leases, this reclassification should be appropriate to evaluate the company’s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</si>
</sst>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0;[Red]\-[$$-409]#,##0"/>
    <numFmt numFmtId="165" formatCode="#,##0\ [$€-C0A];[Red]\-#,##0\ [$€-C0A]"/>
    <numFmt numFmtId="166" formatCode="[$-409]#,##0"/>
    <numFmt numFmtId="167" formatCode="#,##0.00000"/>
    <numFmt numFmtId="168" formatCode="#,##0.0"/>
  </numFmts>
  <fonts count="3">
    <font>
      <sz val="10"/>
      <name val="Arial"/>
      <family val="2"/>
      <charset val="1"/>
    </font>
    <font>
      <b/>
      <sz val="10"/>
      <name val="Arial"/>
      <family val="2"/>
      <charset val="1"/>
    </font>
    <font>
      <b/>
      <i/>
      <sz val="10"/>
      <name val="Arial"/>
      <family val="2"/>
      <charset val="1"/>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style="thin">
        <color auto="1"/>
      </bottom>
      <diagonal/>
    </border>
  </borders>
  <cellStyleXfs count="1">
    <xf numFmtId="0" fontId="0" fillId="0" borderId="0"/>
  </cellStyleXfs>
  <cellXfs count="44">
    <xf numFmtId="0" fontId="0" fillId="0" borderId="0" xfId="0"/>
    <xf numFmtId="0" fontId="0" fillId="0" borderId="0" xfId="0" applyAlignment="1" applyProtection="1"/>
    <xf numFmtId="3" fontId="0" fillId="0" borderId="0" xfId="0" applyNumberFormat="1" applyAlignment="1" applyProtection="1"/>
    <xf numFmtId="0" fontId="0" fillId="0" borderId="0" xfId="0" applyFont="1" applyAlignment="1" applyProtection="1">
      <alignment horizontal="center"/>
    </xf>
    <xf numFmtId="0" fontId="0" fillId="0" borderId="1" xfId="0" applyFont="1" applyBorder="1" applyAlignment="1" applyProtection="1">
      <alignment horizontal="center" vertical="top"/>
    </xf>
    <xf numFmtId="0" fontId="0" fillId="0" borderId="1" xfId="0" applyFont="1" applyBorder="1" applyAlignment="1" applyProtection="1">
      <alignment horizontal="center" vertical="top" wrapText="1"/>
    </xf>
    <xf numFmtId="164" fontId="0" fillId="0" borderId="0" xfId="0" applyNumberFormat="1" applyAlignment="1" applyProtection="1">
      <alignment horizontal="center"/>
    </xf>
    <xf numFmtId="0" fontId="0" fillId="0" borderId="1" xfId="0" applyFont="1" applyBorder="1" applyAlignment="1" applyProtection="1">
      <alignment horizontal="center"/>
    </xf>
    <xf numFmtId="164" fontId="0" fillId="0" borderId="1" xfId="0" applyNumberFormat="1" applyBorder="1" applyAlignment="1" applyProtection="1">
      <alignment horizontal="center"/>
    </xf>
    <xf numFmtId="0" fontId="1" fillId="0" borderId="0" xfId="0" applyFont="1" applyAlignment="1" applyProtection="1"/>
    <xf numFmtId="10" fontId="0" fillId="0" borderId="0" xfId="0" applyNumberFormat="1" applyAlignment="1" applyProtection="1"/>
    <xf numFmtId="0" fontId="0" fillId="0" borderId="1" xfId="0" applyBorder="1" applyAlignment="1" applyProtection="1"/>
    <xf numFmtId="3" fontId="0" fillId="0" borderId="1" xfId="0" applyNumberFormat="1" applyBorder="1" applyAlignment="1" applyProtection="1"/>
    <xf numFmtId="3" fontId="0" fillId="0" borderId="1" xfId="0" applyNumberFormat="1" applyFont="1" applyBorder="1" applyAlignment="1" applyProtection="1">
      <alignment horizontal="center" vertical="top" wrapText="1"/>
    </xf>
    <xf numFmtId="165" fontId="0" fillId="0" borderId="0" xfId="0" applyNumberFormat="1" applyAlignment="1" applyProtection="1">
      <alignment horizontal="center"/>
    </xf>
    <xf numFmtId="166" fontId="0" fillId="0" borderId="0" xfId="0" applyNumberFormat="1" applyAlignment="1" applyProtection="1">
      <alignment horizontal="center"/>
    </xf>
    <xf numFmtId="167" fontId="0" fillId="0" borderId="0" xfId="0" applyNumberFormat="1" applyAlignment="1" applyProtection="1">
      <alignment horizontal="center"/>
    </xf>
    <xf numFmtId="164" fontId="0" fillId="2" borderId="0" xfId="0" applyNumberFormat="1" applyFill="1" applyAlignment="1" applyProtection="1">
      <alignment horizontal="center"/>
    </xf>
    <xf numFmtId="164" fontId="0" fillId="0" borderId="0" xfId="0" applyNumberFormat="1" applyAlignment="1" applyProtection="1"/>
    <xf numFmtId="167" fontId="0" fillId="0" borderId="1" xfId="0" applyNumberFormat="1" applyBorder="1" applyAlignment="1" applyProtection="1">
      <alignment horizontal="center"/>
    </xf>
    <xf numFmtId="166" fontId="0" fillId="0" borderId="1" xfId="0" applyNumberFormat="1" applyBorder="1" applyAlignment="1" applyProtection="1">
      <alignment horizontal="center"/>
    </xf>
    <xf numFmtId="165" fontId="0" fillId="0" borderId="1" xfId="0" applyNumberFormat="1" applyBorder="1" applyAlignment="1" applyProtection="1">
      <alignment horizontal="center"/>
    </xf>
    <xf numFmtId="166" fontId="0" fillId="2" borderId="1" xfId="0" applyNumberFormat="1" applyFill="1" applyBorder="1" applyAlignment="1" applyProtection="1">
      <alignment horizontal="center"/>
    </xf>
    <xf numFmtId="3" fontId="0" fillId="0" borderId="1" xfId="0" applyNumberFormat="1" applyFont="1" applyBorder="1" applyAlignment="1" applyProtection="1">
      <alignment horizontal="center"/>
    </xf>
    <xf numFmtId="10" fontId="0" fillId="0" borderId="0" xfId="0" applyNumberFormat="1" applyAlignment="1" applyProtection="1">
      <alignment horizontal="center"/>
    </xf>
    <xf numFmtId="0" fontId="1" fillId="0" borderId="0" xfId="0" applyFont="1" applyAlignment="1" applyProtection="1">
      <alignment horizontal="center"/>
    </xf>
    <xf numFmtId="0" fontId="0" fillId="0" borderId="0" xfId="0" applyAlignment="1" applyProtection="1">
      <alignment horizontal="right"/>
    </xf>
    <xf numFmtId="0" fontId="0" fillId="0" borderId="0" xfId="0" applyFont="1" applyAlignment="1" applyProtection="1">
      <alignment horizontal="left"/>
    </xf>
    <xf numFmtId="0" fontId="1" fillId="0" borderId="0" xfId="0" applyFont="1" applyAlignment="1" applyProtection="1">
      <alignment horizontal="center" wrapText="1"/>
    </xf>
    <xf numFmtId="3" fontId="1" fillId="0" borderId="0" xfId="0" applyNumberFormat="1" applyFont="1" applyAlignment="1" applyProtection="1">
      <alignment horizontal="center"/>
    </xf>
    <xf numFmtId="0" fontId="0" fillId="0" borderId="0" xfId="0" applyAlignment="1" applyProtection="1">
      <alignment wrapText="1"/>
    </xf>
    <xf numFmtId="3" fontId="0" fillId="0" borderId="0" xfId="0" applyNumberFormat="1" applyAlignment="1" applyProtection="1">
      <alignment horizontal="center"/>
    </xf>
    <xf numFmtId="49" fontId="0" fillId="0" borderId="0" xfId="0" applyNumberFormat="1" applyFont="1" applyAlignment="1" applyProtection="1">
      <alignment horizontal="center"/>
    </xf>
    <xf numFmtId="0" fontId="1" fillId="0" borderId="0" xfId="0" applyFont="1" applyAlignment="1" applyProtection="1">
      <alignment wrapText="1"/>
    </xf>
    <xf numFmtId="3" fontId="2" fillId="0" borderId="0" xfId="0" applyNumberFormat="1" applyFont="1" applyAlignment="1" applyProtection="1">
      <alignment horizontal="center"/>
    </xf>
    <xf numFmtId="3" fontId="0" fillId="2" borderId="0" xfId="0" applyNumberFormat="1" applyFill="1" applyAlignment="1" applyProtection="1">
      <alignment horizontal="center"/>
    </xf>
    <xf numFmtId="4" fontId="0" fillId="2" borderId="0" xfId="0" applyNumberFormat="1" applyFill="1" applyAlignment="1" applyProtection="1">
      <alignment horizontal="center"/>
    </xf>
    <xf numFmtId="49" fontId="1" fillId="0" borderId="0" xfId="0" applyNumberFormat="1" applyFont="1" applyAlignment="1" applyProtection="1">
      <alignment horizontal="center"/>
    </xf>
    <xf numFmtId="1" fontId="1" fillId="0" borderId="0" xfId="0" applyNumberFormat="1" applyFont="1" applyAlignment="1" applyProtection="1">
      <alignment horizontal="center"/>
    </xf>
    <xf numFmtId="168" fontId="1" fillId="0" borderId="0" xfId="0" applyNumberFormat="1" applyFont="1" applyAlignment="1" applyProtection="1">
      <alignment horizontal="center"/>
    </xf>
    <xf numFmtId="0" fontId="1" fillId="0" borderId="1" xfId="0" applyFont="1" applyBorder="1" applyAlignment="1" applyProtection="1"/>
    <xf numFmtId="0" fontId="1" fillId="0" borderId="1" xfId="0" applyFont="1" applyBorder="1" applyAlignment="1" applyProtection="1">
      <alignment horizontal="center"/>
    </xf>
    <xf numFmtId="3" fontId="1" fillId="0" borderId="1" xfId="0" applyNumberFormat="1" applyFont="1" applyBorder="1" applyAlignment="1" applyProtection="1">
      <alignment horizontal="center"/>
    </xf>
    <xf numFmtId="4" fontId="0" fillId="0" borderId="0" xfId="0" applyNumberFormat="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468000</xdr:colOff>
      <xdr:row>0</xdr:row>
      <xdr:rowOff>89280</xdr:rowOff>
    </xdr:from>
    <xdr:to>
      <xdr:col>12</xdr:col>
      <xdr:colOff>230040</xdr:colOff>
      <xdr:row>8</xdr:row>
      <xdr:rowOff>55800</xdr:rowOff>
    </xdr:to>
    <xdr:sp macro="" textlink="">
      <xdr:nvSpPr>
        <xdr:cNvPr id="2" name="Text Frame 1">
          <a:extLst>
            <a:ext uri="{FF2B5EF4-FFF2-40B4-BE49-F238E27FC236}">
              <a16:creationId xmlns:a16="http://schemas.microsoft.com/office/drawing/2014/main" id="{00000000-0008-0000-0000-000002000000}"/>
            </a:ext>
          </a:extLst>
        </xdr:cNvPr>
        <xdr:cNvSpPr/>
      </xdr:nvSpPr>
      <xdr:spPr>
        <a:xfrm>
          <a:off x="468000" y="89280"/>
          <a:ext cx="10429920" cy="126180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solidFill>
                <a:srgbClr val="000000"/>
              </a:solidFill>
              <a:latin typeface="Times New Roman"/>
            </a:rPr>
            <a:t>Assume that Colgate-Palmolive has the following (fictional) disclosure of Lease Commitments in its 2022 10-K report. According to the bond market, the company’s long-term borrowing rate is 5.8%.</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0" strike="noStrike" spc="-1">
              <a:solidFill>
                <a:srgbClr val="000000"/>
              </a:solidFill>
              <a:latin typeface="Times New Roman"/>
            </a:rPr>
            <a:t>1) Evaluate the length of the operational leases.</a:t>
          </a:r>
          <a:endParaRPr lang="en-US" sz="1200" b="0" strike="noStrike" spc="-1">
            <a:latin typeface="Times New Roman"/>
          </a:endParaRPr>
        </a:p>
        <a:p>
          <a:pPr>
            <a:lnSpc>
              <a:spcPct val="100000"/>
            </a:lnSpc>
          </a:pPr>
          <a:r>
            <a:rPr lang="en-US" sz="1200" b="0" strike="noStrike" spc="-1">
              <a:solidFill>
                <a:srgbClr val="000000"/>
              </a:solidFill>
              <a:latin typeface="Times New Roman"/>
            </a:rPr>
            <a:t>2) Convert the operating leases into capital leases.</a:t>
          </a:r>
          <a:endParaRPr lang="en-US" sz="1200" b="0" strike="noStrike" spc="-1">
            <a:latin typeface="Times New Roman"/>
          </a:endParaRPr>
        </a:p>
        <a:p>
          <a:pPr>
            <a:lnSpc>
              <a:spcPct val="100000"/>
            </a:lnSpc>
          </a:pPr>
          <a:r>
            <a:rPr lang="en-US" sz="1200" b="0" strike="noStrike" spc="-1">
              <a:solidFill>
                <a:srgbClr val="000000"/>
              </a:solidFill>
              <a:latin typeface="Times New Roman"/>
            </a:rPr>
            <a:t>3) Restate the Financial Statements of Colgate-Palmolive after converting operational leases to capital leases. Consider a marginal corporate tax rate of 35%.</a:t>
          </a:r>
          <a:endParaRPr lang="en-US" sz="1200" b="0" strike="noStrike" spc="-1">
            <a:latin typeface="Times New Roman"/>
          </a:endParaRPr>
        </a:p>
        <a:p>
          <a:pPr>
            <a:lnSpc>
              <a:spcPct val="100000"/>
            </a:lnSpc>
          </a:pPr>
          <a:r>
            <a:rPr lang="en-US" sz="1200" b="0" strike="noStrike" spc="-1">
              <a:solidFill>
                <a:srgbClr val="000000"/>
              </a:solidFill>
              <a:latin typeface="Times New Roman"/>
            </a:rPr>
            <a:t>4) Compare the following ratios: current ratio, total debt to equity,  and times interest earned.</a:t>
          </a:r>
          <a:endParaRPr lang="en-US" sz="1200" b="0" strike="noStrike" spc="-1">
            <a:latin typeface="Times New Roman"/>
          </a:endParaRPr>
        </a:p>
      </xdr:txBody>
    </xdr:sp>
    <xdr:clientData/>
  </xdr:twoCellAnchor>
  <xdr:twoCellAnchor editAs="absolute">
    <xdr:from>
      <xdr:col>1</xdr:col>
      <xdr:colOff>57600</xdr:colOff>
      <xdr:row>21</xdr:row>
      <xdr:rowOff>112320</xdr:rowOff>
    </xdr:from>
    <xdr:to>
      <xdr:col>7</xdr:col>
      <xdr:colOff>739800</xdr:colOff>
      <xdr:row>26</xdr:row>
      <xdr:rowOff>145080</xdr:rowOff>
    </xdr:to>
    <xdr:sp macro="" textlink="">
      <xdr:nvSpPr>
        <xdr:cNvPr id="3" name="Text Frame 2">
          <a:extLst>
            <a:ext uri="{FF2B5EF4-FFF2-40B4-BE49-F238E27FC236}">
              <a16:creationId xmlns:a16="http://schemas.microsoft.com/office/drawing/2014/main" id="{00000000-0008-0000-0000-000003000000}"/>
            </a:ext>
          </a:extLst>
        </xdr:cNvPr>
        <xdr:cNvSpPr/>
      </xdr:nvSpPr>
      <xdr:spPr>
        <a:xfrm>
          <a:off x="872280" y="3684240"/>
          <a:ext cx="6313320" cy="84240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To estimate how long the operating lease commitments are, the best we can do is 2621/379 = 6.9 years. Therefore, adding this to the already reported five years implies that the lease commitments are above 12 years, which should be addressed.  We need to evaluate how this lease would impact if it is considered in the balance sheet.</a:t>
          </a:r>
        </a:p>
      </xdr:txBody>
    </xdr:sp>
    <xdr:clientData/>
  </xdr:twoCellAnchor>
  <xdr:twoCellAnchor editAs="absolute">
    <xdr:from>
      <xdr:col>0</xdr:col>
      <xdr:colOff>768300</xdr:colOff>
      <xdr:row>26</xdr:row>
      <xdr:rowOff>39960</xdr:rowOff>
    </xdr:from>
    <xdr:to>
      <xdr:col>11</xdr:col>
      <xdr:colOff>16200</xdr:colOff>
      <xdr:row>35</xdr:row>
      <xdr:rowOff>99000</xdr:rowOff>
    </xdr:to>
    <xdr:sp macro="" textlink="">
      <xdr:nvSpPr>
        <xdr:cNvPr id="4" name="Text Frame 3">
          <a:extLst>
            <a:ext uri="{FF2B5EF4-FFF2-40B4-BE49-F238E27FC236}">
              <a16:creationId xmlns:a16="http://schemas.microsoft.com/office/drawing/2014/main" id="{00000000-0008-0000-0000-000004000000}"/>
            </a:ext>
          </a:extLst>
        </xdr:cNvPr>
        <xdr:cNvSpPr/>
      </xdr:nvSpPr>
      <xdr:spPr>
        <a:xfrm>
          <a:off x="806400" y="4421520"/>
          <a:ext cx="8914680" cy="151632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First,  we estimate the respective capital lease liability: we calculate the PV of the MLP at the borrowing rate. This leads to an estimated lease liability of 3.322 million euros. To estimate the lease assets, the best we can do is consider it equal to the liability. Notice that $261 of the liability is due during 2023, meaning it is short-term.</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Second, we estimate the two impacts of this reclassification into the Income Statement:</a:t>
          </a:r>
        </a:p>
        <a:p>
          <a:pPr>
            <a:lnSpc>
              <a:spcPct val="100000"/>
            </a:lnSpc>
          </a:pPr>
          <a:r>
            <a:rPr lang="en-US" sz="1200" b="0" strike="noStrike" spc="-1">
              <a:latin typeface="Times New Roman"/>
            </a:rPr>
            <a:t>   1) Interest expense: calculated by applying the interest rate to the present value of the lease.	 </a:t>
          </a:r>
        </a:p>
        <a:p>
          <a:pPr>
            <a:lnSpc>
              <a:spcPct val="100000"/>
            </a:lnSpc>
          </a:pPr>
          <a:r>
            <a:rPr lang="en-US" sz="1200" b="0" strike="noStrike" spc="-1">
              <a:latin typeface="Times New Roman"/>
            </a:rPr>
            <a:t>  2) Depreciation. Use the straight-line method, with no residual value, and economic life equals the residual operating lease.	 </a:t>
          </a:r>
        </a:p>
      </xdr:txBody>
    </xdr:sp>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N125"/>
  <sheetViews>
    <sheetView showGridLines="0" tabSelected="1" topLeftCell="A100" zoomScale="120" zoomScaleNormal="120" workbookViewId="0">
      <selection activeCell="F104" sqref="F104"/>
    </sheetView>
  </sheetViews>
  <sheetFormatPr defaultColWidth="11.5703125" defaultRowHeight="12.75"/>
  <cols>
    <col min="3" max="3" width="16.140625" style="1" customWidth="1"/>
    <col min="4" max="4" width="14.7109375" style="1" customWidth="1"/>
    <col min="5" max="5" width="14.42578125" style="2" customWidth="1"/>
    <col min="12" max="12" width="13.7109375" style="1" customWidth="1"/>
  </cols>
  <sheetData>
    <row r="12" spans="2:4">
      <c r="D12" s="3" t="s">
        <v>0</v>
      </c>
    </row>
    <row r="13" spans="2:4" ht="26.25">
      <c r="B13" s="4" t="s">
        <v>1</v>
      </c>
      <c r="C13" s="5" t="s">
        <v>2</v>
      </c>
    </row>
    <row r="14" spans="2:4">
      <c r="B14" s="3">
        <v>2023</v>
      </c>
      <c r="C14" s="6">
        <v>454</v>
      </c>
    </row>
    <row r="15" spans="2:4">
      <c r="B15" s="3">
        <f>+B14+1</f>
        <v>2024</v>
      </c>
      <c r="C15" s="6">
        <v>424</v>
      </c>
    </row>
    <row r="16" spans="2:4">
      <c r="B16" s="3">
        <f>+B15+1</f>
        <v>2025</v>
      </c>
      <c r="C16" s="6">
        <v>391</v>
      </c>
    </row>
    <row r="17" spans="1:3">
      <c r="B17" s="3">
        <f>+B16+1</f>
        <v>2026</v>
      </c>
      <c r="C17" s="6">
        <v>385</v>
      </c>
    </row>
    <row r="18" spans="1:3">
      <c r="B18" s="3">
        <f>+B17+1</f>
        <v>2027</v>
      </c>
      <c r="C18" s="6">
        <v>379</v>
      </c>
    </row>
    <row r="19" spans="1:3">
      <c r="B19" s="7" t="s">
        <v>3</v>
      </c>
      <c r="C19" s="8">
        <v>2621</v>
      </c>
    </row>
    <row r="21" spans="1:3">
      <c r="A21" s="9" t="s">
        <v>4</v>
      </c>
    </row>
    <row r="22" spans="1:3">
      <c r="A22" s="1" t="s">
        <v>5</v>
      </c>
    </row>
    <row r="27" spans="1:3">
      <c r="A27" s="1" t="s">
        <v>6</v>
      </c>
    </row>
    <row r="36" spans="2:12">
      <c r="B36" s="1" t="s">
        <v>7</v>
      </c>
      <c r="C36" s="10">
        <v>5.8000000000000003E-2</v>
      </c>
    </row>
    <row r="37" spans="2:12">
      <c r="B37" s="11"/>
      <c r="C37" s="11"/>
      <c r="D37" s="11"/>
      <c r="E37" s="12"/>
      <c r="F37" s="11"/>
      <c r="G37" s="11"/>
      <c r="H37" s="11"/>
      <c r="I37" s="11"/>
      <c r="J37" s="11"/>
      <c r="K37" s="11"/>
    </row>
    <row r="38" spans="2:12" ht="26.25">
      <c r="B38" s="5" t="s">
        <v>8</v>
      </c>
      <c r="C38" s="5" t="s">
        <v>9</v>
      </c>
      <c r="D38" s="5" t="s">
        <v>10</v>
      </c>
      <c r="E38" s="13" t="s">
        <v>11</v>
      </c>
      <c r="F38" s="5" t="s">
        <v>12</v>
      </c>
      <c r="G38" s="5" t="s">
        <v>13</v>
      </c>
      <c r="H38" s="5" t="s">
        <v>14</v>
      </c>
      <c r="I38" s="5" t="s">
        <v>15</v>
      </c>
      <c r="J38" s="5" t="s">
        <v>16</v>
      </c>
    </row>
    <row r="39" spans="2:12">
      <c r="B39" s="3">
        <v>2022</v>
      </c>
      <c r="C39" s="6"/>
      <c r="D39" s="14"/>
      <c r="E39" s="15"/>
      <c r="F39" s="6"/>
      <c r="G39" s="6"/>
      <c r="H39" s="6">
        <f>+E52</f>
        <v>3322.3519912966499</v>
      </c>
      <c r="I39" s="6"/>
      <c r="J39" s="6"/>
    </row>
    <row r="40" spans="2:12">
      <c r="B40" s="3">
        <f>+B39+1</f>
        <v>2023</v>
      </c>
      <c r="C40" s="6">
        <v>454</v>
      </c>
      <c r="D40" s="16">
        <f>1/(1+$C$36)^(B40-$B$39)</f>
        <v>0.94517958412098302</v>
      </c>
      <c r="E40" s="15">
        <f>D40*C40</f>
        <v>429.11153119092597</v>
      </c>
      <c r="F40" s="17">
        <f>H39*$C$36</f>
        <v>192.696415495205</v>
      </c>
      <c r="G40" s="17">
        <f>+C40-F40</f>
        <v>261.30358450479503</v>
      </c>
      <c r="H40" s="6">
        <f>+H39-G40</f>
        <v>3061.0484067918501</v>
      </c>
      <c r="I40" s="17">
        <f>$H$39/($B$51-$B$39)</f>
        <v>276.86266594138698</v>
      </c>
      <c r="J40" s="17">
        <f>+I40+F40</f>
        <v>469.55908143659298</v>
      </c>
      <c r="L40" s="18"/>
    </row>
    <row r="41" spans="2:12">
      <c r="B41" s="3">
        <f>+B40+1</f>
        <v>2024</v>
      </c>
      <c r="C41" s="6">
        <v>424</v>
      </c>
      <c r="D41" s="16">
        <f>1/(1+$C$36)^(B41-$B$39)</f>
        <v>0.89336444623911404</v>
      </c>
      <c r="E41" s="15">
        <f>D41*C41</f>
        <v>378.78652520538498</v>
      </c>
      <c r="F41" s="6">
        <f>H40*$C$36</f>
        <v>177.54080759392701</v>
      </c>
      <c r="G41" s="6">
        <f>+C41-F41</f>
        <v>246.45919240607299</v>
      </c>
      <c r="H41" s="6">
        <f>+H40-G41</f>
        <v>2814.58921438578</v>
      </c>
      <c r="I41" s="6">
        <f>$H$39/($B$51-$B$39)</f>
        <v>276.86266594138698</v>
      </c>
      <c r="J41" s="6">
        <f>+I41+F41</f>
        <v>454.40347353531502</v>
      </c>
    </row>
    <row r="42" spans="2:12">
      <c r="B42" s="3">
        <f>+B41+1</f>
        <v>2025</v>
      </c>
      <c r="C42" s="6">
        <v>391</v>
      </c>
      <c r="D42" s="16">
        <f>1/(1+$C$36)^(B42-$B$39)</f>
        <v>0.84438983576475801</v>
      </c>
      <c r="E42" s="15">
        <f>D42*C42</f>
        <v>330.156425784021</v>
      </c>
      <c r="F42" s="6">
        <f>H41*$C$36</f>
        <v>163.24617443437501</v>
      </c>
      <c r="G42" s="6">
        <f>+C42-F42</f>
        <v>227.75382556562499</v>
      </c>
      <c r="H42" s="6">
        <f>+H41-G42</f>
        <v>2586.83538882015</v>
      </c>
      <c r="I42" s="6">
        <f>$H$39/($B$51-$B$39)</f>
        <v>276.86266594138698</v>
      </c>
      <c r="J42" s="6">
        <f>+I42+F42</f>
        <v>440.10884037576199</v>
      </c>
    </row>
    <row r="43" spans="2:12">
      <c r="B43" s="3">
        <f>+B42+1</f>
        <v>2026</v>
      </c>
      <c r="C43" s="6">
        <v>385</v>
      </c>
      <c r="D43" s="16">
        <f>1/(1+$C$36)^(B43-$B$39)</f>
        <v>0.79810003380411898</v>
      </c>
      <c r="E43" s="15">
        <f>D43*C43</f>
        <v>307.26851301458601</v>
      </c>
      <c r="F43" s="6">
        <f>H42*$C$36</f>
        <v>150.036452551569</v>
      </c>
      <c r="G43" s="6">
        <f>+C43-F43</f>
        <v>234.963547448431</v>
      </c>
      <c r="H43" s="6">
        <f>+H42-G43</f>
        <v>2351.8718413717202</v>
      </c>
      <c r="I43" s="6">
        <f>$H$39/($B$51-$B$39)</f>
        <v>276.86266594138698</v>
      </c>
      <c r="J43" s="6">
        <f>+I43+F43</f>
        <v>426.89911849295601</v>
      </c>
    </row>
    <row r="44" spans="2:12">
      <c r="B44" s="3">
        <f>+B43+1</f>
        <v>2027</v>
      </c>
      <c r="C44" s="6">
        <v>379</v>
      </c>
      <c r="D44" s="16">
        <f>1/(1+$C$36)^(B44-$B$39)</f>
        <v>0.75434785803792004</v>
      </c>
      <c r="E44" s="15">
        <f>D44*C44</f>
        <v>285.89783819637199</v>
      </c>
      <c r="F44" s="6">
        <f>H43*$C$36</f>
        <v>136.40856679955999</v>
      </c>
      <c r="G44" s="6">
        <f>+C44-F44</f>
        <v>242.59143320044001</v>
      </c>
      <c r="H44" s="6">
        <f>+H43-G44</f>
        <v>2109.2804081712802</v>
      </c>
      <c r="I44" s="6">
        <f>$H$39/($B$51-$B$39)</f>
        <v>276.86266594138698</v>
      </c>
      <c r="J44" s="6">
        <f>+I44+F44</f>
        <v>413.27123274094703</v>
      </c>
    </row>
    <row r="45" spans="2:12">
      <c r="B45" s="3">
        <f>+B44+1</f>
        <v>2028</v>
      </c>
      <c r="C45" s="6">
        <f>+C44</f>
        <v>379</v>
      </c>
      <c r="D45" s="16">
        <f>1/(1+$C$36)^(B45-$B$39)</f>
        <v>0.71299419474283499</v>
      </c>
      <c r="E45" s="15">
        <f>D45*C45</f>
        <v>270.22479980753502</v>
      </c>
      <c r="F45" s="6">
        <f>H44*$C$36</f>
        <v>122.33826367393399</v>
      </c>
      <c r="G45" s="6">
        <f>+C45-F45</f>
        <v>256.66173632606598</v>
      </c>
      <c r="H45" s="6">
        <f>+H44-G45</f>
        <v>1852.61867184522</v>
      </c>
      <c r="I45" s="6">
        <f>$H$39/($B$51-$B$39)</f>
        <v>276.86266594138698</v>
      </c>
      <c r="J45" s="6">
        <f>+I45+F45</f>
        <v>399.20092961532202</v>
      </c>
    </row>
    <row r="46" spans="2:12">
      <c r="B46" s="3">
        <f>+B45+1</f>
        <v>2029</v>
      </c>
      <c r="C46" s="6">
        <f>+C45</f>
        <v>379</v>
      </c>
      <c r="D46" s="16">
        <f>1/(1+$C$36)^(B46-$B$39)</f>
        <v>0.67390755646770795</v>
      </c>
      <c r="E46" s="15">
        <f>D46*C46</f>
        <v>255.410963901261</v>
      </c>
      <c r="F46" s="6">
        <f>H45*$C$36</f>
        <v>107.451882967023</v>
      </c>
      <c r="G46" s="6">
        <f>+C46-F46</f>
        <v>271.54811703297702</v>
      </c>
      <c r="H46" s="6">
        <f>+H45-G46</f>
        <v>1581.0705548122401</v>
      </c>
      <c r="I46" s="6">
        <f>$H$39/($B$51-$B$39)</f>
        <v>276.86266594138698</v>
      </c>
      <c r="J46" s="6">
        <f>+I46+F46</f>
        <v>384.31454890841002</v>
      </c>
    </row>
    <row r="47" spans="2:12">
      <c r="B47" s="3">
        <f>+B46+1</f>
        <v>2030</v>
      </c>
      <c r="C47" s="6">
        <f>+C46</f>
        <v>379</v>
      </c>
      <c r="D47" s="16">
        <f>1/(1+$C$36)^(B47-$B$39)</f>
        <v>0.63696366395813597</v>
      </c>
      <c r="E47" s="15">
        <f>D47*C47</f>
        <v>241.40922864013399</v>
      </c>
      <c r="F47" s="6">
        <f>H46*$C$36</f>
        <v>91.702092179109897</v>
      </c>
      <c r="G47" s="6">
        <f>+C47-F47</f>
        <v>287.29790782088998</v>
      </c>
      <c r="H47" s="6">
        <f>+H46-G47</f>
        <v>1293.77264699135</v>
      </c>
      <c r="I47" s="6">
        <f>$H$39/($B$51-$B$39)</f>
        <v>276.86266594138698</v>
      </c>
      <c r="J47" s="6">
        <f>+I47+F47</f>
        <v>368.564758120497</v>
      </c>
    </row>
    <row r="48" spans="2:12">
      <c r="B48" s="3">
        <f>+B47+1</f>
        <v>2031</v>
      </c>
      <c r="C48" s="6">
        <f>+C47</f>
        <v>379</v>
      </c>
      <c r="D48" s="16">
        <f>1/(1+$C$36)^(B48-$B$39)</f>
        <v>0.60204505100012895</v>
      </c>
      <c r="E48" s="15">
        <f>D48*C48</f>
        <v>228.17507432904901</v>
      </c>
      <c r="F48" s="6">
        <f>H47*$C$36</f>
        <v>75.038813525498298</v>
      </c>
      <c r="G48" s="6">
        <f>+C48-F48</f>
        <v>303.96118647450197</v>
      </c>
      <c r="H48" s="6">
        <f>+H47-G48</f>
        <v>989.811460516848</v>
      </c>
      <c r="I48" s="6">
        <f>$H$39/($B$51-$B$39)</f>
        <v>276.86266594138698</v>
      </c>
      <c r="J48" s="6">
        <f>+I48+F48</f>
        <v>351.90147946688597</v>
      </c>
    </row>
    <row r="49" spans="1:10">
      <c r="B49" s="3">
        <f>+B48+1</f>
        <v>2032</v>
      </c>
      <c r="C49" s="6">
        <f>+C48</f>
        <v>379</v>
      </c>
      <c r="D49" s="16">
        <f>1/(1+$C$36)^(B49-$B$39)</f>
        <v>0.56904069092639797</v>
      </c>
      <c r="E49" s="15">
        <f>D49*C49</f>
        <v>215.66642186110499</v>
      </c>
      <c r="F49" s="6">
        <f>H48*$C$36</f>
        <v>57.409064709977201</v>
      </c>
      <c r="G49" s="6">
        <f>+C49-F49</f>
        <v>321.59093529002303</v>
      </c>
      <c r="H49" s="6">
        <f>+H48-G49</f>
        <v>668.22052522682498</v>
      </c>
      <c r="I49" s="6">
        <f>$H$39/($B$51-$B$39)</f>
        <v>276.86266594138698</v>
      </c>
      <c r="J49" s="6">
        <f>+I49+F49</f>
        <v>334.27173065136401</v>
      </c>
    </row>
    <row r="50" spans="1:10">
      <c r="B50" s="3">
        <f>+B49+1</f>
        <v>2033</v>
      </c>
      <c r="C50" s="6">
        <f>+C49</f>
        <v>379</v>
      </c>
      <c r="D50" s="16">
        <f>1/(1+$C$36)^(B50-$B$39)</f>
        <v>0.53784564359772902</v>
      </c>
      <c r="E50" s="15">
        <f>D50*C50</f>
        <v>203.84349892353899</v>
      </c>
      <c r="F50" s="6">
        <f>H49*$C$36</f>
        <v>38.756790463155902</v>
      </c>
      <c r="G50" s="6">
        <f>+C50-F50</f>
        <v>340.24320953684401</v>
      </c>
      <c r="H50" s="6">
        <f>+H49-G50</f>
        <v>327.97731568998103</v>
      </c>
      <c r="I50" s="6">
        <f>$H$39/($B$51-$B$39)</f>
        <v>276.86266594138698</v>
      </c>
      <c r="J50" s="6">
        <f>+I50+F50</f>
        <v>315.61945640454297</v>
      </c>
    </row>
    <row r="51" spans="1:10">
      <c r="B51" s="7">
        <f>+B50+1</f>
        <v>2034</v>
      </c>
      <c r="C51" s="8">
        <f>+C19-SUM(C45:C50)</f>
        <v>347</v>
      </c>
      <c r="D51" s="19">
        <f>1/(1+$C$36)^(B51-$B$39)</f>
        <v>0.50836072173698399</v>
      </c>
      <c r="E51" s="20">
        <f>D51*C51</f>
        <v>176.40117044273401</v>
      </c>
      <c r="F51" s="8">
        <f>H50*$C$36</f>
        <v>19.022684310018899</v>
      </c>
      <c r="G51" s="8">
        <f>+C51-F51</f>
        <v>327.97731568998103</v>
      </c>
      <c r="H51" s="8">
        <f>+H50-G51</f>
        <v>0</v>
      </c>
      <c r="I51" s="8">
        <f>$H$39/($B$51-$B$39)</f>
        <v>276.86266594138698</v>
      </c>
      <c r="J51" s="8">
        <f>+I51+F51</f>
        <v>295.88535025140601</v>
      </c>
    </row>
    <row r="52" spans="1:10">
      <c r="B52" s="7" t="s">
        <v>17</v>
      </c>
      <c r="C52" s="8">
        <f>SUM(C40:C51)</f>
        <v>4654</v>
      </c>
      <c r="D52" s="21"/>
      <c r="E52" s="22">
        <f>SUM(E40:E51)</f>
        <v>3322.3519912966499</v>
      </c>
      <c r="F52" s="21"/>
      <c r="G52" s="21"/>
      <c r="H52" s="21"/>
      <c r="I52" s="21"/>
      <c r="J52" s="21"/>
    </row>
    <row r="55" spans="1:10">
      <c r="B55" s="1" t="s">
        <v>18</v>
      </c>
    </row>
    <row r="57" spans="1:10">
      <c r="B57" s="7" t="s">
        <v>19</v>
      </c>
      <c r="C57" s="7" t="s">
        <v>20</v>
      </c>
      <c r="D57" s="7"/>
      <c r="E57" s="23" t="s">
        <v>21</v>
      </c>
      <c r="F57" s="7" t="s">
        <v>22</v>
      </c>
    </row>
    <row r="58" spans="1:10">
      <c r="B58" s="1" t="s">
        <v>23</v>
      </c>
      <c r="C58" s="6">
        <v>15731</v>
      </c>
      <c r="D58" s="6"/>
      <c r="E58" s="15">
        <f>+E52</f>
        <v>3322.3519912966499</v>
      </c>
      <c r="F58" s="24">
        <f>E58/C58</f>
        <v>0.21119776182675301</v>
      </c>
    </row>
    <row r="59" spans="1:10">
      <c r="B59" s="1" t="s">
        <v>24</v>
      </c>
      <c r="C59" s="6">
        <v>14925</v>
      </c>
      <c r="D59" s="6"/>
      <c r="E59" s="15">
        <f>+E52</f>
        <v>3322.3519912966499</v>
      </c>
      <c r="F59" s="24">
        <f>E59/C59</f>
        <v>0.22260314849558799</v>
      </c>
    </row>
    <row r="61" spans="1:10">
      <c r="A61" s="1" t="s">
        <v>25</v>
      </c>
    </row>
    <row r="62" spans="1:10">
      <c r="B62" s="1" t="s">
        <v>26</v>
      </c>
    </row>
    <row r="63" spans="1:10">
      <c r="B63" s="1" t="s">
        <v>27</v>
      </c>
    </row>
    <row r="64" spans="1:10">
      <c r="B64" s="1" t="s">
        <v>28</v>
      </c>
    </row>
    <row r="65" spans="2:14">
      <c r="B65" s="1" t="s">
        <v>29</v>
      </c>
    </row>
    <row r="67" spans="2:14">
      <c r="C67" s="25" t="s">
        <v>30</v>
      </c>
      <c r="D67" s="3"/>
      <c r="J67" s="9"/>
      <c r="K67" s="25" t="s">
        <v>30</v>
      </c>
      <c r="L67" s="26"/>
    </row>
    <row r="68" spans="2:14">
      <c r="C68" s="3" t="s">
        <v>31</v>
      </c>
      <c r="D68" s="3"/>
      <c r="K68" s="3" t="s">
        <v>32</v>
      </c>
      <c r="L68" s="26"/>
    </row>
    <row r="69" spans="2:14">
      <c r="B69" s="27" t="s">
        <v>33</v>
      </c>
      <c r="D69" s="3"/>
      <c r="J69" s="1" t="s">
        <v>34</v>
      </c>
      <c r="K69" s="26"/>
      <c r="L69" s="26"/>
    </row>
    <row r="70" spans="2:14">
      <c r="C70" s="26"/>
      <c r="D70" s="26"/>
      <c r="K70" s="26"/>
      <c r="L70" s="26"/>
    </row>
    <row r="71" spans="2:14">
      <c r="B71" s="28" t="s">
        <v>35</v>
      </c>
      <c r="C71" s="25">
        <v>2022</v>
      </c>
      <c r="D71" s="25" t="s">
        <v>36</v>
      </c>
      <c r="E71" s="29" t="s">
        <v>37</v>
      </c>
      <c r="J71" s="25"/>
      <c r="K71" s="25">
        <v>2022</v>
      </c>
      <c r="L71" s="25" t="s">
        <v>36</v>
      </c>
      <c r="M71" s="25" t="s">
        <v>37</v>
      </c>
    </row>
    <row r="72" spans="2:14">
      <c r="B72" s="30"/>
      <c r="C72" s="3"/>
      <c r="D72" s="3"/>
      <c r="E72" s="31"/>
      <c r="J72" s="30" t="s">
        <v>38</v>
      </c>
      <c r="K72" s="32" t="s">
        <v>39</v>
      </c>
      <c r="L72" s="32"/>
      <c r="M72" s="3"/>
    </row>
    <row r="73" spans="2:14" ht="39">
      <c r="B73" s="33" t="s">
        <v>40</v>
      </c>
      <c r="C73" s="25">
        <v>5113</v>
      </c>
      <c r="D73" s="25"/>
      <c r="E73" s="34">
        <f>+D73+C73</f>
        <v>5113</v>
      </c>
      <c r="J73" s="30" t="s">
        <v>41</v>
      </c>
      <c r="K73" s="3">
        <v>7719</v>
      </c>
      <c r="L73" s="3"/>
      <c r="M73" s="3"/>
    </row>
    <row r="74" spans="2:14">
      <c r="B74" s="30"/>
      <c r="C74" s="3"/>
      <c r="D74" s="3"/>
      <c r="E74" s="31"/>
      <c r="J74" s="33" t="s">
        <v>42</v>
      </c>
      <c r="K74" s="25">
        <v>10248</v>
      </c>
      <c r="L74" s="31"/>
      <c r="M74" s="31">
        <f>+K74</f>
        <v>10248</v>
      </c>
      <c r="N74" s="31"/>
    </row>
    <row r="75" spans="2:14" ht="52.5">
      <c r="B75" s="30" t="s">
        <v>43</v>
      </c>
      <c r="C75" s="3">
        <v>4307</v>
      </c>
      <c r="D75" s="3"/>
      <c r="E75" s="31">
        <f>+C75</f>
        <v>4307</v>
      </c>
      <c r="J75" s="33" t="s">
        <v>44</v>
      </c>
      <c r="K75" s="25">
        <v>2893</v>
      </c>
      <c r="L75" s="35">
        <f>-(C40-I40)</f>
        <v>-177.13733405861299</v>
      </c>
      <c r="M75" s="31">
        <f>+K75+L75</f>
        <v>2715.8626659413899</v>
      </c>
      <c r="N75" s="31"/>
    </row>
    <row r="76" spans="2:14" ht="52.5">
      <c r="B76" s="30" t="s">
        <v>45</v>
      </c>
      <c r="C76" s="3">
        <v>3352</v>
      </c>
      <c r="D76" s="3"/>
      <c r="E76" s="31">
        <f>+C76</f>
        <v>3352</v>
      </c>
      <c r="J76" s="30" t="s">
        <v>46</v>
      </c>
      <c r="K76" s="3">
        <v>80</v>
      </c>
      <c r="L76" s="31"/>
      <c r="M76" s="31">
        <f>+L76+K76</f>
        <v>80</v>
      </c>
      <c r="N76" s="31"/>
    </row>
    <row r="77" spans="2:14" ht="39">
      <c r="B77" s="30" t="s">
        <v>47</v>
      </c>
      <c r="C77" s="3">
        <v>1920</v>
      </c>
      <c r="D77" s="3"/>
      <c r="E77" s="31">
        <f>+C77</f>
        <v>1920</v>
      </c>
      <c r="J77" s="30" t="s">
        <v>48</v>
      </c>
      <c r="K77" s="3">
        <v>153</v>
      </c>
      <c r="L77" s="35">
        <f>+F40</f>
        <v>192.696415495205</v>
      </c>
      <c r="M77" s="31">
        <f>+L77+K77</f>
        <v>345.696415495206</v>
      </c>
      <c r="N77" s="31"/>
    </row>
    <row r="78" spans="2:14" ht="52.5">
      <c r="B78" s="30" t="s">
        <v>49</v>
      </c>
      <c r="C78" s="3">
        <v>135</v>
      </c>
      <c r="D78" s="3"/>
      <c r="E78" s="31">
        <f>+C78</f>
        <v>135</v>
      </c>
      <c r="J78" s="33" t="s">
        <v>50</v>
      </c>
      <c r="K78" s="25">
        <v>2660</v>
      </c>
      <c r="L78" s="31"/>
      <c r="M78" s="31">
        <f>+M75-M76-M77</f>
        <v>2290.1662504461801</v>
      </c>
      <c r="N78" s="31"/>
    </row>
    <row r="79" spans="2:14" ht="26.25">
      <c r="B79" s="30" t="s">
        <v>51</v>
      </c>
      <c r="C79" s="3">
        <v>904</v>
      </c>
      <c r="D79" s="35">
        <f>+E52</f>
        <v>3322.3519912966499</v>
      </c>
      <c r="E79" s="31">
        <f>+D79+C79</f>
        <v>4226.3519912966503</v>
      </c>
      <c r="J79" s="30" t="s">
        <v>52</v>
      </c>
      <c r="K79" s="3">
        <v>693</v>
      </c>
      <c r="L79" s="36">
        <f>+-(L77-L75)*0.35</f>
        <v>-129.44181234383601</v>
      </c>
      <c r="M79" s="31">
        <f>+K79+L79</f>
        <v>563.55818765616402</v>
      </c>
      <c r="N79" s="31"/>
    </row>
    <row r="80" spans="2:14" ht="52.5">
      <c r="B80" s="33" t="s">
        <v>53</v>
      </c>
      <c r="C80" s="37" t="s">
        <v>54</v>
      </c>
      <c r="D80" s="29"/>
      <c r="E80" s="29">
        <f>+SUM(E73:E79)</f>
        <v>19053.3519912966</v>
      </c>
      <c r="J80" s="33" t="s">
        <v>55</v>
      </c>
      <c r="K80" s="25">
        <v>1967</v>
      </c>
      <c r="L80" s="31"/>
      <c r="M80" s="31">
        <f>+M78-M79</f>
        <v>1726.6080627900201</v>
      </c>
      <c r="N80" s="31"/>
    </row>
    <row r="81" spans="2:14">
      <c r="J81" s="30"/>
      <c r="K81" s="3"/>
      <c r="L81" s="31"/>
      <c r="M81" s="31"/>
      <c r="N81" s="31"/>
    </row>
    <row r="82" spans="2:14">
      <c r="J82" s="33"/>
      <c r="K82" s="37"/>
      <c r="L82" s="31"/>
      <c r="M82" s="31"/>
      <c r="N82" s="31"/>
    </row>
    <row r="83" spans="2:14">
      <c r="N83" s="31"/>
    </row>
    <row r="84" spans="2:14">
      <c r="N84" s="31"/>
    </row>
    <row r="85" spans="2:14">
      <c r="B85" s="30"/>
      <c r="C85" s="3"/>
      <c r="D85" s="3"/>
      <c r="E85" s="31"/>
      <c r="N85" s="31"/>
    </row>
    <row r="86" spans="2:14" ht="52.5">
      <c r="B86" s="33" t="s">
        <v>56</v>
      </c>
      <c r="C86" s="3"/>
      <c r="D86" s="3"/>
      <c r="E86" s="31"/>
      <c r="J86" s="30"/>
      <c r="K86" s="32"/>
      <c r="L86" s="31"/>
      <c r="M86" s="31"/>
      <c r="N86" s="31"/>
    </row>
    <row r="87" spans="2:14" ht="26.25">
      <c r="B87" s="33" t="s">
        <v>57</v>
      </c>
      <c r="C87" s="3"/>
      <c r="D87" s="3"/>
      <c r="E87" s="31"/>
      <c r="J87" s="30"/>
      <c r="K87" s="32"/>
      <c r="L87" s="31"/>
      <c r="M87" s="31"/>
      <c r="N87" s="31"/>
    </row>
    <row r="88" spans="2:14" ht="39">
      <c r="B88" s="30" t="s">
        <v>58</v>
      </c>
      <c r="C88" s="32" t="s">
        <v>59</v>
      </c>
      <c r="D88" s="32"/>
      <c r="E88" s="31">
        <f>+D88+C88</f>
        <v>11</v>
      </c>
      <c r="K88" s="3"/>
      <c r="L88" s="31"/>
      <c r="M88" s="31"/>
      <c r="N88" s="31"/>
    </row>
    <row r="89" spans="2:14" ht="52.5">
      <c r="B89" s="30" t="s">
        <v>60</v>
      </c>
      <c r="C89" s="3">
        <v>14</v>
      </c>
      <c r="D89" s="31">
        <f>+G40</f>
        <v>261.30358450479503</v>
      </c>
      <c r="E89" s="31">
        <f>+D89+C89</f>
        <v>275.30358450479503</v>
      </c>
      <c r="K89" s="3"/>
      <c r="L89" s="31"/>
      <c r="M89" s="31"/>
      <c r="N89" s="31"/>
    </row>
    <row r="90" spans="2:14" ht="26.25">
      <c r="B90" s="30" t="s">
        <v>61</v>
      </c>
      <c r="C90" s="3">
        <v>1551</v>
      </c>
      <c r="D90" s="3"/>
      <c r="E90" s="31">
        <f>+D90+C90</f>
        <v>1551</v>
      </c>
      <c r="K90" s="3"/>
      <c r="L90" s="31"/>
      <c r="M90" s="31"/>
      <c r="N90" s="31"/>
    </row>
    <row r="91" spans="2:14" ht="26.25">
      <c r="B91" s="30" t="s">
        <v>62</v>
      </c>
      <c r="C91" s="3">
        <v>317</v>
      </c>
      <c r="D91" s="3"/>
      <c r="E91" s="31">
        <f>+D91+C91</f>
        <v>317</v>
      </c>
      <c r="K91" s="3"/>
      <c r="L91" s="31"/>
      <c r="M91" s="31"/>
      <c r="N91" s="31"/>
    </row>
    <row r="92" spans="2:14" ht="26.25">
      <c r="B92" s="30" t="s">
        <v>63</v>
      </c>
      <c r="C92" s="3">
        <v>2111</v>
      </c>
      <c r="D92" s="3"/>
      <c r="E92" s="31">
        <f>+D92+C92</f>
        <v>2111</v>
      </c>
      <c r="K92" s="3"/>
      <c r="L92" s="31"/>
      <c r="M92" s="31"/>
      <c r="N92" s="31"/>
    </row>
    <row r="93" spans="2:14" ht="39">
      <c r="B93" s="33" t="s">
        <v>64</v>
      </c>
      <c r="C93" s="25">
        <v>4004</v>
      </c>
      <c r="D93" s="38">
        <f>SUM(D88:D92)</f>
        <v>261.30358450479503</v>
      </c>
      <c r="E93" s="29">
        <f>SUM(E88:E92)</f>
        <v>4265.3035845047898</v>
      </c>
      <c r="K93" s="3"/>
      <c r="L93" s="31"/>
      <c r="M93" s="31"/>
      <c r="N93" s="31"/>
    </row>
    <row r="94" spans="2:14">
      <c r="B94" s="30"/>
      <c r="C94" s="3"/>
      <c r="D94" s="3"/>
      <c r="E94" s="31"/>
      <c r="K94" s="3"/>
      <c r="L94" s="31"/>
      <c r="M94" s="31"/>
      <c r="N94" s="31"/>
    </row>
    <row r="95" spans="2:14" ht="26.25">
      <c r="B95" s="30" t="s">
        <v>65</v>
      </c>
      <c r="C95" s="3">
        <v>8741</v>
      </c>
      <c r="D95" s="31">
        <f>+E52-D89</f>
        <v>3061.0484067918501</v>
      </c>
      <c r="E95" s="31">
        <f>+C95+D95</f>
        <v>11802.048406791901</v>
      </c>
      <c r="K95" s="3"/>
      <c r="L95" s="31"/>
      <c r="M95" s="31"/>
      <c r="N95" s="31"/>
    </row>
    <row r="96" spans="2:14" ht="26.25">
      <c r="B96" s="30" t="s">
        <v>49</v>
      </c>
      <c r="C96" s="3">
        <v>383</v>
      </c>
      <c r="D96" s="3"/>
      <c r="E96" s="31">
        <f>+C96+D96</f>
        <v>383</v>
      </c>
      <c r="K96" s="3"/>
      <c r="L96" s="31"/>
      <c r="M96" s="31"/>
      <c r="N96" s="31"/>
    </row>
    <row r="97" spans="1:14" ht="26.25">
      <c r="B97" s="30" t="s">
        <v>66</v>
      </c>
      <c r="C97" s="3">
        <v>1797</v>
      </c>
      <c r="D97" s="3"/>
      <c r="E97" s="31">
        <f>+C97+D97</f>
        <v>1797</v>
      </c>
      <c r="K97" s="3"/>
      <c r="L97" s="31"/>
      <c r="M97" s="31"/>
      <c r="N97" s="31"/>
    </row>
    <row r="98" spans="1:14" ht="26.25">
      <c r="B98" s="33" t="s">
        <v>67</v>
      </c>
      <c r="C98" s="25">
        <v>14925</v>
      </c>
      <c r="D98" s="39">
        <f>+SUM(D93:D97)</f>
        <v>3322.3519912966499</v>
      </c>
      <c r="E98" s="34">
        <f>+C98+D98</f>
        <v>18247.3519912966</v>
      </c>
      <c r="K98" s="3"/>
      <c r="L98" s="31"/>
      <c r="M98" s="31"/>
      <c r="N98" s="31"/>
    </row>
    <row r="99" spans="1:14">
      <c r="B99" s="30"/>
      <c r="C99" s="3"/>
      <c r="D99" s="3"/>
      <c r="E99" s="31"/>
      <c r="K99" s="3"/>
      <c r="L99" s="3"/>
      <c r="M99" s="3"/>
    </row>
    <row r="100" spans="1:14">
      <c r="B100" s="30"/>
      <c r="C100" s="3"/>
      <c r="D100" s="3"/>
      <c r="E100" s="31"/>
      <c r="K100" s="3"/>
      <c r="L100" s="3"/>
      <c r="M100" s="3"/>
    </row>
    <row r="101" spans="1:14">
      <c r="B101" s="33"/>
      <c r="C101" s="3"/>
      <c r="D101" s="3"/>
      <c r="E101" s="31"/>
      <c r="K101" s="3"/>
      <c r="L101" s="3"/>
      <c r="M101" s="3"/>
    </row>
    <row r="102" spans="1:14">
      <c r="B102" s="33" t="s">
        <v>68</v>
      </c>
      <c r="C102" s="25">
        <v>806</v>
      </c>
      <c r="D102" s="25"/>
      <c r="E102" s="29">
        <f>+C102</f>
        <v>806</v>
      </c>
    </row>
    <row r="103" spans="1:14">
      <c r="B103" s="30"/>
      <c r="C103" s="3"/>
      <c r="D103" s="3"/>
      <c r="E103" s="31"/>
    </row>
    <row r="104" spans="1:14" ht="39">
      <c r="B104" s="33" t="s">
        <v>69</v>
      </c>
      <c r="C104" s="37" t="s">
        <v>54</v>
      </c>
      <c r="D104" s="37"/>
      <c r="E104" s="29">
        <f>+E102+E98</f>
        <v>19053.3519912966</v>
      </c>
    </row>
    <row r="105" spans="1:14">
      <c r="C105" s="3"/>
      <c r="D105" s="3"/>
      <c r="E105" s="31"/>
    </row>
    <row r="106" spans="1:14">
      <c r="C106" s="3"/>
      <c r="D106" s="3"/>
      <c r="E106" s="31"/>
    </row>
    <row r="107" spans="1:14">
      <c r="A107" s="1" t="s">
        <v>70</v>
      </c>
      <c r="B107" s="40" t="s">
        <v>71</v>
      </c>
      <c r="C107" s="41"/>
      <c r="D107" s="41" t="s">
        <v>72</v>
      </c>
      <c r="E107" s="42" t="s">
        <v>73</v>
      </c>
    </row>
    <row r="108" spans="1:14">
      <c r="B108" s="1" t="s">
        <v>74</v>
      </c>
      <c r="C108" s="3"/>
      <c r="D108" s="43">
        <f>+C73/C93</f>
        <v>1.2769730269730299</v>
      </c>
      <c r="E108" s="43">
        <f>+E73/E93</f>
        <v>1.19874234007041</v>
      </c>
    </row>
    <row r="109" spans="1:14">
      <c r="B109" s="1" t="s">
        <v>75</v>
      </c>
      <c r="C109" s="3"/>
      <c r="D109" s="43">
        <f>(C89+C95)/C102</f>
        <v>10.8622828784119</v>
      </c>
      <c r="E109" s="43">
        <f>(E89+E95)/E102</f>
        <v>14.984307681509501</v>
      </c>
    </row>
    <row r="110" spans="1:14">
      <c r="B110" s="1" t="s">
        <v>76</v>
      </c>
      <c r="C110" s="3"/>
      <c r="D110" s="43">
        <f>+K75/K77</f>
        <v>18.908496732026101</v>
      </c>
      <c r="E110" s="43">
        <f>+M75/M77</f>
        <v>7.8562071928080304</v>
      </c>
    </row>
    <row r="111" spans="1:14">
      <c r="E111" s="31"/>
    </row>
    <row r="112" spans="1:14">
      <c r="B112" s="1" t="s">
        <v>77</v>
      </c>
      <c r="C112" s="3"/>
      <c r="D112" s="3"/>
      <c r="E112" s="31"/>
    </row>
    <row r="113" spans="2:5">
      <c r="B113" s="1" t="s">
        <v>78</v>
      </c>
      <c r="C113" s="3"/>
      <c r="D113" s="3"/>
      <c r="E113" s="31"/>
    </row>
    <row r="114" spans="2:5">
      <c r="C114" s="3"/>
      <c r="D114" s="3"/>
      <c r="E114" s="31"/>
    </row>
    <row r="115" spans="2:5">
      <c r="C115" s="3"/>
      <c r="D115" s="3"/>
      <c r="E115" s="31"/>
    </row>
    <row r="116" spans="2:5">
      <c r="C116" s="3"/>
      <c r="D116" s="3"/>
      <c r="E116" s="31"/>
    </row>
    <row r="117" spans="2:5">
      <c r="C117" s="3"/>
      <c r="D117" s="3"/>
      <c r="E117" s="31"/>
    </row>
    <row r="118" spans="2:5">
      <c r="C118" s="3"/>
      <c r="D118" s="3"/>
      <c r="E118" s="31"/>
    </row>
    <row r="119" spans="2:5">
      <c r="C119" s="3"/>
      <c r="D119" s="3"/>
      <c r="E119" s="31"/>
    </row>
    <row r="120" spans="2:5">
      <c r="C120" s="3"/>
      <c r="D120" s="3"/>
      <c r="E120" s="31"/>
    </row>
    <row r="121" spans="2:5">
      <c r="C121" s="3"/>
      <c r="D121" s="3"/>
      <c r="E121" s="31"/>
    </row>
    <row r="122" spans="2:5">
      <c r="C122" s="3"/>
      <c r="D122" s="3"/>
      <c r="E122" s="31"/>
    </row>
    <row r="123" spans="2:5">
      <c r="C123" s="3"/>
      <c r="D123" s="3"/>
      <c r="E123" s="31"/>
    </row>
    <row r="124" spans="2:5">
      <c r="C124" s="3"/>
      <c r="D124" s="3"/>
      <c r="E124" s="31"/>
    </row>
    <row r="125" spans="2:5">
      <c r="C125" s="3"/>
      <c r="D125" s="3"/>
      <c r="E125" s="31"/>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Marcelo Ortiz M.</dc:creator>
  <cp:keywords/>
  <dc:description/>
  <cp:lastModifiedBy>Marcelo Ortiz</cp:lastModifiedBy>
  <cp:revision>15</cp:revision>
  <dcterms:created xsi:type="dcterms:W3CDTF">2023-08-05T10:18:21Z</dcterms:created>
  <dcterms:modified xsi:type="dcterms:W3CDTF">2023-11-03T11:37:06Z</dcterms:modified>
  <cp:category/>
  <cp:contentStatus/>
</cp:coreProperties>
</file>