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7856\Dropbox\UPF\managerial_accounting\2023-2024\Slides\topic_5_img\"/>
    </mc:Choice>
  </mc:AlternateContent>
  <xr:revisionPtr revIDLastSave="135" documentId="13_ncr:1_{C3E7EC6B-D5CC-4F65-9F4E-F9ECB86D018B}" xr6:coauthVersionLast="47" xr6:coauthVersionMax="47" xr10:uidLastSave="{523D471B-9B9E-4EB4-8F2D-877176349CB3}"/>
  <bookViews>
    <workbookView xWindow="28680" yWindow="-60" windowWidth="29040" windowHeight="15840" xr2:uid="{E5F675D8-EDF3-49A5-AD5E-6EF4E5FFF2A7}"/>
  </bookViews>
  <sheets>
    <sheet name="forecast" sheetId="1" r:id="rId1"/>
    <sheet name="sens_analysis" sheetId="2" r:id="rId2"/>
    <sheet name="scenario" sheetId="3" r:id="rId3"/>
  </sheets>
  <definedNames>
    <definedName name="solver_adj" localSheetId="1" hidden="1">sens_analysis!$F$3,sens_analysis!$F$5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sens_analysis!$F$3</definedName>
    <definedName name="solver_lhs2" localSheetId="1" hidden="1">sens_analysis!$F$5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sens_analysis!$J$36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sens_analysis!$O$35</definedName>
    <definedName name="solver_rhs2" localSheetId="1" hidden="1">sens_analysis!$O$36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3.28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D7" i="1"/>
  <c r="C7" i="1"/>
  <c r="D6" i="1"/>
  <c r="C6" i="1"/>
  <c r="D5" i="1"/>
  <c r="C5" i="1"/>
  <c r="D4" i="1"/>
  <c r="C4" i="1"/>
  <c r="D3" i="1"/>
  <c r="C3" i="1"/>
  <c r="D17" i="1"/>
  <c r="C17" i="1"/>
  <c r="B17" i="1"/>
  <c r="D14" i="1"/>
  <c r="C14" i="1"/>
  <c r="B14" i="1"/>
  <c r="B13" i="1"/>
  <c r="D13" i="1"/>
  <c r="C13" i="1"/>
  <c r="C12" i="1"/>
  <c r="D12" i="1"/>
  <c r="B12" i="1"/>
  <c r="C11" i="1"/>
  <c r="D11" i="1"/>
  <c r="B11" i="1"/>
  <c r="C10" i="1"/>
  <c r="D10" i="1"/>
  <c r="B10" i="1"/>
  <c r="J25" i="2"/>
  <c r="F55" i="3"/>
  <c r="H26" i="3"/>
  <c r="G25" i="3"/>
  <c r="H21" i="3"/>
  <c r="G21" i="3"/>
  <c r="G40" i="3" s="1"/>
  <c r="N15" i="3"/>
  <c r="M15" i="3"/>
  <c r="L15" i="3"/>
  <c r="H51" i="3"/>
  <c r="H56" i="3"/>
  <c r="H55" i="3"/>
  <c r="H43" i="3"/>
  <c r="H38" i="3"/>
  <c r="H25" i="3"/>
  <c r="H41" i="3" s="1"/>
  <c r="H47" i="3"/>
  <c r="H52" i="3" s="1"/>
  <c r="G56" i="3"/>
  <c r="G55" i="3"/>
  <c r="G51" i="3"/>
  <c r="G43" i="3"/>
  <c r="G41" i="3"/>
  <c r="G38" i="3"/>
  <c r="G26" i="3"/>
  <c r="F25" i="3"/>
  <c r="G47" i="3"/>
  <c r="G52" i="3" s="1"/>
  <c r="F56" i="3"/>
  <c r="F51" i="3"/>
  <c r="F47" i="3"/>
  <c r="F52" i="3" s="1"/>
  <c r="F43" i="3"/>
  <c r="F38" i="3"/>
  <c r="F26" i="3"/>
  <c r="F41" i="3"/>
  <c r="F21" i="3"/>
  <c r="J51" i="2"/>
  <c r="J52" i="2" s="1"/>
  <c r="J53" i="2" s="1"/>
  <c r="J49" i="2"/>
  <c r="J48" i="2" s="1"/>
  <c r="J47" i="2" s="1"/>
  <c r="M46" i="2"/>
  <c r="L46" i="2" s="1"/>
  <c r="K46" i="2" s="1"/>
  <c r="O46" i="2"/>
  <c r="P46" i="2" s="1"/>
  <c r="Q46" i="2" s="1"/>
  <c r="J35" i="2"/>
  <c r="F25" i="2"/>
  <c r="F41" i="2" s="1"/>
  <c r="F56" i="2"/>
  <c r="F55" i="2"/>
  <c r="F51" i="2"/>
  <c r="F47" i="2"/>
  <c r="F52" i="2" s="1"/>
  <c r="F43" i="2"/>
  <c r="F38" i="2"/>
  <c r="F26" i="2"/>
  <c r="F21" i="2"/>
  <c r="F48" i="2" s="1"/>
  <c r="F56" i="1"/>
  <c r="F55" i="1"/>
  <c r="F51" i="1"/>
  <c r="F47" i="1"/>
  <c r="F52" i="1" s="1"/>
  <c r="F43" i="1"/>
  <c r="F38" i="1"/>
  <c r="F4" i="1"/>
  <c r="F5" i="1"/>
  <c r="F6" i="1"/>
  <c r="F25" i="1" s="1"/>
  <c r="F41" i="1" s="1"/>
  <c r="F7" i="1"/>
  <c r="F26" i="1" s="1"/>
  <c r="F8" i="1"/>
  <c r="F3" i="1"/>
  <c r="F21" i="1" s="1"/>
  <c r="F17" i="1"/>
  <c r="F16" i="1"/>
  <c r="F15" i="1"/>
  <c r="F14" i="1"/>
  <c r="F13" i="1"/>
  <c r="F12" i="1"/>
  <c r="F11" i="1"/>
  <c r="F10" i="1"/>
  <c r="F48" i="1" l="1"/>
  <c r="F40" i="1"/>
  <c r="F42" i="1" s="1"/>
  <c r="F24" i="1"/>
  <c r="F23" i="1"/>
  <c r="F22" i="1" s="1"/>
  <c r="F48" i="3"/>
  <c r="F40" i="3"/>
  <c r="F42" i="3" s="1"/>
  <c r="F36" i="3"/>
  <c r="F24" i="3"/>
  <c r="F23" i="3"/>
  <c r="F27" i="3" s="1"/>
  <c r="F22" i="3"/>
  <c r="F46" i="3" s="1"/>
  <c r="G42" i="3"/>
  <c r="H40" i="3"/>
  <c r="H36" i="3"/>
  <c r="H24" i="3"/>
  <c r="G23" i="3"/>
  <c r="G48" i="3"/>
  <c r="G36" i="3"/>
  <c r="H42" i="3"/>
  <c r="H48" i="3"/>
  <c r="H23" i="3"/>
  <c r="G24" i="3"/>
  <c r="F28" i="3"/>
  <c r="F49" i="3" s="1"/>
  <c r="F50" i="3" s="1"/>
  <c r="F53" i="3" s="1"/>
  <c r="F37" i="3"/>
  <c r="F36" i="2"/>
  <c r="F23" i="2"/>
  <c r="F22" i="2" s="1"/>
  <c r="F37" i="2" s="1"/>
  <c r="F40" i="2"/>
  <c r="F42" i="2" s="1"/>
  <c r="F24" i="2"/>
  <c r="G27" i="3" l="1"/>
  <c r="G28" i="3" s="1"/>
  <c r="F36" i="1"/>
  <c r="G22" i="3"/>
  <c r="H27" i="3"/>
  <c r="H28" i="3" s="1"/>
  <c r="H49" i="3" s="1"/>
  <c r="H22" i="3"/>
  <c r="G49" i="3"/>
  <c r="F30" i="3"/>
  <c r="F27" i="2"/>
  <c r="F28" i="2" s="1"/>
  <c r="F30" i="2" s="1"/>
  <c r="F46" i="2"/>
  <c r="F27" i="1"/>
  <c r="F57" i="3" l="1"/>
  <c r="F58" i="3" s="1"/>
  <c r="F59" i="3" s="1"/>
  <c r="F35" i="3" s="1"/>
  <c r="F39" i="3" s="1"/>
  <c r="F44" i="3" s="1"/>
  <c r="L16" i="3"/>
  <c r="H46" i="3"/>
  <c r="H37" i="3"/>
  <c r="F28" i="1"/>
  <c r="F49" i="1" s="1"/>
  <c r="F30" i="1"/>
  <c r="G37" i="3"/>
  <c r="G46" i="3"/>
  <c r="H50" i="3"/>
  <c r="H53" i="3" s="1"/>
  <c r="H30" i="3"/>
  <c r="N16" i="3" s="1"/>
  <c r="G50" i="3"/>
  <c r="G53" i="3" s="1"/>
  <c r="G30" i="3"/>
  <c r="M16" i="3" s="1"/>
  <c r="J36" i="2"/>
  <c r="J43" i="2"/>
  <c r="J46" i="2" s="1"/>
  <c r="J26" i="2"/>
  <c r="F57" i="2"/>
  <c r="F58" i="2" s="1"/>
  <c r="F49" i="2"/>
  <c r="F50" i="2" s="1"/>
  <c r="F53" i="2" s="1"/>
  <c r="F46" i="1"/>
  <c r="F50" i="1" s="1"/>
  <c r="F53" i="1" s="1"/>
  <c r="F37" i="1"/>
  <c r="F57" i="1" l="1"/>
  <c r="F58" i="1" s="1"/>
  <c r="F59" i="1" s="1"/>
  <c r="F35" i="1"/>
  <c r="F39" i="1" s="1"/>
  <c r="F44" i="1" s="1"/>
  <c r="G57" i="3"/>
  <c r="G58" i="3" s="1"/>
  <c r="G59" i="3" s="1"/>
  <c r="G35" i="3" s="1"/>
  <c r="G39" i="3" s="1"/>
  <c r="G44" i="3" s="1"/>
  <c r="H57" i="3"/>
  <c r="H58" i="3" s="1"/>
  <c r="H59" i="3" s="1"/>
  <c r="H35" i="3" s="1"/>
  <c r="H39" i="3" s="1"/>
  <c r="H44" i="3" s="1"/>
  <c r="F59" i="2"/>
  <c r="F35" i="2" s="1"/>
  <c r="F39" i="2" s="1"/>
  <c r="F44" i="2" s="1"/>
</calcChain>
</file>

<file path=xl/sharedStrings.xml><?xml version="1.0" encoding="utf-8"?>
<sst xmlns="http://schemas.openxmlformats.org/spreadsheetml/2006/main" count="215" uniqueCount="79">
  <si>
    <t>Selected Ratios (in percent)</t>
  </si>
  <si>
    <t>20X1</t>
  </si>
  <si>
    <t>20X2</t>
  </si>
  <si>
    <t>20X3</t>
  </si>
  <si>
    <t>Assumptions 20X4</t>
  </si>
  <si>
    <t>Sales growth</t>
  </si>
  <si>
    <t>Gross profit margin</t>
  </si>
  <si>
    <t>Selling, general, and administrative expense/Sales</t>
  </si>
  <si>
    <t>Depreciation expense/Gross prior-year PP&amp;E</t>
  </si>
  <si>
    <t>Interest expense/Prior-year long-term debt</t>
  </si>
  <si>
    <t>Income tax expense/Pretax income</t>
  </si>
  <si>
    <t>Accounts receivable turnover rate</t>
  </si>
  <si>
    <t>Inventory turnover rate</t>
  </si>
  <si>
    <t>Accounts payable turnover rate</t>
  </si>
  <si>
    <t>Accrued expenses turnover rate</t>
  </si>
  <si>
    <t>Taxes payable/Tax expense</t>
  </si>
  <si>
    <t>Dividends per share</t>
  </si>
  <si>
    <t>Capital expenditures (CAPEX)—in millions</t>
  </si>
  <si>
    <t>CAPEX/Sales</t>
  </si>
  <si>
    <t>INCOME STATEMENT (in millions)</t>
  </si>
  <si>
    <t>Forecasting Step</t>
  </si>
  <si>
    <t>20X4 Estimate</t>
  </si>
  <si>
    <t>Sales</t>
  </si>
  <si>
    <t>Cost of goods sold</t>
  </si>
  <si>
    <t>Gross profit</t>
  </si>
  <si>
    <t>Selling, general, and administrative expense</t>
  </si>
  <si>
    <t>Depreciation and amortization expense</t>
  </si>
  <si>
    <t>Interest expense</t>
  </si>
  <si>
    <t>Income before tax</t>
  </si>
  <si>
    <t>Income tax expense</t>
  </si>
  <si>
    <t>Income (loss) from special items and discontinued operations</t>
  </si>
  <si>
    <t>Net income</t>
  </si>
  <si>
    <t>Outstanding shares</t>
  </si>
  <si>
    <t>BALANCE SHEET (in millions)</t>
  </si>
  <si>
    <t>Cash</t>
  </si>
  <si>
    <t>Receivables</t>
  </si>
  <si>
    <t>Inventories</t>
  </si>
  <si>
    <t>Other current assets</t>
  </si>
  <si>
    <t>Total current assets</t>
  </si>
  <si>
    <t>Property, plant, and equipment (PP&amp;E)</t>
  </si>
  <si>
    <t>Accumulated depreciation</t>
  </si>
  <si>
    <t>Net property, plant, and equipment</t>
  </si>
  <si>
    <t>Other noncurrent assets</t>
  </si>
  <si>
    <t>Total assets</t>
  </si>
  <si>
    <t>Accounts payable</t>
  </si>
  <si>
    <t>Current portion of long-term debt</t>
  </si>
  <si>
    <t>Accrued expenses</t>
  </si>
  <si>
    <t>Income taxes &amp; other</t>
  </si>
  <si>
    <t>Total current liabilities</t>
  </si>
  <si>
    <t>Deferred income taxes and other liabilities</t>
  </si>
  <si>
    <t>Long-term debt</t>
  </si>
  <si>
    <t>Total liabilities</t>
  </si>
  <si>
    <t>Common stock</t>
  </si>
  <si>
    <t>Additional paid-in capital</t>
  </si>
  <si>
    <t>Retained earnings</t>
  </si>
  <si>
    <t>Shareholders’ equity</t>
  </si>
  <si>
    <t>Total liabilities and equity</t>
  </si>
  <si>
    <t>EPS</t>
  </si>
  <si>
    <t>(now as text not as formulas)</t>
  </si>
  <si>
    <t>Analysis</t>
  </si>
  <si>
    <t>1) How much should increase the sales to keep EPS constant?</t>
  </si>
  <si>
    <t>Data&gt;What-if-Analysis&gt;Goal Seeker</t>
  </si>
  <si>
    <t>EPS 20X3</t>
  </si>
  <si>
    <t>Estimated EPS</t>
  </si>
  <si>
    <t xml:space="preserve">Answer: </t>
  </si>
  <si>
    <t>the sales growth rate should be 45%, very far away from the previous years growth</t>
  </si>
  <si>
    <t>Income (loss) from extraordinary items and discontinued operations</t>
  </si>
  <si>
    <t>2) How much should the sales grow and SGA decrease to keep EPS constant?</t>
  </si>
  <si>
    <t>File&gt;Options&gt;Add-in&gt; Solver</t>
  </si>
  <si>
    <t>Constraints</t>
  </si>
  <si>
    <t>sales should growth 11.75% and SGA reduced to be a 19.4% ofsales</t>
  </si>
  <si>
    <t>3) How sensible is the forecasted EPS to sales and SGA assumptions?</t>
  </si>
  <si>
    <t>Other assets</t>
  </si>
  <si>
    <t>SGA/Sales</t>
  </si>
  <si>
    <t xml:space="preserve"> Base Estimate</t>
  </si>
  <si>
    <t>Optimistic Estimate</t>
  </si>
  <si>
    <t>Pesimist Estimate</t>
  </si>
  <si>
    <t>Base Estimate</t>
  </si>
  <si>
    <t>Pessimist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</si>
</sst>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164" fontId="3" fillId="0" borderId="0" xfId="0" applyNumberFormat="1" applyFont="1" applyAlignment="1">
      <alignment horizontal="right"/>
    </xf>
    <xf numFmtId="3" fontId="0" fillId="0" borderId="0" xfId="0" applyNumberFormat="1"/>
    <xf numFmtId="0" fontId="3" fillId="0" borderId="1" xfId="0" applyFont="1" applyBorder="1"/>
    <xf numFmtId="0" fontId="0" fillId="0" borderId="1" xfId="0" applyFont="1" applyBorder="1"/>
    <xf numFmtId="0" fontId="3" fillId="0" borderId="2" xfId="0" applyFont="1" applyBorder="1"/>
    <xf numFmtId="0" fontId="0" fillId="0" borderId="1" xfId="0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0" fontId="0" fillId="0" borderId="1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0" fontId="2" fillId="2" borderId="1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/>
    <xf numFmtId="9" fontId="0" fillId="0" borderId="0" xfId="0" applyNumberFormat="1"/>
    <xf numFmtId="10" fontId="2" fillId="4" borderId="0" xfId="0" applyNumberFormat="1" applyFont="1" applyFill="1" applyAlignment="1">
      <alignment horizontal="right"/>
    </xf>
    <xf numFmtId="0" fontId="0" fillId="2" borderId="0" xfId="0" applyFill="1" applyAlignment="1">
      <alignment horizontal="center" textRotation="90" wrapText="1"/>
    </xf>
    <xf numFmtId="0" fontId="0" fillId="2" borderId="0" xfId="0" applyFill="1" applyAlignment="1">
      <alignment horizontal="center" textRotation="90"/>
    </xf>
    <xf numFmtId="0" fontId="0" fillId="2" borderId="1" xfId="0" applyFill="1" applyBorder="1"/>
    <xf numFmtId="164" fontId="0" fillId="2" borderId="1" xfId="0" applyNumberFormat="1" applyFill="1" applyBorder="1"/>
    <xf numFmtId="165" fontId="5" fillId="5" borderId="0" xfId="0" applyNumberFormat="1" applyFont="1" applyFill="1"/>
    <xf numFmtId="10" fontId="5" fillId="0" borderId="1" xfId="0" applyNumberFormat="1" applyFont="1" applyBorder="1"/>
    <xf numFmtId="0" fontId="5" fillId="0" borderId="0" xfId="0" applyFont="1"/>
    <xf numFmtId="167" fontId="5" fillId="0" borderId="3" xfId="2" applyNumberFormat="1" applyFont="1" applyBorder="1"/>
    <xf numFmtId="166" fontId="5" fillId="0" borderId="0" xfId="1" applyFont="1"/>
    <xf numFmtId="167" fontId="5" fillId="4" borderId="3" xfId="2" applyNumberFormat="1" applyFont="1" applyFill="1" applyBorder="1"/>
    <xf numFmtId="10" fontId="5" fillId="4" borderId="1" xfId="0" applyNumberFormat="1" applyFont="1" applyFill="1" applyBorder="1"/>
    <xf numFmtId="166" fontId="5" fillId="4" borderId="0" xfId="1" applyFont="1" applyFill="1"/>
    <xf numFmtId="166" fontId="5" fillId="6" borderId="0" xfId="1" applyFont="1" applyFill="1"/>
    <xf numFmtId="166" fontId="5" fillId="7" borderId="0" xfId="1" applyFont="1" applyFill="1"/>
    <xf numFmtId="0" fontId="0" fillId="8" borderId="0" xfId="0" applyFill="1"/>
    <xf numFmtId="0" fontId="0" fillId="0" borderId="4" xfId="0" applyBorder="1"/>
    <xf numFmtId="165" fontId="0" fillId="0" borderId="5" xfId="0" applyNumberFormat="1" applyBorder="1"/>
    <xf numFmtId="0" fontId="0" fillId="0" borderId="6" xfId="0" applyBorder="1"/>
    <xf numFmtId="165" fontId="0" fillId="0" borderId="7" xfId="0" applyNumberFormat="1" applyBorder="1"/>
    <xf numFmtId="0" fontId="0" fillId="0" borderId="8" xfId="0" applyBorder="1"/>
    <xf numFmtId="165" fontId="0" fillId="0" borderId="9" xfId="0" applyNumberFormat="1" applyBorder="1"/>
    <xf numFmtId="164" fontId="2" fillId="4" borderId="0" xfId="0" applyNumberFormat="1" applyFont="1" applyFill="1" applyAlignment="1">
      <alignment horizontal="right"/>
    </xf>
    <xf numFmtId="165" fontId="0" fillId="0" borderId="1" xfId="0" applyNumberFormat="1" applyBorder="1"/>
    <xf numFmtId="0" fontId="0" fillId="2" borderId="10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/>
    <xf numFmtId="0" fontId="3" fillId="3" borderId="0" xfId="0" applyFont="1" applyFill="1" applyAlignment="1">
      <alignment horizontal="left"/>
    </xf>
    <xf numFmtId="0" fontId="3" fillId="2" borderId="0" xfId="0" applyFont="1" applyFill="1"/>
    <xf numFmtId="0" fontId="6" fillId="0" borderId="0" xfId="0" applyFont="1"/>
    <xf numFmtId="0" fontId="4" fillId="2" borderId="1" xfId="0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2" fontId="8" fillId="2" borderId="0" xfId="0" applyNumberFormat="1" applyFont="1" applyFill="1" applyAlignment="1">
      <alignment horizontal="right"/>
    </xf>
    <xf numFmtId="0" fontId="7" fillId="0" borderId="11" xfId="0" applyFont="1" applyBorder="1"/>
    <xf numFmtId="164" fontId="3" fillId="0" borderId="11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right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598170</xdr:colOff>
      <xdr:row>3</xdr:row>
      <xdr:rowOff>354330</xdr:rowOff>
    </xdr:from>
    <xdr:to>
      <xdr:col>17</xdr:col>
      <xdr:colOff>510540</xdr:colOff>
      <xdr:row>12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EDA052-D8A2-0FBC-238A-AD590AA9970A}"/>
            </a:ext>
          </a:extLst>
        </xdr:cNvPr>
        <xdr:cNvSpPr txBox="1"/>
      </xdr:nvSpPr>
      <xdr:spPr>
        <a:xfrm>
          <a:off x="11580495" y="354330"/>
          <a:ext cx="4789170" cy="1503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</a:t>
          </a:r>
          <a:r>
            <a:rPr lang="en-US" sz="1100" baseline="0"/>
            <a:t> estimate: same ratios than previous year</a:t>
          </a:r>
        </a:p>
        <a:p>
          <a:endParaRPr lang="en-US" sz="1100" baseline="0"/>
        </a:p>
        <a:p>
          <a:r>
            <a:rPr lang="en-US" sz="1100" baseline="0"/>
            <a:t>Optimistic estimate: sales growth increase to 18% with a modest increase of SGA up to 23% of sales.</a:t>
          </a:r>
        </a:p>
        <a:p>
          <a:endParaRPr lang="en-US" sz="1100"/>
        </a:p>
        <a:p>
          <a:r>
            <a:rPr lang="en-US" sz="1100"/>
            <a:t>Pessimistic estimate: extraordinary</a:t>
          </a:r>
          <a:r>
            <a:rPr lang="en-US" sz="1100" baseline="0"/>
            <a:t> loss of $200, sales growth decline to 9% and the company cannot control SGA expenses, increasing to 24% of sales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305B2E-A7D6-48CD-813A-90BE7BA96531}">
  <we:reference id="f53bac05-48fe-4cc3-97fd-89712d4c6174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1799-9F62-40B3-9F0B-B9B67F42D940}">
  <dimension ref="A1:M78"/>
  <sheetViews>
    <sheetView showGridLines="0" tabSelected="1" workbookViewId="0">
      <selection activeCell="F17" sqref="F17"/>
    </sheetView>
  </sheetViews>
  <sheetFormatPr defaultRowHeight="14.45"/>
  <cols>
    <col min="1" max="1" width="61.28515625" bestFit="1" customWidth="1"/>
    <col min="2" max="2" width="14.85546875" style="3" bestFit="1" customWidth="1"/>
    <col min="3" max="4" width="12.28515625" style="3" bestFit="1" customWidth="1"/>
    <col min="5" max="5" width="10.7109375" style="23" customWidth="1"/>
    <col min="6" max="6" width="13.28515625" style="35" bestFit="1" customWidth="1"/>
  </cols>
  <sheetData>
    <row r="1" spans="1:12" ht="15"/>
    <row r="2" spans="1:12" ht="15">
      <c r="A2" s="15" t="s">
        <v>0</v>
      </c>
      <c r="B2" s="12" t="s">
        <v>1</v>
      </c>
      <c r="C2" s="12" t="s">
        <v>2</v>
      </c>
      <c r="D2" s="12" t="s">
        <v>3</v>
      </c>
      <c r="E2" s="27"/>
      <c r="F2" s="76" t="s">
        <v>4</v>
      </c>
    </row>
    <row r="3" spans="1:12">
      <c r="A3" t="s">
        <v>5</v>
      </c>
      <c r="B3" s="5"/>
      <c r="C3" s="6">
        <f>+C21/B21-1</f>
        <v>0.12336273723603308</v>
      </c>
      <c r="D3" s="6">
        <f>+D21/C21-1</f>
        <v>0.11455086258179659</v>
      </c>
      <c r="F3" s="37">
        <f>+D3</f>
        <v>0.11455086258179659</v>
      </c>
    </row>
    <row r="4" spans="1:12">
      <c r="A4" t="s">
        <v>6</v>
      </c>
      <c r="B4" s="5"/>
      <c r="C4" s="6">
        <f>+C23/C21</f>
        <v>0.32447352766210591</v>
      </c>
      <c r="D4" s="6">
        <f>+D23/D21</f>
        <v>0.32865774247955765</v>
      </c>
      <c r="F4" s="37">
        <f t="shared" ref="F4:F8" si="0">+D4</f>
        <v>0.32865774247955765</v>
      </c>
    </row>
    <row r="5" spans="1:12">
      <c r="A5" t="s">
        <v>7</v>
      </c>
      <c r="B5" s="5"/>
      <c r="C5" s="6">
        <f>+C24/C21</f>
        <v>0.22317668054729328</v>
      </c>
      <c r="D5" s="6">
        <f>+D24/D21</f>
        <v>0.22489805503960375</v>
      </c>
      <c r="F5" s="37">
        <f t="shared" si="0"/>
        <v>0.22489805503960375</v>
      </c>
    </row>
    <row r="6" spans="1:12">
      <c r="A6" t="s">
        <v>8</v>
      </c>
      <c r="B6" s="5"/>
      <c r="C6" s="6">
        <f>+C25/B40</f>
        <v>5.2445548337791366E-2</v>
      </c>
      <c r="D6" s="6">
        <f>+D25/C40</f>
        <v>6.3329979879275661E-2</v>
      </c>
      <c r="F6" s="37">
        <f t="shared" si="0"/>
        <v>6.3329979879275661E-2</v>
      </c>
    </row>
    <row r="7" spans="1:12">
      <c r="A7" t="s">
        <v>9</v>
      </c>
      <c r="B7" s="5"/>
      <c r="C7" s="6">
        <f>+C26/(B52+B47)</f>
        <v>4.9816324702087626E-2</v>
      </c>
      <c r="D7" s="6">
        <f>+D26/(C52+C47)</f>
        <v>5.1733526955890362E-2</v>
      </c>
      <c r="F7" s="37">
        <f t="shared" si="0"/>
        <v>5.1733526955890362E-2</v>
      </c>
    </row>
    <row r="8" spans="1:12">
      <c r="A8" t="s">
        <v>10</v>
      </c>
      <c r="B8" s="5"/>
      <c r="C8" s="6">
        <f>+C28/C27</f>
        <v>0.3780253553592009</v>
      </c>
      <c r="D8" s="6">
        <f>+D28/D27</f>
        <v>0.37809303860112176</v>
      </c>
      <c r="F8" s="37">
        <f t="shared" si="0"/>
        <v>0.37809303860112176</v>
      </c>
    </row>
    <row r="9" spans="1:12">
      <c r="B9" s="5"/>
      <c r="C9" s="6"/>
      <c r="D9" s="6"/>
      <c r="F9" s="37"/>
    </row>
    <row r="10" spans="1:12">
      <c r="A10" t="s">
        <v>11</v>
      </c>
      <c r="B10" s="77">
        <f>+B21/B36</f>
        <v>6.7223719676549862</v>
      </c>
      <c r="C10" s="77">
        <f t="shared" ref="C10:D10" si="1">+C21/C36</f>
        <v>9.0943518718892022</v>
      </c>
      <c r="D10" s="77">
        <f t="shared" si="1"/>
        <v>9.2402840797001389</v>
      </c>
      <c r="E10" s="78"/>
      <c r="F10" s="79">
        <f>+D10</f>
        <v>9.2402840797001389</v>
      </c>
    </row>
    <row r="11" spans="1:12">
      <c r="A11" t="s">
        <v>12</v>
      </c>
      <c r="B11" s="77">
        <f>+B22/B37</f>
        <v>5.3567226890756299</v>
      </c>
      <c r="C11" s="77">
        <f t="shared" ref="C11:D11" si="2">+C22/C37</f>
        <v>6.265504303685721</v>
      </c>
      <c r="D11" s="77">
        <f t="shared" si="2"/>
        <v>5.8404531946508174</v>
      </c>
      <c r="E11" s="78"/>
      <c r="F11" s="79">
        <f t="shared" ref="F11:F17" si="3">+D11</f>
        <v>5.8404531946508174</v>
      </c>
    </row>
    <row r="12" spans="1:12">
      <c r="A12" t="s">
        <v>13</v>
      </c>
      <c r="B12" s="77">
        <f>+B22/B46</f>
        <v>5.4436379163108457</v>
      </c>
      <c r="C12" s="77">
        <f t="shared" ref="C12:D12" si="4">+C22/C46</f>
        <v>5.728208232445521</v>
      </c>
      <c r="D12" s="77">
        <f t="shared" si="4"/>
        <v>5.4412528119051737</v>
      </c>
      <c r="E12" s="78"/>
      <c r="F12" s="79">
        <f t="shared" si="3"/>
        <v>5.4412528119051737</v>
      </c>
    </row>
    <row r="13" spans="1:12">
      <c r="A13" t="s">
        <v>14</v>
      </c>
      <c r="B13" s="77">
        <f>+B21/B48</f>
        <v>24.21359223300971</v>
      </c>
      <c r="C13" s="77">
        <f t="shared" ref="C13:D13" si="5">+C21/C48</f>
        <v>32.628105590062113</v>
      </c>
      <c r="D13" s="77">
        <f t="shared" si="5"/>
        <v>28.682792406613594</v>
      </c>
      <c r="E13" s="78"/>
      <c r="F13" s="79">
        <f t="shared" si="3"/>
        <v>28.682792406613594</v>
      </c>
    </row>
    <row r="14" spans="1:12">
      <c r="A14" t="s">
        <v>15</v>
      </c>
      <c r="B14" s="77">
        <f>+B49/B28</f>
        <v>0.37485311398354876</v>
      </c>
      <c r="C14" s="77">
        <f t="shared" ref="C14:D14" si="6">+C49/C28</f>
        <v>1.2266260162601625</v>
      </c>
      <c r="D14" s="77">
        <f t="shared" si="6"/>
        <v>0.26527050610820246</v>
      </c>
      <c r="E14" s="78"/>
      <c r="F14" s="79">
        <f t="shared" si="3"/>
        <v>0.26527050610820246</v>
      </c>
      <c r="K14" s="2"/>
      <c r="L14" s="2"/>
    </row>
    <row r="15" spans="1:12">
      <c r="A15" t="s">
        <v>16</v>
      </c>
      <c r="B15" s="20">
        <v>0.24</v>
      </c>
      <c r="C15" s="20">
        <v>0.26</v>
      </c>
      <c r="D15" s="20">
        <v>0.31</v>
      </c>
      <c r="E15" s="26"/>
      <c r="F15" s="38">
        <f t="shared" si="3"/>
        <v>0.31</v>
      </c>
      <c r="K15" s="19"/>
      <c r="L15" s="19"/>
    </row>
    <row r="16" spans="1:12">
      <c r="A16" t="s">
        <v>17</v>
      </c>
      <c r="B16" s="4">
        <v>3189</v>
      </c>
      <c r="C16" s="4">
        <v>2671</v>
      </c>
      <c r="D16" s="4">
        <v>3012</v>
      </c>
      <c r="E16" s="26"/>
      <c r="F16" s="30">
        <f t="shared" si="3"/>
        <v>3012</v>
      </c>
      <c r="K16" s="1"/>
      <c r="L16" s="1"/>
    </row>
    <row r="17" spans="1:12">
      <c r="A17" s="7" t="s">
        <v>18</v>
      </c>
      <c r="B17" s="21">
        <f>+B16/B21</f>
        <v>8.5244587008821177E-2</v>
      </c>
      <c r="C17" s="21">
        <f>+C16/C21</f>
        <v>6.3557406305770378E-2</v>
      </c>
      <c r="D17" s="21">
        <f>+D16/D21</f>
        <v>6.4305386536860312E-2</v>
      </c>
      <c r="E17" s="28"/>
      <c r="F17" s="39">
        <f t="shared" si="3"/>
        <v>6.4305386536860312E-2</v>
      </c>
      <c r="K17" s="2"/>
      <c r="L17" s="2"/>
    </row>
    <row r="18" spans="1:12" ht="15"/>
    <row r="19" spans="1:12" ht="15"/>
    <row r="20" spans="1:12" ht="30.75">
      <c r="A20" s="15" t="s">
        <v>19</v>
      </c>
      <c r="B20" s="12" t="s">
        <v>1</v>
      </c>
      <c r="C20" s="12" t="s">
        <v>2</v>
      </c>
      <c r="D20" s="12" t="s">
        <v>3</v>
      </c>
      <c r="E20" s="22" t="s">
        <v>20</v>
      </c>
      <c r="F20" s="29" t="s">
        <v>21</v>
      </c>
    </row>
    <row r="21" spans="1:12">
      <c r="A21" t="s">
        <v>22</v>
      </c>
      <c r="B21" s="4">
        <v>37410</v>
      </c>
      <c r="C21" s="4">
        <v>42025</v>
      </c>
      <c r="D21" s="4">
        <v>46839</v>
      </c>
      <c r="E21" s="23">
        <v>1</v>
      </c>
      <c r="F21" s="30">
        <f>D21*(1+F3)</f>
        <v>52204.447852468773</v>
      </c>
    </row>
    <row r="22" spans="1:12">
      <c r="A22" s="7" t="s">
        <v>23</v>
      </c>
      <c r="B22" s="8">
        <v>25498</v>
      </c>
      <c r="C22" s="8">
        <v>28389</v>
      </c>
      <c r="D22" s="8">
        <v>31445</v>
      </c>
      <c r="E22" s="24">
        <v>3</v>
      </c>
      <c r="F22" s="31">
        <f>F21-F23</f>
        <v>35047.051873884593</v>
      </c>
    </row>
    <row r="23" spans="1:12">
      <c r="A23" s="9" t="s">
        <v>24</v>
      </c>
      <c r="B23" s="10">
        <v>11912</v>
      </c>
      <c r="C23" s="10">
        <v>13636</v>
      </c>
      <c r="D23" s="10">
        <v>15394</v>
      </c>
      <c r="E23" s="24">
        <v>2</v>
      </c>
      <c r="F23" s="32">
        <f>F21*F4</f>
        <v>17157.39597858418</v>
      </c>
    </row>
    <row r="24" spans="1:12">
      <c r="A24" s="9" t="s">
        <v>25</v>
      </c>
      <c r="B24" s="10">
        <v>8134</v>
      </c>
      <c r="C24" s="10">
        <v>9379</v>
      </c>
      <c r="D24" s="10">
        <v>10534</v>
      </c>
      <c r="E24" s="24">
        <v>4</v>
      </c>
      <c r="F24" s="32">
        <f>F21*F5</f>
        <v>11740.678786436645</v>
      </c>
    </row>
    <row r="25" spans="1:12">
      <c r="A25" s="9" t="s">
        <v>26</v>
      </c>
      <c r="B25" s="10">
        <v>967</v>
      </c>
      <c r="C25" s="10">
        <v>1098</v>
      </c>
      <c r="D25" s="10">
        <v>1259</v>
      </c>
      <c r="E25" s="23">
        <v>5</v>
      </c>
      <c r="F25" s="30">
        <f>D40*F6</f>
        <v>1410.4853118712276</v>
      </c>
    </row>
    <row r="26" spans="1:12">
      <c r="A26" s="7" t="s">
        <v>27</v>
      </c>
      <c r="B26" s="8">
        <v>584</v>
      </c>
      <c r="C26" s="8">
        <v>556</v>
      </c>
      <c r="D26" s="8">
        <v>570</v>
      </c>
      <c r="E26" s="23">
        <v>6</v>
      </c>
      <c r="F26" s="31">
        <f>F7*(D47+D52)</f>
        <v>493.43438010528229</v>
      </c>
      <c r="H26" s="14"/>
    </row>
    <row r="27" spans="1:12">
      <c r="A27" t="s">
        <v>28</v>
      </c>
      <c r="B27" s="4">
        <v>2227</v>
      </c>
      <c r="C27" s="4">
        <v>2603</v>
      </c>
      <c r="D27" s="4">
        <v>3031</v>
      </c>
      <c r="E27" s="23">
        <v>7</v>
      </c>
      <c r="F27" s="30">
        <f>+F23-F24-F25-F26</f>
        <v>3512.7975001710247</v>
      </c>
    </row>
    <row r="28" spans="1:12">
      <c r="A28" s="7" t="s">
        <v>29</v>
      </c>
      <c r="B28" s="8">
        <v>851</v>
      </c>
      <c r="C28" s="8">
        <v>984</v>
      </c>
      <c r="D28" s="8">
        <v>1146</v>
      </c>
      <c r="E28" s="23">
        <v>8</v>
      </c>
      <c r="F28" s="31">
        <f>+F27*F8</f>
        <v>1328.1642808300871</v>
      </c>
    </row>
    <row r="29" spans="1:12">
      <c r="A29" t="s">
        <v>30</v>
      </c>
      <c r="B29" s="4">
        <v>247</v>
      </c>
      <c r="C29" s="4">
        <v>190</v>
      </c>
      <c r="D29" s="4">
        <v>1313</v>
      </c>
      <c r="E29" s="23">
        <v>9</v>
      </c>
      <c r="F29" s="30">
        <v>0</v>
      </c>
    </row>
    <row r="30" spans="1:12">
      <c r="A30" s="11" t="s">
        <v>31</v>
      </c>
      <c r="B30" s="13">
        <v>1623</v>
      </c>
      <c r="C30" s="13">
        <v>1809</v>
      </c>
      <c r="D30" s="13">
        <v>3198</v>
      </c>
      <c r="E30" s="25">
        <v>10</v>
      </c>
      <c r="F30" s="33">
        <f>+F27-F28</f>
        <v>2184.6332193409376</v>
      </c>
    </row>
    <row r="31" spans="1:12">
      <c r="A31" t="s">
        <v>32</v>
      </c>
      <c r="B31" s="5">
        <v>910</v>
      </c>
      <c r="C31" s="5">
        <v>912</v>
      </c>
      <c r="D31" s="5">
        <v>891</v>
      </c>
      <c r="F31" s="34">
        <v>891</v>
      </c>
    </row>
    <row r="34" spans="1:13" ht="30.75">
      <c r="A34" s="15" t="s">
        <v>33</v>
      </c>
      <c r="B34" s="12" t="s">
        <v>1</v>
      </c>
      <c r="C34" s="12" t="s">
        <v>2</v>
      </c>
      <c r="D34" s="12" t="s">
        <v>3</v>
      </c>
      <c r="E34" s="22" t="s">
        <v>20</v>
      </c>
      <c r="F34" s="29" t="s">
        <v>21</v>
      </c>
    </row>
    <row r="35" spans="1:13">
      <c r="A35" t="s">
        <v>34</v>
      </c>
      <c r="B35" s="4">
        <v>758</v>
      </c>
      <c r="C35" s="4">
        <v>708</v>
      </c>
      <c r="D35" s="4">
        <v>2245</v>
      </c>
      <c r="E35" s="23">
        <v>17</v>
      </c>
      <c r="F35" s="30">
        <f>+F59-F36-F37-F38-F42-F43</f>
        <v>1402.854970975186</v>
      </c>
      <c r="L35" s="1"/>
      <c r="M35" s="1"/>
    </row>
    <row r="36" spans="1:13">
      <c r="A36" t="s">
        <v>35</v>
      </c>
      <c r="B36" s="4">
        <v>5565</v>
      </c>
      <c r="C36" s="4">
        <v>4621</v>
      </c>
      <c r="D36" s="4">
        <v>5069</v>
      </c>
      <c r="E36" s="23">
        <v>1</v>
      </c>
      <c r="F36" s="30">
        <f>F21/F10</f>
        <v>5649.6583224271271</v>
      </c>
      <c r="L36" s="1"/>
      <c r="M36" s="1"/>
    </row>
    <row r="37" spans="1:13">
      <c r="A37" t="s">
        <v>36</v>
      </c>
      <c r="B37" s="4">
        <v>4760</v>
      </c>
      <c r="C37" s="4">
        <v>4531</v>
      </c>
      <c r="D37" s="4">
        <v>5384</v>
      </c>
      <c r="E37" s="23">
        <v>2</v>
      </c>
      <c r="F37" s="30">
        <f>F22/F11</f>
        <v>6000.7418441403925</v>
      </c>
      <c r="L37" s="1"/>
      <c r="M37" s="1"/>
    </row>
    <row r="38" spans="1:13">
      <c r="A38" s="7" t="s">
        <v>37</v>
      </c>
      <c r="B38" s="8">
        <v>852</v>
      </c>
      <c r="C38" s="8">
        <v>3092</v>
      </c>
      <c r="D38" s="8">
        <v>1224</v>
      </c>
      <c r="E38" s="23">
        <v>3</v>
      </c>
      <c r="F38" s="31">
        <f>D38</f>
        <v>1224</v>
      </c>
      <c r="L38" s="1"/>
      <c r="M38" s="1"/>
    </row>
    <row r="39" spans="1:13">
      <c r="A39" s="11" t="s">
        <v>38</v>
      </c>
      <c r="B39" s="13">
        <v>11935</v>
      </c>
      <c r="C39" s="13">
        <v>12952</v>
      </c>
      <c r="D39" s="13">
        <v>13922</v>
      </c>
      <c r="F39" s="33">
        <f>SUM(F35:F38)</f>
        <v>14277.255137542707</v>
      </c>
      <c r="L39" s="1"/>
      <c r="M39" s="1"/>
    </row>
    <row r="40" spans="1:13">
      <c r="A40" t="s">
        <v>39</v>
      </c>
      <c r="B40" s="4">
        <v>20936</v>
      </c>
      <c r="C40" s="4">
        <v>19880</v>
      </c>
      <c r="D40" s="4">
        <v>22272</v>
      </c>
      <c r="E40" s="23">
        <v>4</v>
      </c>
      <c r="F40" s="30">
        <f>D40+(F21*F17)</f>
        <v>25629.027198096373</v>
      </c>
      <c r="L40" s="1"/>
      <c r="M40" s="1"/>
    </row>
    <row r="41" spans="1:13">
      <c r="A41" t="s">
        <v>40</v>
      </c>
      <c r="B41" s="4">
        <v>5629</v>
      </c>
      <c r="C41" s="4">
        <v>4727</v>
      </c>
      <c r="D41" s="4">
        <v>5412</v>
      </c>
      <c r="E41" s="23">
        <v>5</v>
      </c>
      <c r="F41" s="30">
        <f>+D41+F25</f>
        <v>6822.4853118712272</v>
      </c>
      <c r="L41" s="1"/>
      <c r="M41" s="1"/>
    </row>
    <row r="42" spans="1:13">
      <c r="A42" t="s">
        <v>41</v>
      </c>
      <c r="B42" s="4">
        <v>15307</v>
      </c>
      <c r="C42" s="4">
        <v>15153</v>
      </c>
      <c r="D42" s="4">
        <v>16860</v>
      </c>
      <c r="E42" s="23">
        <v>6</v>
      </c>
      <c r="F42" s="30">
        <f>+F40-F41</f>
        <v>18806.541886225146</v>
      </c>
      <c r="L42" s="1"/>
      <c r="M42" s="1"/>
    </row>
    <row r="43" spans="1:13">
      <c r="A43" s="7" t="s">
        <v>42</v>
      </c>
      <c r="B43" s="8">
        <v>1361</v>
      </c>
      <c r="C43" s="8">
        <v>3311</v>
      </c>
      <c r="D43" s="8">
        <v>1511</v>
      </c>
      <c r="E43" s="23">
        <v>7</v>
      </c>
      <c r="F43" s="31">
        <f>D43</f>
        <v>1511</v>
      </c>
      <c r="L43" s="1"/>
      <c r="M43" s="1"/>
    </row>
    <row r="44" spans="1:13">
      <c r="A44" s="11" t="s">
        <v>43</v>
      </c>
      <c r="B44" s="13">
        <v>28603</v>
      </c>
      <c r="C44" s="13">
        <v>31416</v>
      </c>
      <c r="D44" s="13">
        <v>32293</v>
      </c>
      <c r="F44" s="33">
        <f>F39+F42+F43</f>
        <v>34594.797023767853</v>
      </c>
      <c r="L44" s="1"/>
      <c r="M44" s="1"/>
    </row>
    <row r="45" spans="1:13">
      <c r="B45" s="5"/>
      <c r="C45" s="5"/>
      <c r="D45" s="5"/>
      <c r="F45" s="34"/>
    </row>
    <row r="46" spans="1:13">
      <c r="A46" t="s">
        <v>44</v>
      </c>
      <c r="B46" s="4">
        <v>4684</v>
      </c>
      <c r="C46" s="4">
        <v>4956</v>
      </c>
      <c r="D46" s="4">
        <v>5779</v>
      </c>
      <c r="E46" s="23">
        <v>8</v>
      </c>
      <c r="F46" s="30">
        <f>F22/F12</f>
        <v>6440.9894348602029</v>
      </c>
      <c r="L46" s="1"/>
      <c r="M46" s="1"/>
    </row>
    <row r="47" spans="1:13">
      <c r="A47" t="s">
        <v>45</v>
      </c>
      <c r="B47" s="4">
        <v>975</v>
      </c>
      <c r="C47" s="4">
        <v>863</v>
      </c>
      <c r="D47" s="4">
        <v>504</v>
      </c>
      <c r="E47" s="23">
        <v>9</v>
      </c>
      <c r="F47" s="30">
        <f>751</f>
        <v>751</v>
      </c>
      <c r="L47" s="1"/>
      <c r="M47" s="1"/>
    </row>
    <row r="48" spans="1:13">
      <c r="A48" t="s">
        <v>46</v>
      </c>
      <c r="B48" s="4">
        <v>1545</v>
      </c>
      <c r="C48" s="4">
        <v>1288</v>
      </c>
      <c r="D48" s="4">
        <v>1633</v>
      </c>
      <c r="E48" s="23">
        <v>10</v>
      </c>
      <c r="F48" s="30">
        <f>+F21/F13</f>
        <v>1820.0615585960741</v>
      </c>
      <c r="L48" s="1"/>
      <c r="M48" s="1"/>
    </row>
    <row r="49" spans="1:13">
      <c r="A49" s="7" t="s">
        <v>47</v>
      </c>
      <c r="B49" s="8">
        <v>319</v>
      </c>
      <c r="C49" s="8">
        <v>1207</v>
      </c>
      <c r="D49" s="8">
        <v>304</v>
      </c>
      <c r="E49" s="23">
        <v>11</v>
      </c>
      <c r="F49" s="31">
        <f>F28*F14</f>
        <v>352.32281097063395</v>
      </c>
      <c r="L49" s="1"/>
      <c r="M49" s="1"/>
    </row>
    <row r="50" spans="1:13">
      <c r="A50" s="11" t="s">
        <v>48</v>
      </c>
      <c r="B50" s="13">
        <v>7523</v>
      </c>
      <c r="C50" s="13">
        <v>8314</v>
      </c>
      <c r="D50" s="13">
        <v>8220</v>
      </c>
      <c r="F50" s="33">
        <f>SUM(F46:F49)</f>
        <v>9364.3738044269103</v>
      </c>
      <c r="L50" s="1"/>
      <c r="M50" s="1"/>
    </row>
    <row r="51" spans="1:13">
      <c r="A51" t="s">
        <v>49</v>
      </c>
      <c r="B51" s="4">
        <v>1451</v>
      </c>
      <c r="C51" s="4">
        <v>1815</v>
      </c>
      <c r="D51" s="4">
        <v>2010</v>
      </c>
      <c r="E51" s="23">
        <v>12</v>
      </c>
      <c r="F51" s="30">
        <f>D51</f>
        <v>2010</v>
      </c>
      <c r="L51" s="1"/>
      <c r="M51" s="1"/>
    </row>
    <row r="52" spans="1:13">
      <c r="A52" s="7" t="s">
        <v>50</v>
      </c>
      <c r="B52" s="8">
        <v>10186</v>
      </c>
      <c r="C52" s="8">
        <v>10155</v>
      </c>
      <c r="D52" s="8">
        <v>9034</v>
      </c>
      <c r="E52" s="23">
        <v>13</v>
      </c>
      <c r="F52" s="31">
        <f>D52-F47</f>
        <v>8283</v>
      </c>
      <c r="L52" s="1"/>
      <c r="M52" s="1"/>
    </row>
    <row r="53" spans="1:13">
      <c r="A53" s="11" t="s">
        <v>51</v>
      </c>
      <c r="B53" s="13">
        <v>19160</v>
      </c>
      <c r="C53" s="13">
        <v>20284</v>
      </c>
      <c r="D53" s="13">
        <v>19264</v>
      </c>
      <c r="F53" s="33">
        <f>SUM(F50:F52)</f>
        <v>19657.373804426912</v>
      </c>
      <c r="L53" s="1"/>
      <c r="M53" s="1"/>
    </row>
    <row r="54" spans="1:13">
      <c r="B54" s="5"/>
      <c r="C54" s="5"/>
      <c r="D54" s="5"/>
      <c r="F54" s="34"/>
    </row>
    <row r="55" spans="1:13">
      <c r="A55" t="s">
        <v>52</v>
      </c>
      <c r="B55" s="4">
        <v>76</v>
      </c>
      <c r="C55" s="4">
        <v>76</v>
      </c>
      <c r="D55" s="4">
        <v>74</v>
      </c>
      <c r="E55" s="23">
        <v>14</v>
      </c>
      <c r="F55" s="30">
        <f>D55</f>
        <v>74</v>
      </c>
      <c r="L55" s="1"/>
      <c r="M55" s="1"/>
    </row>
    <row r="56" spans="1:13">
      <c r="A56" t="s">
        <v>53</v>
      </c>
      <c r="B56" s="4">
        <v>1256</v>
      </c>
      <c r="C56" s="4">
        <v>1530</v>
      </c>
      <c r="D56" s="4">
        <v>1810</v>
      </c>
      <c r="E56" s="23">
        <v>15</v>
      </c>
      <c r="F56" s="30">
        <f>D56</f>
        <v>1810</v>
      </c>
      <c r="L56" s="1"/>
      <c r="M56" s="1"/>
    </row>
    <row r="57" spans="1:13">
      <c r="A57" s="16" t="s">
        <v>54</v>
      </c>
      <c r="B57" s="40">
        <v>8111</v>
      </c>
      <c r="C57" s="40">
        <v>9526</v>
      </c>
      <c r="D57" s="40">
        <v>11145</v>
      </c>
      <c r="E57" s="23">
        <v>16</v>
      </c>
      <c r="F57" s="31">
        <f>+D57+F30-F31*F15</f>
        <v>13053.423219340939</v>
      </c>
      <c r="L57" s="1"/>
      <c r="M57" s="1"/>
    </row>
    <row r="58" spans="1:13">
      <c r="A58" s="17" t="s">
        <v>55</v>
      </c>
      <c r="B58" s="41">
        <v>9443</v>
      </c>
      <c r="C58" s="41">
        <v>11132</v>
      </c>
      <c r="D58" s="41">
        <v>13029</v>
      </c>
      <c r="F58" s="42">
        <f>+SUM(F55:F57)</f>
        <v>14937.423219340939</v>
      </c>
      <c r="L58" s="1"/>
      <c r="M58" s="1"/>
    </row>
    <row r="59" spans="1:13" ht="15">
      <c r="A59" s="84" t="s">
        <v>56</v>
      </c>
      <c r="B59" s="85">
        <v>28603</v>
      </c>
      <c r="C59" s="85">
        <v>31416</v>
      </c>
      <c r="D59" s="85">
        <v>32293</v>
      </c>
      <c r="E59" s="86"/>
      <c r="F59" s="87">
        <f>+F58+F53</f>
        <v>34594.797023767853</v>
      </c>
      <c r="L59" s="1"/>
      <c r="M59" s="1"/>
    </row>
    <row r="61" spans="1:13">
      <c r="A61" t="s">
        <v>57</v>
      </c>
    </row>
    <row r="62" spans="1:13" ht="15"/>
    <row r="78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104D-920A-463A-8585-47FDD99FAF23}">
  <dimension ref="A1:R62"/>
  <sheetViews>
    <sheetView showGridLines="0" topLeftCell="A36" workbookViewId="0">
      <selection activeCell="N61" sqref="N61"/>
    </sheetView>
  </sheetViews>
  <sheetFormatPr defaultRowHeight="14.45"/>
  <cols>
    <col min="1" max="1" width="61.28515625" bestFit="1" customWidth="1"/>
    <col min="2" max="2" width="14.85546875" style="3" bestFit="1" customWidth="1"/>
    <col min="3" max="4" width="12.28515625" style="3" bestFit="1" customWidth="1"/>
    <col min="5" max="5" width="10.7109375" style="23" customWidth="1"/>
    <col min="6" max="6" width="13.28515625" style="35" bestFit="1" customWidth="1"/>
    <col min="9" max="9" width="16.7109375" customWidth="1"/>
  </cols>
  <sheetData>
    <row r="1" spans="1:12" ht="15"/>
    <row r="2" spans="1:12">
      <c r="A2" s="15" t="s">
        <v>0</v>
      </c>
      <c r="B2" s="18"/>
      <c r="C2" s="18"/>
      <c r="D2" s="18"/>
      <c r="E2" s="27"/>
      <c r="F2" s="36" t="s">
        <v>58</v>
      </c>
    </row>
    <row r="3" spans="1:12">
      <c r="A3" t="s">
        <v>5</v>
      </c>
      <c r="B3" s="5"/>
      <c r="C3" s="6">
        <v>0.12336</v>
      </c>
      <c r="D3" s="6">
        <v>0.11455</v>
      </c>
      <c r="F3" s="46">
        <v>0.11455</v>
      </c>
    </row>
    <row r="4" spans="1:12">
      <c r="A4" t="s">
        <v>6</v>
      </c>
      <c r="B4" s="5"/>
      <c r="C4" s="6">
        <v>0.32446999999999998</v>
      </c>
      <c r="D4" s="6">
        <v>0.32866000000000001</v>
      </c>
      <c r="F4" s="37">
        <v>0.32866000000000001</v>
      </c>
    </row>
    <row r="5" spans="1:12">
      <c r="A5" t="s">
        <v>7</v>
      </c>
      <c r="B5" s="5"/>
      <c r="C5" s="6">
        <v>0.22317999999999999</v>
      </c>
      <c r="D5" s="6">
        <v>0.22489999999999999</v>
      </c>
      <c r="F5" s="46">
        <v>0.22489999999999999</v>
      </c>
    </row>
    <row r="6" spans="1:12">
      <c r="A6" t="s">
        <v>8</v>
      </c>
      <c r="B6" s="5"/>
      <c r="C6" s="6">
        <v>5.2449999999999997E-2</v>
      </c>
      <c r="D6" s="6">
        <v>6.3329999999999997E-2</v>
      </c>
      <c r="F6" s="37">
        <v>6.3329999999999997E-2</v>
      </c>
    </row>
    <row r="7" spans="1:12">
      <c r="A7" t="s">
        <v>9</v>
      </c>
      <c r="B7" s="5"/>
      <c r="C7" s="6">
        <v>4.9820000000000003E-2</v>
      </c>
      <c r="D7" s="6">
        <v>5.1729999999999998E-2</v>
      </c>
      <c r="F7" s="37">
        <v>5.1729999999999998E-2</v>
      </c>
    </row>
    <row r="8" spans="1:12">
      <c r="A8" t="s">
        <v>10</v>
      </c>
      <c r="B8" s="5"/>
      <c r="C8" s="6">
        <v>0.37802999999999998</v>
      </c>
      <c r="D8" s="6">
        <v>0.37808999999999998</v>
      </c>
      <c r="F8" s="37">
        <v>0.37808999999999998</v>
      </c>
    </row>
    <row r="9" spans="1:12">
      <c r="B9" s="5"/>
      <c r="C9" s="6"/>
      <c r="D9" s="6"/>
      <c r="F9" s="37"/>
    </row>
    <row r="10" spans="1:12">
      <c r="A10" t="s">
        <v>11</v>
      </c>
      <c r="B10" s="77">
        <v>6.7220000000000004</v>
      </c>
      <c r="C10" s="77">
        <v>9.0939999999999994</v>
      </c>
      <c r="D10" s="77">
        <v>9.24</v>
      </c>
      <c r="E10" s="78"/>
      <c r="F10" s="79">
        <v>9.24</v>
      </c>
    </row>
    <row r="11" spans="1:12">
      <c r="A11" t="s">
        <v>12</v>
      </c>
      <c r="B11" s="77">
        <v>5.3570000000000002</v>
      </c>
      <c r="C11" s="77">
        <v>6.266</v>
      </c>
      <c r="D11" s="77">
        <v>5.84</v>
      </c>
      <c r="E11" s="78"/>
      <c r="F11" s="79">
        <v>5.84</v>
      </c>
    </row>
    <row r="12" spans="1:12">
      <c r="A12" t="s">
        <v>13</v>
      </c>
      <c r="B12" s="77">
        <v>5.444</v>
      </c>
      <c r="C12" s="77">
        <v>5.7279999999999998</v>
      </c>
      <c r="D12" s="77">
        <v>5.4409999999999998</v>
      </c>
      <c r="E12" s="78"/>
      <c r="F12" s="79">
        <v>5.4409999999999998</v>
      </c>
    </row>
    <row r="13" spans="1:12">
      <c r="A13" t="s">
        <v>14</v>
      </c>
      <c r="B13" s="77">
        <v>24.213999999999999</v>
      </c>
      <c r="C13" s="77">
        <v>32.628</v>
      </c>
      <c r="D13" s="77">
        <v>28.683</v>
      </c>
      <c r="E13" s="78"/>
      <c r="F13" s="79">
        <v>28.683</v>
      </c>
    </row>
    <row r="14" spans="1:12" ht="15">
      <c r="A14" t="s">
        <v>15</v>
      </c>
      <c r="B14" s="81">
        <v>0.37485000000000002</v>
      </c>
      <c r="C14" s="81">
        <v>1.2266300000000001</v>
      </c>
      <c r="D14" s="81">
        <v>0.26527000000000001</v>
      </c>
      <c r="E14" s="82"/>
      <c r="F14" s="83">
        <v>0.26527000000000001</v>
      </c>
      <c r="K14" s="2"/>
      <c r="L14" s="2"/>
    </row>
    <row r="15" spans="1:12">
      <c r="A15" t="s">
        <v>16</v>
      </c>
      <c r="B15" s="20">
        <v>0.24</v>
      </c>
      <c r="C15" s="20">
        <v>0.26</v>
      </c>
      <c r="D15" s="20">
        <v>0.31</v>
      </c>
      <c r="E15" s="26"/>
      <c r="F15" s="38">
        <v>0.31</v>
      </c>
      <c r="K15" s="19"/>
      <c r="L15" s="19"/>
    </row>
    <row r="16" spans="1:12">
      <c r="A16" t="s">
        <v>17</v>
      </c>
      <c r="B16" s="4">
        <v>3189</v>
      </c>
      <c r="C16" s="4">
        <v>2671</v>
      </c>
      <c r="D16" s="4">
        <v>3012</v>
      </c>
      <c r="E16" s="26"/>
      <c r="F16" s="30">
        <v>3012</v>
      </c>
      <c r="K16" s="1"/>
      <c r="L16" s="1"/>
    </row>
    <row r="17" spans="1:17">
      <c r="A17" s="7" t="s">
        <v>18</v>
      </c>
      <c r="B17" s="21">
        <v>8.5239999999999996E-2</v>
      </c>
      <c r="C17" s="21">
        <v>6.3560000000000005E-2</v>
      </c>
      <c r="D17" s="21">
        <v>6.4310000000000006E-2</v>
      </c>
      <c r="E17" s="28"/>
      <c r="F17" s="39">
        <v>6.4310000000000006E-2</v>
      </c>
      <c r="K17" s="2"/>
      <c r="L17" s="2"/>
    </row>
    <row r="18" spans="1:17" ht="15"/>
    <row r="19" spans="1:17" ht="15"/>
    <row r="20" spans="1:17" ht="30.75">
      <c r="A20" s="15" t="s">
        <v>19</v>
      </c>
      <c r="B20" s="12" t="s">
        <v>1</v>
      </c>
      <c r="C20" s="12" t="s">
        <v>2</v>
      </c>
      <c r="D20" s="12" t="s">
        <v>3</v>
      </c>
      <c r="E20" s="22" t="s">
        <v>20</v>
      </c>
      <c r="F20" s="29" t="s">
        <v>21</v>
      </c>
    </row>
    <row r="21" spans="1:17">
      <c r="A21" t="s">
        <v>22</v>
      </c>
      <c r="B21" s="4">
        <v>37410</v>
      </c>
      <c r="C21" s="4">
        <v>42025</v>
      </c>
      <c r="D21" s="4">
        <v>46839</v>
      </c>
      <c r="E21" s="23">
        <v>1</v>
      </c>
      <c r="F21" s="30">
        <f>D21*(1+F3)</f>
        <v>52204.407449999999</v>
      </c>
      <c r="I21" s="73" t="s">
        <v>59</v>
      </c>
      <c r="J21" s="43"/>
      <c r="K21" s="43"/>
      <c r="L21" s="43"/>
      <c r="M21" s="43"/>
      <c r="N21" s="43"/>
      <c r="O21" s="43"/>
      <c r="P21" s="43"/>
      <c r="Q21" s="43"/>
    </row>
    <row r="22" spans="1:17">
      <c r="A22" s="7" t="s">
        <v>23</v>
      </c>
      <c r="B22" s="8">
        <v>25498</v>
      </c>
      <c r="C22" s="8">
        <v>28389</v>
      </c>
      <c r="D22" s="8">
        <v>31445</v>
      </c>
      <c r="E22" s="24">
        <v>3</v>
      </c>
      <c r="F22" s="31">
        <f>F21-F23</f>
        <v>35046.906897483001</v>
      </c>
      <c r="I22" s="74" t="s">
        <v>60</v>
      </c>
      <c r="J22" s="44"/>
      <c r="K22" s="44"/>
      <c r="L22" s="44"/>
      <c r="M22" s="44"/>
      <c r="N22" s="44"/>
      <c r="O22" s="44"/>
      <c r="P22" s="44"/>
      <c r="Q22" s="44"/>
    </row>
    <row r="23" spans="1:17">
      <c r="A23" s="9" t="s">
        <v>24</v>
      </c>
      <c r="B23" s="10">
        <v>11912</v>
      </c>
      <c r="C23" s="10">
        <v>13636</v>
      </c>
      <c r="D23" s="10">
        <v>15394</v>
      </c>
      <c r="E23" s="24">
        <v>2</v>
      </c>
      <c r="F23" s="32">
        <f>F21*F4</f>
        <v>17157.500552517002</v>
      </c>
      <c r="I23" t="s">
        <v>61</v>
      </c>
    </row>
    <row r="24" spans="1:17">
      <c r="A24" s="9" t="s">
        <v>25</v>
      </c>
      <c r="B24" s="10">
        <v>8134</v>
      </c>
      <c r="C24" s="10">
        <v>9379</v>
      </c>
      <c r="D24" s="10">
        <v>10534</v>
      </c>
      <c r="E24" s="24">
        <v>4</v>
      </c>
      <c r="F24" s="32">
        <f>F21*F5</f>
        <v>11740.771235504999</v>
      </c>
    </row>
    <row r="25" spans="1:17">
      <c r="A25" s="9" t="s">
        <v>26</v>
      </c>
      <c r="B25" s="10">
        <v>967</v>
      </c>
      <c r="C25" s="10">
        <v>1098</v>
      </c>
      <c r="D25" s="10">
        <v>1259</v>
      </c>
      <c r="E25" s="23">
        <v>5</v>
      </c>
      <c r="F25" s="30">
        <f>D40*F6</f>
        <v>1410.48576</v>
      </c>
      <c r="I25" s="62" t="s">
        <v>62</v>
      </c>
      <c r="J25" s="63">
        <f>(D30-D31*D15)/D31</f>
        <v>3.279225589225589</v>
      </c>
    </row>
    <row r="26" spans="1:17">
      <c r="A26" s="7" t="s">
        <v>27</v>
      </c>
      <c r="B26" s="8">
        <v>584</v>
      </c>
      <c r="C26" s="8">
        <v>556</v>
      </c>
      <c r="D26" s="8">
        <v>570</v>
      </c>
      <c r="E26" s="23">
        <v>6</v>
      </c>
      <c r="F26" s="31">
        <f>F7*(D47+D52)</f>
        <v>493.40073999999998</v>
      </c>
      <c r="H26" s="14"/>
      <c r="I26" s="64" t="s">
        <v>63</v>
      </c>
      <c r="J26" s="65">
        <f>(F30-F31*F15)/F31</f>
        <v>2.1419327455981305</v>
      </c>
    </row>
    <row r="27" spans="1:17">
      <c r="A27" t="s">
        <v>28</v>
      </c>
      <c r="B27" s="4">
        <v>2227</v>
      </c>
      <c r="C27" s="4">
        <v>2603</v>
      </c>
      <c r="D27" s="4">
        <v>3031</v>
      </c>
      <c r="E27" s="23">
        <v>7</v>
      </c>
      <c r="F27" s="30">
        <f>+F23-F24-F25-F26</f>
        <v>3512.8428170120028</v>
      </c>
      <c r="I27" t="s">
        <v>64</v>
      </c>
      <c r="J27" t="s">
        <v>65</v>
      </c>
    </row>
    <row r="28" spans="1:17">
      <c r="A28" s="7" t="s">
        <v>29</v>
      </c>
      <c r="B28" s="8">
        <v>851</v>
      </c>
      <c r="C28" s="8">
        <v>984</v>
      </c>
      <c r="D28" s="8">
        <v>1146</v>
      </c>
      <c r="E28" s="23">
        <v>8</v>
      </c>
      <c r="F28" s="31">
        <f>IF(F27&lt;0,0,F27*F8)</f>
        <v>1328.1707406840681</v>
      </c>
    </row>
    <row r="29" spans="1:17">
      <c r="A29" t="s">
        <v>66</v>
      </c>
      <c r="B29" s="4">
        <v>247</v>
      </c>
      <c r="C29" s="4">
        <v>190</v>
      </c>
      <c r="D29" s="4">
        <v>1313</v>
      </c>
      <c r="E29" s="23">
        <v>9</v>
      </c>
      <c r="F29" s="30">
        <v>0</v>
      </c>
    </row>
    <row r="30" spans="1:17">
      <c r="A30" s="11" t="s">
        <v>31</v>
      </c>
      <c r="B30" s="13">
        <v>1623</v>
      </c>
      <c r="C30" s="13">
        <v>1809</v>
      </c>
      <c r="D30" s="13">
        <v>3198</v>
      </c>
      <c r="E30" s="25">
        <v>10</v>
      </c>
      <c r="F30" s="33">
        <f>+F27-F28</f>
        <v>2184.6720763279345</v>
      </c>
    </row>
    <row r="31" spans="1:17">
      <c r="A31" t="s">
        <v>32</v>
      </c>
      <c r="B31" s="5">
        <v>910</v>
      </c>
      <c r="C31" s="5">
        <v>912</v>
      </c>
      <c r="D31" s="5">
        <v>891</v>
      </c>
      <c r="F31" s="34">
        <v>891</v>
      </c>
    </row>
    <row r="32" spans="1:17">
      <c r="I32" s="74" t="s">
        <v>67</v>
      </c>
      <c r="J32" s="44"/>
      <c r="K32" s="44"/>
      <c r="L32" s="44"/>
      <c r="M32" s="44"/>
      <c r="N32" s="44"/>
      <c r="O32" s="44"/>
      <c r="P32" s="44"/>
      <c r="Q32" s="44"/>
    </row>
    <row r="33" spans="1:18">
      <c r="I33" t="s">
        <v>68</v>
      </c>
    </row>
    <row r="34" spans="1:18" ht="30.75">
      <c r="A34" s="15" t="s">
        <v>33</v>
      </c>
      <c r="B34" s="12" t="s">
        <v>1</v>
      </c>
      <c r="C34" s="12" t="s">
        <v>2</v>
      </c>
      <c r="D34" s="12" t="s">
        <v>3</v>
      </c>
      <c r="E34" s="22" t="s">
        <v>20</v>
      </c>
      <c r="F34" s="29" t="s">
        <v>21</v>
      </c>
      <c r="M34" s="61" t="s">
        <v>69</v>
      </c>
      <c r="N34" s="61"/>
      <c r="O34" s="61"/>
    </row>
    <row r="35" spans="1:18">
      <c r="A35" t="s">
        <v>34</v>
      </c>
      <c r="B35" s="4">
        <v>758</v>
      </c>
      <c r="C35" s="4">
        <v>708</v>
      </c>
      <c r="D35" s="4">
        <v>2245</v>
      </c>
      <c r="E35" s="23">
        <v>17</v>
      </c>
      <c r="F35" s="30">
        <f>+F59-F36-F37-F38-F42-F43</f>
        <v>1402.3049542083936</v>
      </c>
      <c r="I35" s="62" t="s">
        <v>62</v>
      </c>
      <c r="J35" s="63">
        <f>(D30-D31*D15)/D31</f>
        <v>3.279225589225589</v>
      </c>
      <c r="L35" s="1"/>
      <c r="M35" t="s">
        <v>5</v>
      </c>
      <c r="O35" s="45">
        <v>0.15</v>
      </c>
    </row>
    <row r="36" spans="1:18">
      <c r="A36" t="s">
        <v>35</v>
      </c>
      <c r="B36" s="4">
        <v>5565</v>
      </c>
      <c r="C36" s="4">
        <v>4621</v>
      </c>
      <c r="D36" s="4">
        <v>5069</v>
      </c>
      <c r="E36" s="23">
        <v>1</v>
      </c>
      <c r="F36" s="30">
        <f>F21/F10</f>
        <v>5649.8276461038959</v>
      </c>
      <c r="I36" s="64" t="s">
        <v>63</v>
      </c>
      <c r="J36" s="65">
        <f>(F30-F31*F15)/F31</f>
        <v>2.1419327455981305</v>
      </c>
      <c r="L36" s="1"/>
      <c r="M36" t="s">
        <v>7</v>
      </c>
      <c r="O36" s="45">
        <v>0.15</v>
      </c>
    </row>
    <row r="37" spans="1:18">
      <c r="A37" t="s">
        <v>36</v>
      </c>
      <c r="B37" s="4">
        <v>4760</v>
      </c>
      <c r="C37" s="4">
        <v>4531</v>
      </c>
      <c r="D37" s="4">
        <v>5384</v>
      </c>
      <c r="E37" s="23">
        <v>2</v>
      </c>
      <c r="F37" s="30">
        <f>F22/F11</f>
        <v>6001.1826879251712</v>
      </c>
      <c r="L37" s="1"/>
      <c r="M37" s="1"/>
    </row>
    <row r="38" spans="1:18">
      <c r="A38" s="7" t="s">
        <v>37</v>
      </c>
      <c r="B38" s="8">
        <v>852</v>
      </c>
      <c r="C38" s="8">
        <v>3092</v>
      </c>
      <c r="D38" s="8">
        <v>1224</v>
      </c>
      <c r="E38" s="23">
        <v>3</v>
      </c>
      <c r="F38" s="31">
        <f>D38</f>
        <v>1224</v>
      </c>
      <c r="I38" t="s">
        <v>64</v>
      </c>
      <c r="J38" t="s">
        <v>70</v>
      </c>
      <c r="L38" s="1"/>
      <c r="M38" s="1"/>
    </row>
    <row r="39" spans="1:18">
      <c r="A39" s="11" t="s">
        <v>38</v>
      </c>
      <c r="B39" s="13">
        <v>11935</v>
      </c>
      <c r="C39" s="13">
        <v>12952</v>
      </c>
      <c r="D39" s="13">
        <v>13922</v>
      </c>
      <c r="F39" s="33">
        <f>SUM(F35:F38)</f>
        <v>14277.31528823746</v>
      </c>
      <c r="L39" s="1"/>
      <c r="M39" s="1"/>
    </row>
    <row r="40" spans="1:18">
      <c r="A40" t="s">
        <v>39</v>
      </c>
      <c r="B40" s="4">
        <v>20936</v>
      </c>
      <c r="C40" s="4">
        <v>19880</v>
      </c>
      <c r="D40" s="4">
        <v>22272</v>
      </c>
      <c r="E40" s="23">
        <v>4</v>
      </c>
      <c r="F40" s="30">
        <f>D40+(F21*D17)</f>
        <v>25629.2654431095</v>
      </c>
      <c r="L40" s="1"/>
      <c r="M40" s="1"/>
    </row>
    <row r="41" spans="1:18">
      <c r="A41" t="s">
        <v>40</v>
      </c>
      <c r="B41" s="4">
        <v>5629</v>
      </c>
      <c r="C41" s="4">
        <v>4727</v>
      </c>
      <c r="D41" s="4">
        <v>5412</v>
      </c>
      <c r="E41" s="23">
        <v>5</v>
      </c>
      <c r="F41" s="30">
        <f>+D41+F25</f>
        <v>6822.4857599999996</v>
      </c>
      <c r="I41" s="74" t="s">
        <v>71</v>
      </c>
      <c r="J41" s="44"/>
      <c r="K41" s="44"/>
      <c r="L41" s="44"/>
      <c r="M41" s="44"/>
      <c r="N41" s="44"/>
      <c r="O41" s="44"/>
      <c r="P41" s="44"/>
      <c r="Q41" s="44"/>
    </row>
    <row r="42" spans="1:18">
      <c r="A42" t="s">
        <v>41</v>
      </c>
      <c r="B42" s="4">
        <v>15307</v>
      </c>
      <c r="C42" s="4">
        <v>15153</v>
      </c>
      <c r="D42" s="4">
        <v>16860</v>
      </c>
      <c r="E42" s="23">
        <v>6</v>
      </c>
      <c r="F42" s="30">
        <f>+F40-F41</f>
        <v>18806.7796831095</v>
      </c>
    </row>
    <row r="43" spans="1:18">
      <c r="A43" s="7" t="s">
        <v>72</v>
      </c>
      <c r="B43" s="8">
        <v>1361</v>
      </c>
      <c r="C43" s="8">
        <v>3311</v>
      </c>
      <c r="D43" s="8">
        <v>1511</v>
      </c>
      <c r="E43" s="23">
        <v>7</v>
      </c>
      <c r="F43" s="31">
        <f>D43</f>
        <v>1511</v>
      </c>
      <c r="I43" s="66" t="s">
        <v>63</v>
      </c>
      <c r="J43" s="67">
        <f>(F30-F31*F15)/F31</f>
        <v>2.1419327455981305</v>
      </c>
    </row>
    <row r="44" spans="1:18">
      <c r="A44" s="11" t="s">
        <v>43</v>
      </c>
      <c r="B44" s="13">
        <v>28603</v>
      </c>
      <c r="C44" s="13">
        <v>31416</v>
      </c>
      <c r="D44" s="13">
        <v>32293</v>
      </c>
      <c r="F44" s="33">
        <f>F39+F42+F43</f>
        <v>34595.09497134696</v>
      </c>
    </row>
    <row r="45" spans="1:18">
      <c r="B45" s="5"/>
      <c r="C45" s="5"/>
      <c r="D45" s="5"/>
      <c r="F45" s="34"/>
      <c r="K45" s="49"/>
      <c r="L45" s="50"/>
      <c r="M45" s="50"/>
      <c r="N45" s="49" t="s">
        <v>73</v>
      </c>
      <c r="O45" s="49"/>
      <c r="P45" s="49"/>
      <c r="Q45" s="49"/>
    </row>
    <row r="46" spans="1:18">
      <c r="A46" t="s">
        <v>44</v>
      </c>
      <c r="B46" s="4">
        <v>4684</v>
      </c>
      <c r="C46" s="4">
        <v>4956</v>
      </c>
      <c r="D46" s="4">
        <v>5779</v>
      </c>
      <c r="E46" s="23">
        <v>8</v>
      </c>
      <c r="F46" s="30">
        <f>F22/F12</f>
        <v>6441.2620653341301</v>
      </c>
      <c r="J46" s="51">
        <f>J43</f>
        <v>2.1419327455981305</v>
      </c>
      <c r="K46" s="52">
        <f>+L46-0.01</f>
        <v>0.19489999999999996</v>
      </c>
      <c r="L46" s="52">
        <f>+M46-0.01</f>
        <v>0.20489999999999997</v>
      </c>
      <c r="M46" s="52">
        <f>+N46-0.01</f>
        <v>0.21489999999999998</v>
      </c>
      <c r="N46" s="57">
        <v>0.22489999999999999</v>
      </c>
      <c r="O46" s="52">
        <f>N46+0.01</f>
        <v>0.2349</v>
      </c>
      <c r="P46" s="52">
        <f t="shared" ref="P46:Q46" si="0">O46+0.01</f>
        <v>0.24490000000000001</v>
      </c>
      <c r="Q46" s="52">
        <f t="shared" si="0"/>
        <v>0.25490000000000002</v>
      </c>
      <c r="R46" s="53"/>
    </row>
    <row r="47" spans="1:18">
      <c r="A47" t="s">
        <v>45</v>
      </c>
      <c r="B47" s="4">
        <v>975</v>
      </c>
      <c r="C47" s="4">
        <v>863</v>
      </c>
      <c r="D47" s="4">
        <v>504</v>
      </c>
      <c r="E47" s="23">
        <v>9</v>
      </c>
      <c r="F47" s="30">
        <f>751</f>
        <v>751</v>
      </c>
      <c r="I47" s="47"/>
      <c r="J47" s="54">
        <f t="shared" ref="J47:J48" si="1">J48-0.01</f>
        <v>8.4550000000000014E-2</v>
      </c>
      <c r="K47" s="55">
        <f t="dataTable" ref="K47:Q53" dt2D="1" dtr="1" r1="F5" r2="F3"/>
        <v>3.1038876970381013</v>
      </c>
      <c r="L47" s="55">
        <v>2.7493135807358624</v>
      </c>
      <c r="M47" s="55">
        <v>2.3947394644336222</v>
      </c>
      <c r="N47" s="55">
        <v>2.0401653481313833</v>
      </c>
      <c r="O47" s="55">
        <v>1.6855912318291431</v>
      </c>
      <c r="P47" s="55">
        <v>1.3310171155269044</v>
      </c>
      <c r="Q47" s="55">
        <v>0.97644299922466438</v>
      </c>
      <c r="R47" s="55"/>
    </row>
    <row r="48" spans="1:18">
      <c r="A48" t="s">
        <v>46</v>
      </c>
      <c r="B48" s="4">
        <v>1545</v>
      </c>
      <c r="C48" s="4">
        <v>1288</v>
      </c>
      <c r="D48" s="4">
        <v>1633</v>
      </c>
      <c r="E48" s="23">
        <v>10</v>
      </c>
      <c r="F48" s="30">
        <f>+F21/F13</f>
        <v>1820.0469773036293</v>
      </c>
      <c r="I48" s="47"/>
      <c r="J48" s="54">
        <f t="shared" si="1"/>
        <v>9.4550000000000009E-2</v>
      </c>
      <c r="K48" s="55">
        <v>3.1476181232946945</v>
      </c>
      <c r="L48" s="59">
        <v>2.7897746868476725</v>
      </c>
      <c r="M48" s="59">
        <v>2.4319312504006527</v>
      </c>
      <c r="N48" s="59">
        <v>2.0740878139536312</v>
      </c>
      <c r="O48" s="59">
        <v>1.7162443775066112</v>
      </c>
      <c r="P48" s="59">
        <v>1.3584009410595914</v>
      </c>
      <c r="Q48" s="55">
        <v>1.0005575046125701</v>
      </c>
      <c r="R48" s="55"/>
    </row>
    <row r="49" spans="1:18">
      <c r="A49" s="7" t="s">
        <v>47</v>
      </c>
      <c r="B49" s="8">
        <v>319</v>
      </c>
      <c r="C49" s="8">
        <v>1207</v>
      </c>
      <c r="D49" s="8">
        <v>304</v>
      </c>
      <c r="E49" s="23">
        <v>11</v>
      </c>
      <c r="F49" s="31">
        <f>F28*F14</f>
        <v>352.32385238126272</v>
      </c>
      <c r="I49" s="47"/>
      <c r="J49" s="54">
        <f>J50-0.01</f>
        <v>0.10455</v>
      </c>
      <c r="K49" s="55">
        <v>3.1913485495512854</v>
      </c>
      <c r="L49" s="59">
        <v>2.8302357929594826</v>
      </c>
      <c r="M49" s="60">
        <v>2.4691230363676819</v>
      </c>
      <c r="N49" s="60">
        <v>2.1080102797758791</v>
      </c>
      <c r="O49" s="60">
        <v>1.7468975231840782</v>
      </c>
      <c r="P49" s="59">
        <v>1.3857847665922756</v>
      </c>
      <c r="Q49" s="55">
        <v>1.0246720100004747</v>
      </c>
      <c r="R49" s="55"/>
    </row>
    <row r="50" spans="1:18" ht="22.9" customHeight="1">
      <c r="A50" s="11" t="s">
        <v>48</v>
      </c>
      <c r="B50" s="13">
        <v>7523</v>
      </c>
      <c r="C50" s="13">
        <v>8314</v>
      </c>
      <c r="D50" s="13">
        <v>8220</v>
      </c>
      <c r="F50" s="33">
        <f>SUM(F46:F49)</f>
        <v>9364.6328950190236</v>
      </c>
      <c r="I50" s="48" t="s">
        <v>5</v>
      </c>
      <c r="J50" s="56">
        <v>0.11455</v>
      </c>
      <c r="K50" s="55">
        <v>3.2350789758078795</v>
      </c>
      <c r="L50" s="59">
        <v>2.8706968990712971</v>
      </c>
      <c r="M50" s="60">
        <v>2.5063148223347134</v>
      </c>
      <c r="N50" s="58">
        <v>2.1419327455981305</v>
      </c>
      <c r="O50" s="60">
        <v>1.7775506688615474</v>
      </c>
      <c r="P50" s="59">
        <v>1.4131685921249653</v>
      </c>
      <c r="Q50" s="55">
        <v>1.0487865153883829</v>
      </c>
      <c r="R50" s="55"/>
    </row>
    <row r="51" spans="1:18">
      <c r="A51" t="s">
        <v>49</v>
      </c>
      <c r="B51" s="4">
        <v>1451</v>
      </c>
      <c r="C51" s="4">
        <v>1815</v>
      </c>
      <c r="D51" s="4">
        <v>2010</v>
      </c>
      <c r="E51" s="23">
        <v>12</v>
      </c>
      <c r="F51" s="30">
        <f>D51</f>
        <v>2010</v>
      </c>
      <c r="I51" s="47"/>
      <c r="J51" s="54">
        <f>J50+0.01</f>
        <v>0.12454999999999999</v>
      </c>
      <c r="K51" s="55">
        <v>3.2788094020644718</v>
      </c>
      <c r="L51" s="59">
        <v>2.9111580051831072</v>
      </c>
      <c r="M51" s="60">
        <v>2.5435066083017439</v>
      </c>
      <c r="N51" s="60">
        <v>2.1758552114203802</v>
      </c>
      <c r="O51" s="60">
        <v>1.8082038145390156</v>
      </c>
      <c r="P51" s="59">
        <v>1.4405524176576523</v>
      </c>
      <c r="Q51" s="55">
        <v>1.0729010207762872</v>
      </c>
      <c r="R51" s="55"/>
    </row>
    <row r="52" spans="1:18">
      <c r="A52" s="7" t="s">
        <v>50</v>
      </c>
      <c r="B52" s="8">
        <v>10186</v>
      </c>
      <c r="C52" s="8">
        <v>10155</v>
      </c>
      <c r="D52" s="8">
        <v>9034</v>
      </c>
      <c r="E52" s="23">
        <v>13</v>
      </c>
      <c r="F52" s="31">
        <f>D52-F47</f>
        <v>8283</v>
      </c>
      <c r="I52" s="47"/>
      <c r="J52" s="54">
        <f t="shared" ref="J52:J53" si="2">J51+0.01</f>
        <v>0.13455</v>
      </c>
      <c r="K52" s="55">
        <v>3.322539828321065</v>
      </c>
      <c r="L52" s="59">
        <v>2.9516191112949186</v>
      </c>
      <c r="M52" s="59">
        <v>2.580698394268774</v>
      </c>
      <c r="N52" s="59">
        <v>2.209777677242629</v>
      </c>
      <c r="O52" s="59">
        <v>1.8388569602164837</v>
      </c>
      <c r="P52" s="59">
        <v>1.4679362431903378</v>
      </c>
      <c r="Q52" s="55">
        <v>1.0970155261641932</v>
      </c>
      <c r="R52" s="55"/>
    </row>
    <row r="53" spans="1:18">
      <c r="A53" s="11" t="s">
        <v>51</v>
      </c>
      <c r="B53" s="13">
        <v>19160</v>
      </c>
      <c r="C53" s="13">
        <v>20284</v>
      </c>
      <c r="D53" s="13">
        <v>19264</v>
      </c>
      <c r="F53" s="33">
        <f>SUM(F50:F52)</f>
        <v>19657.632895019022</v>
      </c>
      <c r="I53" s="47"/>
      <c r="J53" s="54">
        <f t="shared" si="2"/>
        <v>0.14455000000000001</v>
      </c>
      <c r="K53" s="55">
        <v>3.3662702545776559</v>
      </c>
      <c r="L53" s="55">
        <v>2.99208021740673</v>
      </c>
      <c r="M53" s="55">
        <v>2.6178901802358037</v>
      </c>
      <c r="N53" s="55">
        <v>2.2437001430648778</v>
      </c>
      <c r="O53" s="55">
        <v>1.8695101058939516</v>
      </c>
      <c r="P53" s="55">
        <v>1.4953200687230248</v>
      </c>
      <c r="Q53" s="55">
        <v>1.1211300315520991</v>
      </c>
      <c r="R53" s="55"/>
    </row>
    <row r="54" spans="1:18">
      <c r="B54" s="5"/>
      <c r="C54" s="5"/>
      <c r="D54" s="5"/>
      <c r="F54" s="34"/>
    </row>
    <row r="55" spans="1:18">
      <c r="A55" t="s">
        <v>52</v>
      </c>
      <c r="B55" s="4">
        <v>76</v>
      </c>
      <c r="C55" s="4">
        <v>76</v>
      </c>
      <c r="D55" s="4">
        <v>74</v>
      </c>
      <c r="E55" s="23">
        <v>14</v>
      </c>
      <c r="F55" s="30">
        <f>D55</f>
        <v>74</v>
      </c>
      <c r="L55" s="1"/>
      <c r="M55" s="1"/>
    </row>
    <row r="56" spans="1:18">
      <c r="A56" t="s">
        <v>53</v>
      </c>
      <c r="B56" s="4">
        <v>1256</v>
      </c>
      <c r="C56" s="4">
        <v>1530</v>
      </c>
      <c r="D56" s="4">
        <v>1810</v>
      </c>
      <c r="E56" s="23">
        <v>15</v>
      </c>
      <c r="F56" s="30">
        <f>D56</f>
        <v>1810</v>
      </c>
      <c r="L56" s="1"/>
      <c r="M56" s="1"/>
    </row>
    <row r="57" spans="1:18">
      <c r="A57" s="16" t="s">
        <v>54</v>
      </c>
      <c r="B57" s="40">
        <v>8111</v>
      </c>
      <c r="C57" s="40">
        <v>9526</v>
      </c>
      <c r="D57" s="40">
        <v>11145</v>
      </c>
      <c r="E57" s="23">
        <v>16</v>
      </c>
      <c r="F57" s="31">
        <f>+D57+F30-F31*F15</f>
        <v>13053.462076327934</v>
      </c>
      <c r="L57" s="1"/>
      <c r="M57" s="1"/>
    </row>
    <row r="58" spans="1:18">
      <c r="A58" s="17" t="s">
        <v>55</v>
      </c>
      <c r="B58" s="41">
        <v>9443</v>
      </c>
      <c r="C58" s="41">
        <v>11132</v>
      </c>
      <c r="D58" s="41">
        <v>13029</v>
      </c>
      <c r="F58" s="42">
        <f>+SUM(F55:F57)</f>
        <v>14937.462076327934</v>
      </c>
      <c r="L58" s="1"/>
      <c r="M58" s="1"/>
    </row>
    <row r="59" spans="1:18">
      <c r="A59" s="11" t="s">
        <v>56</v>
      </c>
      <c r="B59" s="13">
        <v>28603</v>
      </c>
      <c r="C59" s="13">
        <v>31416</v>
      </c>
      <c r="D59" s="13">
        <v>32293</v>
      </c>
      <c r="F59" s="33">
        <f>+F58+F53</f>
        <v>34595.09497134696</v>
      </c>
      <c r="L59" s="1"/>
      <c r="M59" s="1"/>
    </row>
    <row r="62" spans="1:18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DFA3-679A-4DF5-BDCE-80444CA7ED52}">
  <dimension ref="A1:N77"/>
  <sheetViews>
    <sheetView showGridLines="0" workbookViewId="0">
      <selection activeCell="F10" sqref="F10:H14"/>
    </sheetView>
  </sheetViews>
  <sheetFormatPr defaultRowHeight="14.45"/>
  <cols>
    <col min="1" max="1" width="61.28515625" bestFit="1" customWidth="1"/>
    <col min="2" max="2" width="14.85546875" style="3" bestFit="1" customWidth="1"/>
    <col min="3" max="4" width="12.28515625" style="3" bestFit="1" customWidth="1"/>
    <col min="5" max="5" width="10.7109375" style="23" customWidth="1"/>
    <col min="6" max="8" width="13.28515625" style="35" bestFit="1" customWidth="1"/>
    <col min="10" max="10" width="4" bestFit="1" customWidth="1"/>
    <col min="11" max="13" width="12" customWidth="1"/>
  </cols>
  <sheetData>
    <row r="1" spans="1:14" ht="15"/>
    <row r="2" spans="1:14" ht="15">
      <c r="A2" s="15" t="s">
        <v>0</v>
      </c>
      <c r="B2" s="18"/>
      <c r="C2" s="18"/>
      <c r="D2" s="18"/>
      <c r="E2" s="27"/>
      <c r="F2" s="36" t="s">
        <v>58</v>
      </c>
      <c r="G2" s="36"/>
      <c r="H2" s="36"/>
    </row>
    <row r="3" spans="1:14" ht="15">
      <c r="A3" t="s">
        <v>5</v>
      </c>
      <c r="B3" s="5"/>
      <c r="C3" s="6">
        <v>0.12336</v>
      </c>
      <c r="D3" s="6">
        <v>0.11455</v>
      </c>
      <c r="F3" s="46">
        <v>0.11455</v>
      </c>
      <c r="G3" s="46">
        <v>0.18</v>
      </c>
      <c r="H3" s="46">
        <v>0.09</v>
      </c>
    </row>
    <row r="4" spans="1:14" ht="15">
      <c r="A4" t="s">
        <v>6</v>
      </c>
      <c r="B4" s="5"/>
      <c r="C4" s="6">
        <v>0.32446999999999998</v>
      </c>
      <c r="D4" s="6">
        <v>0.32866000000000001</v>
      </c>
      <c r="F4" s="37">
        <v>0.32866000000000001</v>
      </c>
      <c r="G4" s="37">
        <v>0.32866000000000001</v>
      </c>
      <c r="H4" s="37">
        <v>0.32866000000000001</v>
      </c>
    </row>
    <row r="5" spans="1:14">
      <c r="A5" t="s">
        <v>7</v>
      </c>
      <c r="B5" s="5"/>
      <c r="C5" s="6">
        <v>0.22317999999999999</v>
      </c>
      <c r="D5" s="6">
        <v>0.22489999999999999</v>
      </c>
      <c r="F5" s="46">
        <v>0.22489999999999999</v>
      </c>
      <c r="G5" s="46">
        <v>0.23</v>
      </c>
      <c r="H5" s="46">
        <v>0.24</v>
      </c>
    </row>
    <row r="6" spans="1:14">
      <c r="A6" t="s">
        <v>8</v>
      </c>
      <c r="B6" s="5"/>
      <c r="C6" s="6">
        <v>5.2449999999999997E-2</v>
      </c>
      <c r="D6" s="6">
        <v>6.3329999999999997E-2</v>
      </c>
      <c r="F6" s="37">
        <v>6.3329999999999997E-2</v>
      </c>
      <c r="G6" s="37">
        <v>6.3329999999999997E-2</v>
      </c>
      <c r="H6" s="37">
        <v>6.3329999999999997E-2</v>
      </c>
    </row>
    <row r="7" spans="1:14" ht="15">
      <c r="A7" s="75" t="s">
        <v>9</v>
      </c>
      <c r="B7" s="5"/>
      <c r="C7" s="6">
        <v>4.9820000000000003E-2</v>
      </c>
      <c r="D7" s="6">
        <v>5.1729999999999998E-2</v>
      </c>
      <c r="F7" s="37">
        <v>5.1729999999999998E-2</v>
      </c>
      <c r="G7" s="37">
        <v>5.1729999999999998E-2</v>
      </c>
      <c r="H7" s="37">
        <v>5.1729999999999998E-2</v>
      </c>
    </row>
    <row r="8" spans="1:14">
      <c r="A8" t="s">
        <v>10</v>
      </c>
      <c r="B8" s="5"/>
      <c r="C8" s="6">
        <v>0.37802999999999998</v>
      </c>
      <c r="D8" s="6">
        <v>0.37808999999999998</v>
      </c>
      <c r="F8" s="37">
        <v>0.37808999999999998</v>
      </c>
      <c r="G8" s="37">
        <v>0.37808999999999998</v>
      </c>
      <c r="H8" s="37">
        <v>0.37808999999999998</v>
      </c>
    </row>
    <row r="9" spans="1:14">
      <c r="B9" s="5"/>
      <c r="C9" s="6"/>
      <c r="D9" s="6"/>
      <c r="F9" s="37"/>
      <c r="G9" s="37"/>
      <c r="H9" s="37"/>
    </row>
    <row r="10" spans="1:14">
      <c r="A10" t="s">
        <v>11</v>
      </c>
      <c r="B10" s="77">
        <v>6.7220000000000004</v>
      </c>
      <c r="C10" s="77">
        <v>9.0939999999999994</v>
      </c>
      <c r="D10" s="77">
        <v>9.24</v>
      </c>
      <c r="E10" s="26"/>
      <c r="F10" s="79">
        <v>9.24</v>
      </c>
      <c r="G10" s="79">
        <v>9.24</v>
      </c>
      <c r="H10" s="79">
        <v>9.24</v>
      </c>
    </row>
    <row r="11" spans="1:14">
      <c r="A11" t="s">
        <v>12</v>
      </c>
      <c r="B11" s="77">
        <v>5.3570000000000002</v>
      </c>
      <c r="C11" s="77">
        <v>6.266</v>
      </c>
      <c r="D11" s="77">
        <v>5.84</v>
      </c>
      <c r="E11" s="26"/>
      <c r="F11" s="79">
        <v>5.84</v>
      </c>
      <c r="G11" s="79">
        <v>5.84</v>
      </c>
      <c r="H11" s="79">
        <v>5.84</v>
      </c>
    </row>
    <row r="12" spans="1:14">
      <c r="A12" t="s">
        <v>13</v>
      </c>
      <c r="B12" s="77">
        <v>5.444</v>
      </c>
      <c r="C12" s="77">
        <v>5.7279999999999998</v>
      </c>
      <c r="D12" s="77">
        <v>5.4409999999999998</v>
      </c>
      <c r="E12" s="26"/>
      <c r="F12" s="79">
        <v>5.4409999999999998</v>
      </c>
      <c r="G12" s="79">
        <v>5.4409999999999998</v>
      </c>
      <c r="H12" s="79">
        <v>5.4409999999999998</v>
      </c>
    </row>
    <row r="13" spans="1:14">
      <c r="A13" t="s">
        <v>14</v>
      </c>
      <c r="B13" s="77">
        <v>24.213999999999999</v>
      </c>
      <c r="C13" s="77">
        <v>32.628</v>
      </c>
      <c r="D13" s="77">
        <v>28.683</v>
      </c>
      <c r="E13" s="26"/>
      <c r="F13" s="80">
        <v>28.683</v>
      </c>
      <c r="G13" s="80">
        <v>28.683</v>
      </c>
      <c r="H13" s="80">
        <v>32</v>
      </c>
    </row>
    <row r="14" spans="1:14" ht="15">
      <c r="A14" t="s">
        <v>15</v>
      </c>
      <c r="B14" s="77">
        <v>0.37485000000000002</v>
      </c>
      <c r="C14" s="77">
        <v>1.2266300000000001</v>
      </c>
      <c r="D14" s="77">
        <v>0.26527000000000001</v>
      </c>
      <c r="E14" s="26"/>
      <c r="F14" s="79">
        <v>0.26527000000000001</v>
      </c>
      <c r="G14" s="79">
        <v>0.26527000000000001</v>
      </c>
      <c r="H14" s="79">
        <v>0.26527000000000001</v>
      </c>
    </row>
    <row r="15" spans="1:14" ht="30.75">
      <c r="A15" t="s">
        <v>16</v>
      </c>
      <c r="B15" s="20">
        <v>0.24</v>
      </c>
      <c r="C15" s="20">
        <v>0.26</v>
      </c>
      <c r="D15" s="20">
        <v>0.31</v>
      </c>
      <c r="E15" s="26"/>
      <c r="F15" s="38">
        <v>0.31</v>
      </c>
      <c r="G15" s="38">
        <v>0.31</v>
      </c>
      <c r="H15" s="38">
        <v>0.31</v>
      </c>
      <c r="K15" s="62"/>
      <c r="L15" s="70" t="str">
        <f>+F20</f>
        <v xml:space="preserve"> Base Estimate</v>
      </c>
      <c r="M15" s="70" t="str">
        <f>+G20</f>
        <v>Optimistic Estimate</v>
      </c>
      <c r="N15" s="71" t="str">
        <f>+H20</f>
        <v>Pesimist Estimate</v>
      </c>
    </row>
    <row r="16" spans="1:14">
      <c r="A16" t="s">
        <v>17</v>
      </c>
      <c r="B16" s="4">
        <v>3189</v>
      </c>
      <c r="C16" s="4">
        <v>2671</v>
      </c>
      <c r="D16" s="4">
        <v>3012</v>
      </c>
      <c r="E16" s="26"/>
      <c r="F16" s="30">
        <v>3012</v>
      </c>
      <c r="G16" s="30">
        <v>3012</v>
      </c>
      <c r="H16" s="30">
        <v>3012</v>
      </c>
      <c r="J16" s="9"/>
      <c r="K16" s="72" t="s">
        <v>57</v>
      </c>
      <c r="L16" s="69">
        <f>(F30-F31*F15)/F31</f>
        <v>2.1419327455981305</v>
      </c>
      <c r="M16" s="69">
        <f>(G30-G31*G15)/G31</f>
        <v>2.1672075980918195</v>
      </c>
      <c r="N16" s="65">
        <f>(H30-H31*H15)/H31</f>
        <v>1.5205556893749799</v>
      </c>
    </row>
    <row r="17" spans="1:8">
      <c r="A17" s="7" t="s">
        <v>18</v>
      </c>
      <c r="B17" s="21">
        <v>8.5239999999999996E-2</v>
      </c>
      <c r="C17" s="21">
        <v>6.3560000000000005E-2</v>
      </c>
      <c r="D17" s="21">
        <v>6.4310000000000006E-2</v>
      </c>
      <c r="E17" s="28"/>
      <c r="F17" s="39">
        <v>6.4310000000000006E-2</v>
      </c>
      <c r="G17" s="39">
        <v>6.4310000000000006E-2</v>
      </c>
      <c r="H17" s="39">
        <v>6.4310000000000006E-2</v>
      </c>
    </row>
    <row r="18" spans="1:8" ht="15"/>
    <row r="19" spans="1:8" ht="15"/>
    <row r="20" spans="1:8" ht="30.75">
      <c r="A20" s="15" t="s">
        <v>19</v>
      </c>
      <c r="B20" s="12" t="s">
        <v>1</v>
      </c>
      <c r="C20" s="12" t="s">
        <v>2</v>
      </c>
      <c r="D20" s="12" t="s">
        <v>3</v>
      </c>
      <c r="E20" s="22" t="s">
        <v>20</v>
      </c>
      <c r="F20" s="29" t="s">
        <v>74</v>
      </c>
      <c r="G20" s="29" t="s">
        <v>75</v>
      </c>
      <c r="H20" s="29" t="s">
        <v>76</v>
      </c>
    </row>
    <row r="21" spans="1:8" ht="15">
      <c r="A21" t="s">
        <v>22</v>
      </c>
      <c r="B21" s="4">
        <v>37410</v>
      </c>
      <c r="C21" s="4">
        <v>42025</v>
      </c>
      <c r="D21" s="4">
        <v>46839</v>
      </c>
      <c r="E21" s="23">
        <v>1</v>
      </c>
      <c r="F21" s="30">
        <f>D21*(1+F3)</f>
        <v>52204.407449999999</v>
      </c>
      <c r="G21" s="30">
        <f>D21*(1+G3)</f>
        <v>55270.02</v>
      </c>
      <c r="H21" s="30">
        <f>D21*(1+H3)</f>
        <v>51054.51</v>
      </c>
    </row>
    <row r="22" spans="1:8" ht="15">
      <c r="A22" s="7" t="s">
        <v>23</v>
      </c>
      <c r="B22" s="8">
        <v>25498</v>
      </c>
      <c r="C22" s="8">
        <v>28389</v>
      </c>
      <c r="D22" s="8">
        <v>31445</v>
      </c>
      <c r="E22" s="24">
        <v>3</v>
      </c>
      <c r="F22" s="31">
        <f>F21-F23</f>
        <v>35046.906897483001</v>
      </c>
      <c r="G22" s="31">
        <f>G21-G23</f>
        <v>37104.975226800001</v>
      </c>
      <c r="H22" s="31">
        <f>H21-H23</f>
        <v>34274.934743400001</v>
      </c>
    </row>
    <row r="23" spans="1:8" ht="15">
      <c r="A23" s="9" t="s">
        <v>24</v>
      </c>
      <c r="B23" s="10">
        <v>11912</v>
      </c>
      <c r="C23" s="10">
        <v>13636</v>
      </c>
      <c r="D23" s="10">
        <v>15394</v>
      </c>
      <c r="E23" s="24">
        <v>2</v>
      </c>
      <c r="F23" s="32">
        <f>F21*F4</f>
        <v>17157.500552517002</v>
      </c>
      <c r="G23" s="32">
        <f>G21*G4</f>
        <v>18165.044773199999</v>
      </c>
      <c r="H23" s="32">
        <f>H21*H4</f>
        <v>16779.575256600001</v>
      </c>
    </row>
    <row r="24" spans="1:8" ht="15">
      <c r="A24" s="9" t="s">
        <v>25</v>
      </c>
      <c r="B24" s="10">
        <v>8134</v>
      </c>
      <c r="C24" s="10">
        <v>9379</v>
      </c>
      <c r="D24" s="10">
        <v>10534</v>
      </c>
      <c r="E24" s="24">
        <v>4</v>
      </c>
      <c r="F24" s="32">
        <f>F21*F5</f>
        <v>11740.771235504999</v>
      </c>
      <c r="G24" s="32">
        <f>G21*G5</f>
        <v>12712.104600000001</v>
      </c>
      <c r="H24" s="32">
        <f>H21*H5</f>
        <v>12253.082399999999</v>
      </c>
    </row>
    <row r="25" spans="1:8" ht="15">
      <c r="A25" s="9" t="s">
        <v>26</v>
      </c>
      <c r="B25" s="10">
        <v>967</v>
      </c>
      <c r="C25" s="10">
        <v>1098</v>
      </c>
      <c r="D25" s="10">
        <v>1259</v>
      </c>
      <c r="E25" s="23">
        <v>5</v>
      </c>
      <c r="F25" s="30">
        <f>D40*F6</f>
        <v>1410.48576</v>
      </c>
      <c r="G25" s="30">
        <f>D40*G6</f>
        <v>1410.48576</v>
      </c>
      <c r="H25" s="30">
        <f>D40*H6</f>
        <v>1410.48576</v>
      </c>
    </row>
    <row r="26" spans="1:8" ht="15">
      <c r="A26" s="7" t="s">
        <v>27</v>
      </c>
      <c r="B26" s="8">
        <v>584</v>
      </c>
      <c r="C26" s="8">
        <v>556</v>
      </c>
      <c r="D26" s="8">
        <v>570</v>
      </c>
      <c r="E26" s="23">
        <v>6</v>
      </c>
      <c r="F26" s="31">
        <f>F7*(D47+D52)</f>
        <v>493.40073999999998</v>
      </c>
      <c r="G26" s="31">
        <f>G7*(D47+D52)</f>
        <v>493.40073999999998</v>
      </c>
      <c r="H26" s="31">
        <f>H7*(D47+D52)</f>
        <v>493.40073999999998</v>
      </c>
    </row>
    <row r="27" spans="1:8" ht="15">
      <c r="A27" t="s">
        <v>28</v>
      </c>
      <c r="B27" s="4">
        <v>2227</v>
      </c>
      <c r="C27" s="4">
        <v>2603</v>
      </c>
      <c r="D27" s="4">
        <v>3031</v>
      </c>
      <c r="E27" s="23">
        <v>7</v>
      </c>
      <c r="F27" s="30">
        <f>+F23-F24-F25-F26</f>
        <v>3512.8428170120028</v>
      </c>
      <c r="G27" s="30">
        <f>+G23-G24-G25-G26</f>
        <v>3549.0536731999987</v>
      </c>
      <c r="H27" s="30">
        <f>+H23-H24-H25-H26</f>
        <v>2622.6063566000016</v>
      </c>
    </row>
    <row r="28" spans="1:8" ht="15">
      <c r="A28" s="7" t="s">
        <v>29</v>
      </c>
      <c r="B28" s="8">
        <v>851</v>
      </c>
      <c r="C28" s="8">
        <v>984</v>
      </c>
      <c r="D28" s="8">
        <v>1146</v>
      </c>
      <c r="E28" s="23">
        <v>8</v>
      </c>
      <c r="F28" s="31">
        <f>IF(F27&lt;0,0,F27*F8)</f>
        <v>1328.1707406840681</v>
      </c>
      <c r="G28" s="31">
        <f>IF(G27&lt;0,0,G27*G8)</f>
        <v>1341.8617033001874</v>
      </c>
      <c r="H28" s="31">
        <f>IF(H27&lt;0,0,H27*H8)</f>
        <v>991.58123736689458</v>
      </c>
    </row>
    <row r="29" spans="1:8" ht="15">
      <c r="A29" t="s">
        <v>66</v>
      </c>
      <c r="B29" s="4">
        <v>247</v>
      </c>
      <c r="C29" s="4">
        <v>190</v>
      </c>
      <c r="D29" s="4">
        <v>1313</v>
      </c>
      <c r="E29" s="23">
        <v>9</v>
      </c>
      <c r="F29" s="30">
        <v>0</v>
      </c>
      <c r="G29" s="30">
        <v>0</v>
      </c>
      <c r="H29" s="68">
        <v>-200</v>
      </c>
    </row>
    <row r="30" spans="1:8" ht="15">
      <c r="A30" s="11" t="s">
        <v>31</v>
      </c>
      <c r="B30" s="13">
        <v>1623</v>
      </c>
      <c r="C30" s="13">
        <v>1809</v>
      </c>
      <c r="D30" s="13">
        <v>3198</v>
      </c>
      <c r="E30" s="25">
        <v>10</v>
      </c>
      <c r="F30" s="33">
        <f>+F27-F28</f>
        <v>2184.6720763279345</v>
      </c>
      <c r="G30" s="33">
        <f>+G27-G28</f>
        <v>2207.1919698998113</v>
      </c>
      <c r="H30" s="33">
        <f>+H27-H28</f>
        <v>1631.025119233107</v>
      </c>
    </row>
    <row r="31" spans="1:8" ht="15">
      <c r="A31" t="s">
        <v>32</v>
      </c>
      <c r="B31" s="5">
        <v>910</v>
      </c>
      <c r="C31" s="5">
        <v>912</v>
      </c>
      <c r="D31" s="5">
        <v>891</v>
      </c>
      <c r="F31" s="34">
        <v>891</v>
      </c>
      <c r="G31" s="34">
        <v>891</v>
      </c>
      <c r="H31" s="34">
        <v>891</v>
      </c>
    </row>
    <row r="32" spans="1:8" ht="15"/>
    <row r="33" spans="1:8" ht="15"/>
    <row r="34" spans="1:8" ht="30.75">
      <c r="A34" s="15" t="s">
        <v>33</v>
      </c>
      <c r="B34" s="12" t="s">
        <v>1</v>
      </c>
      <c r="C34" s="12" t="s">
        <v>2</v>
      </c>
      <c r="D34" s="12" t="s">
        <v>3</v>
      </c>
      <c r="E34" s="22" t="s">
        <v>20</v>
      </c>
      <c r="F34" s="29" t="s">
        <v>77</v>
      </c>
      <c r="G34" s="29" t="s">
        <v>75</v>
      </c>
      <c r="H34" s="29" t="s">
        <v>78</v>
      </c>
    </row>
    <row r="35" spans="1:8" ht="15">
      <c r="A35" t="s">
        <v>34</v>
      </c>
      <c r="B35" s="4">
        <v>758</v>
      </c>
      <c r="C35" s="4">
        <v>708</v>
      </c>
      <c r="D35" s="4">
        <v>2245</v>
      </c>
      <c r="E35" s="23">
        <v>17</v>
      </c>
      <c r="F35" s="30">
        <f>+F59-F36-F37-F38-F42-F43</f>
        <v>1402.3049542083936</v>
      </c>
      <c r="G35" s="30">
        <f>+G59-G36-G37-G38-G42-G43</f>
        <v>1032.2528247749906</v>
      </c>
      <c r="H35" s="30">
        <f>+H59-H36-H37-H38-H42-H43</f>
        <v>723.48148844902971</v>
      </c>
    </row>
    <row r="36" spans="1:8" ht="15">
      <c r="A36" t="s">
        <v>35</v>
      </c>
      <c r="B36" s="4">
        <v>5565</v>
      </c>
      <c r="C36" s="4">
        <v>4621</v>
      </c>
      <c r="D36" s="4">
        <v>5069</v>
      </c>
      <c r="E36" s="23">
        <v>1</v>
      </c>
      <c r="F36" s="30">
        <f>F21/F10</f>
        <v>5649.8276461038959</v>
      </c>
      <c r="G36" s="30">
        <f>G21/G10</f>
        <v>5981.6038961038957</v>
      </c>
      <c r="H36" s="30">
        <f>H21/H10</f>
        <v>5525.3798701298701</v>
      </c>
    </row>
    <row r="37" spans="1:8" ht="15">
      <c r="A37" t="s">
        <v>36</v>
      </c>
      <c r="B37" s="4">
        <v>4760</v>
      </c>
      <c r="C37" s="4">
        <v>4531</v>
      </c>
      <c r="D37" s="4">
        <v>5384</v>
      </c>
      <c r="E37" s="23">
        <v>2</v>
      </c>
      <c r="F37" s="30">
        <f>F22/F11</f>
        <v>6001.1826879251712</v>
      </c>
      <c r="G37" s="30">
        <f>G22/G11</f>
        <v>6353.5916484246582</v>
      </c>
      <c r="H37" s="30">
        <f>H22/H11</f>
        <v>5868.9956752397266</v>
      </c>
    </row>
    <row r="38" spans="1:8" ht="15">
      <c r="A38" s="7" t="s">
        <v>37</v>
      </c>
      <c r="B38" s="8">
        <v>852</v>
      </c>
      <c r="C38" s="8">
        <v>3092</v>
      </c>
      <c r="D38" s="8">
        <v>1224</v>
      </c>
      <c r="E38" s="23">
        <v>3</v>
      </c>
      <c r="F38" s="31">
        <f>D38</f>
        <v>1224</v>
      </c>
      <c r="G38" s="31">
        <f>D38</f>
        <v>1224</v>
      </c>
      <c r="H38" s="31">
        <f>D38</f>
        <v>1224</v>
      </c>
    </row>
    <row r="39" spans="1:8" ht="15">
      <c r="A39" s="11" t="s">
        <v>38</v>
      </c>
      <c r="B39" s="13">
        <v>11935</v>
      </c>
      <c r="C39" s="13">
        <v>12952</v>
      </c>
      <c r="D39" s="13">
        <v>13922</v>
      </c>
      <c r="F39" s="33">
        <f>SUM(F35:F38)</f>
        <v>14277.31528823746</v>
      </c>
      <c r="G39" s="33">
        <f>SUM(G35:G38)</f>
        <v>14591.448369303544</v>
      </c>
      <c r="H39" s="33">
        <f>SUM(H35:H38)</f>
        <v>13341.857033818625</v>
      </c>
    </row>
    <row r="40" spans="1:8" ht="15">
      <c r="A40" t="s">
        <v>39</v>
      </c>
      <c r="B40" s="4">
        <v>20936</v>
      </c>
      <c r="C40" s="4">
        <v>19880</v>
      </c>
      <c r="D40" s="4">
        <v>22272</v>
      </c>
      <c r="E40" s="23">
        <v>4</v>
      </c>
      <c r="F40" s="30">
        <f>D40+(F21*D17)</f>
        <v>25629.2654431095</v>
      </c>
      <c r="G40" s="30">
        <f>D40+(G21*G17)</f>
        <v>25826.414986200001</v>
      </c>
      <c r="H40" s="30">
        <f>D40+(H21*H17)</f>
        <v>25555.3155381</v>
      </c>
    </row>
    <row r="41" spans="1:8" ht="15">
      <c r="A41" t="s">
        <v>40</v>
      </c>
      <c r="B41" s="4">
        <v>5629</v>
      </c>
      <c r="C41" s="4">
        <v>4727</v>
      </c>
      <c r="D41" s="4">
        <v>5412</v>
      </c>
      <c r="E41" s="23">
        <v>5</v>
      </c>
      <c r="F41" s="30">
        <f>+D41+F25</f>
        <v>6822.4857599999996</v>
      </c>
      <c r="G41" s="30">
        <f>+D41+G25</f>
        <v>6822.4857599999996</v>
      </c>
      <c r="H41" s="30">
        <f>+D41+H25</f>
        <v>6822.4857599999996</v>
      </c>
    </row>
    <row r="42" spans="1:8" ht="15">
      <c r="A42" t="s">
        <v>41</v>
      </c>
      <c r="B42" s="4">
        <v>15307</v>
      </c>
      <c r="C42" s="4">
        <v>15153</v>
      </c>
      <c r="D42" s="4">
        <v>16860</v>
      </c>
      <c r="E42" s="23">
        <v>6</v>
      </c>
      <c r="F42" s="30">
        <f>+F40-F41</f>
        <v>18806.7796831095</v>
      </c>
      <c r="G42" s="30">
        <f>+G40-G41</f>
        <v>19003.929226200002</v>
      </c>
      <c r="H42" s="30">
        <f>+H40-H41</f>
        <v>18732.8297781</v>
      </c>
    </row>
    <row r="43" spans="1:8" ht="15">
      <c r="A43" s="7" t="s">
        <v>72</v>
      </c>
      <c r="B43" s="8">
        <v>1361</v>
      </c>
      <c r="C43" s="8">
        <v>3311</v>
      </c>
      <c r="D43" s="8">
        <v>1511</v>
      </c>
      <c r="E43" s="23">
        <v>7</v>
      </c>
      <c r="F43" s="31">
        <f>D43</f>
        <v>1511</v>
      </c>
      <c r="G43" s="31">
        <f>D43</f>
        <v>1511</v>
      </c>
      <c r="H43" s="31">
        <f>D43</f>
        <v>1511</v>
      </c>
    </row>
    <row r="44" spans="1:8" ht="15">
      <c r="A44" s="11" t="s">
        <v>43</v>
      </c>
      <c r="B44" s="13">
        <v>28603</v>
      </c>
      <c r="C44" s="13">
        <v>31416</v>
      </c>
      <c r="D44" s="13">
        <v>32293</v>
      </c>
      <c r="F44" s="33">
        <f>F39+F42+F43</f>
        <v>34595.09497134696</v>
      </c>
      <c r="G44" s="33">
        <f>G39+G42+G43</f>
        <v>35106.377595503545</v>
      </c>
      <c r="H44" s="33">
        <f>H39+H42+H43</f>
        <v>33585.686811918626</v>
      </c>
    </row>
    <row r="45" spans="1:8" ht="15">
      <c r="B45" s="5"/>
      <c r="C45" s="5"/>
      <c r="D45" s="5"/>
      <c r="F45" s="34"/>
      <c r="G45" s="34"/>
      <c r="H45" s="34"/>
    </row>
    <row r="46" spans="1:8" ht="15">
      <c r="A46" t="s">
        <v>44</v>
      </c>
      <c r="B46" s="4">
        <v>4684</v>
      </c>
      <c r="C46" s="4">
        <v>4956</v>
      </c>
      <c r="D46" s="4">
        <v>5779</v>
      </c>
      <c r="E46" s="23">
        <v>8</v>
      </c>
      <c r="F46" s="30">
        <f>F22/F12</f>
        <v>6441.2620653341301</v>
      </c>
      <c r="G46" s="30">
        <f>G22/G12</f>
        <v>6819.5139178092268</v>
      </c>
      <c r="H46" s="30">
        <f>H22/H12</f>
        <v>6299.3815003492009</v>
      </c>
    </row>
    <row r="47" spans="1:8" ht="15">
      <c r="A47" t="s">
        <v>45</v>
      </c>
      <c r="B47" s="4">
        <v>975</v>
      </c>
      <c r="C47" s="4">
        <v>863</v>
      </c>
      <c r="D47" s="4">
        <v>504</v>
      </c>
      <c r="E47" s="23">
        <v>9</v>
      </c>
      <c r="F47" s="30">
        <f>751</f>
        <v>751</v>
      </c>
      <c r="G47" s="30">
        <f>751</f>
        <v>751</v>
      </c>
      <c r="H47" s="30">
        <f>751</f>
        <v>751</v>
      </c>
    </row>
    <row r="48" spans="1:8" ht="15">
      <c r="A48" t="s">
        <v>46</v>
      </c>
      <c r="B48" s="4">
        <v>1545</v>
      </c>
      <c r="C48" s="4">
        <v>1288</v>
      </c>
      <c r="D48" s="4">
        <v>1633</v>
      </c>
      <c r="E48" s="23">
        <v>10</v>
      </c>
      <c r="F48" s="30">
        <f>+F21/F13</f>
        <v>1820.0469773036293</v>
      </c>
      <c r="G48" s="30">
        <f>+G21/G13</f>
        <v>1926.9260537600669</v>
      </c>
      <c r="H48" s="30">
        <f>+H21/H13</f>
        <v>1595.4534375000001</v>
      </c>
    </row>
    <row r="49" spans="1:8" ht="15">
      <c r="A49" s="7" t="s">
        <v>47</v>
      </c>
      <c r="B49" s="8">
        <v>319</v>
      </c>
      <c r="C49" s="8">
        <v>1207</v>
      </c>
      <c r="D49" s="8">
        <v>304</v>
      </c>
      <c r="E49" s="23">
        <v>11</v>
      </c>
      <c r="F49" s="31">
        <f>F28*F14</f>
        <v>352.32385238126272</v>
      </c>
      <c r="G49" s="31">
        <f>G28*G14</f>
        <v>355.95565403444073</v>
      </c>
      <c r="H49" s="31">
        <f>H28*H14</f>
        <v>263.03675483631611</v>
      </c>
    </row>
    <row r="50" spans="1:8" ht="15">
      <c r="A50" s="11" t="s">
        <v>48</v>
      </c>
      <c r="B50" s="13">
        <v>7523</v>
      </c>
      <c r="C50" s="13">
        <v>8314</v>
      </c>
      <c r="D50" s="13">
        <v>8220</v>
      </c>
      <c r="F50" s="33">
        <f>SUM(F46:F49)</f>
        <v>9364.6328950190236</v>
      </c>
      <c r="G50" s="33">
        <f>SUM(G46:G49)</f>
        <v>9853.3956256037345</v>
      </c>
      <c r="H50" s="33">
        <f>SUM(H46:H49)</f>
        <v>8908.8716926855159</v>
      </c>
    </row>
    <row r="51" spans="1:8" ht="15">
      <c r="A51" t="s">
        <v>49</v>
      </c>
      <c r="B51" s="4">
        <v>1451</v>
      </c>
      <c r="C51" s="4">
        <v>1815</v>
      </c>
      <c r="D51" s="4">
        <v>2010</v>
      </c>
      <c r="E51" s="23">
        <v>12</v>
      </c>
      <c r="F51" s="30">
        <f>D51</f>
        <v>2010</v>
      </c>
      <c r="G51" s="30">
        <f>D51</f>
        <v>2010</v>
      </c>
      <c r="H51" s="30">
        <f>D51</f>
        <v>2010</v>
      </c>
    </row>
    <row r="52" spans="1:8" ht="15">
      <c r="A52" s="7" t="s">
        <v>50</v>
      </c>
      <c r="B52" s="8">
        <v>10186</v>
      </c>
      <c r="C52" s="8">
        <v>10155</v>
      </c>
      <c r="D52" s="8">
        <v>9034</v>
      </c>
      <c r="E52" s="23">
        <v>13</v>
      </c>
      <c r="F52" s="31">
        <f>D52-F47</f>
        <v>8283</v>
      </c>
      <c r="G52" s="31">
        <f>D52-G47</f>
        <v>8283</v>
      </c>
      <c r="H52" s="31">
        <f>D52-H47</f>
        <v>8283</v>
      </c>
    </row>
    <row r="53" spans="1:8" ht="15">
      <c r="A53" s="11" t="s">
        <v>51</v>
      </c>
      <c r="B53" s="13">
        <v>19160</v>
      </c>
      <c r="C53" s="13">
        <v>20284</v>
      </c>
      <c r="D53" s="13">
        <v>19264</v>
      </c>
      <c r="F53" s="33">
        <f>SUM(F50:F52)</f>
        <v>19657.632895019022</v>
      </c>
      <c r="G53" s="33">
        <f>SUM(G50:G52)</f>
        <v>20146.395625603735</v>
      </c>
      <c r="H53" s="33">
        <f>SUM(H50:H52)</f>
        <v>19201.871692685516</v>
      </c>
    </row>
    <row r="54" spans="1:8" ht="15">
      <c r="B54" s="5"/>
      <c r="C54" s="5"/>
      <c r="D54" s="5"/>
      <c r="F54" s="34"/>
      <c r="G54" s="34"/>
      <c r="H54" s="34"/>
    </row>
    <row r="55" spans="1:8" ht="15">
      <c r="A55" t="s">
        <v>52</v>
      </c>
      <c r="B55" s="4">
        <v>76</v>
      </c>
      <c r="C55" s="4">
        <v>76</v>
      </c>
      <c r="D55" s="4">
        <v>74</v>
      </c>
      <c r="E55" s="23">
        <v>14</v>
      </c>
      <c r="F55" s="30">
        <f>D55</f>
        <v>74</v>
      </c>
      <c r="G55" s="30">
        <f>D55</f>
        <v>74</v>
      </c>
      <c r="H55" s="30">
        <f>D55</f>
        <v>74</v>
      </c>
    </row>
    <row r="56" spans="1:8" ht="15">
      <c r="A56" t="s">
        <v>53</v>
      </c>
      <c r="B56" s="4">
        <v>1256</v>
      </c>
      <c r="C56" s="4">
        <v>1530</v>
      </c>
      <c r="D56" s="4">
        <v>1810</v>
      </c>
      <c r="E56" s="23">
        <v>15</v>
      </c>
      <c r="F56" s="30">
        <f>D56</f>
        <v>1810</v>
      </c>
      <c r="G56" s="30">
        <f>D56</f>
        <v>1810</v>
      </c>
      <c r="H56" s="30">
        <f>D56</f>
        <v>1810</v>
      </c>
    </row>
    <row r="57" spans="1:8" ht="15">
      <c r="A57" s="16" t="s">
        <v>54</v>
      </c>
      <c r="B57" s="40">
        <v>8111</v>
      </c>
      <c r="C57" s="40">
        <v>9526</v>
      </c>
      <c r="D57" s="40">
        <v>11145</v>
      </c>
      <c r="E57" s="23">
        <v>16</v>
      </c>
      <c r="F57" s="31">
        <f>+D57+F30-F31*F15</f>
        <v>13053.462076327934</v>
      </c>
      <c r="G57" s="31">
        <f>+D57+G30-G31*G15</f>
        <v>13075.981969899813</v>
      </c>
      <c r="H57" s="31">
        <f>+D57+H30-H31*H15</f>
        <v>12499.815119233108</v>
      </c>
    </row>
    <row r="58" spans="1:8" ht="15">
      <c r="A58" s="17" t="s">
        <v>55</v>
      </c>
      <c r="B58" s="41">
        <v>9443</v>
      </c>
      <c r="C58" s="41">
        <v>11132</v>
      </c>
      <c r="D58" s="41">
        <v>13029</v>
      </c>
      <c r="F58" s="42">
        <f>+SUM(F55:F57)</f>
        <v>14937.462076327934</v>
      </c>
      <c r="G58" s="42">
        <f>+SUM(G55:G57)</f>
        <v>14959.981969899813</v>
      </c>
      <c r="H58" s="42">
        <f>+SUM(H55:H57)</f>
        <v>14383.815119233108</v>
      </c>
    </row>
    <row r="59" spans="1:8" ht="15">
      <c r="A59" s="11" t="s">
        <v>56</v>
      </c>
      <c r="B59" s="13">
        <v>28603</v>
      </c>
      <c r="C59" s="13">
        <v>31416</v>
      </c>
      <c r="D59" s="13">
        <v>32293</v>
      </c>
      <c r="F59" s="33">
        <f>+F58+F53</f>
        <v>34595.09497134696</v>
      </c>
      <c r="G59" s="33">
        <f>+G58+G53</f>
        <v>35106.377595503545</v>
      </c>
      <c r="H59" s="33">
        <f>+H58+H53</f>
        <v>33585.686811918626</v>
      </c>
    </row>
    <row r="60" spans="1:8" ht="15"/>
    <row r="61" spans="1:8" ht="15"/>
    <row r="62" spans="1:8" ht="15"/>
    <row r="63" spans="1:8" ht="15"/>
    <row r="64" spans="1:8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Ortiz M.</dc:creator>
  <cp:keywords/>
  <dc:description/>
  <cp:lastModifiedBy>Marcelo Ortiz</cp:lastModifiedBy>
  <cp:revision/>
  <dcterms:created xsi:type="dcterms:W3CDTF">2023-08-20T07:47:58Z</dcterms:created>
  <dcterms:modified xsi:type="dcterms:W3CDTF">2023-10-24T14:08:08Z</dcterms:modified>
  <cp:category/>
  <cp:contentStatus/>
</cp:coreProperties>
</file>