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ecast" sheetId="1" state="visible" r:id="rId3"/>
    <sheet name="sens_analysis" sheetId="2" state="visible" r:id="rId4"/>
    <sheet name="scenario" sheetId="3" state="visible" r:id="rId5"/>
  </sheets>
  <definedNames>
    <definedName function="false" hidden="true" localSheetId="1" name="solver_adj" vbProcedure="false">sens_analysis!$F$3,sens_analysis!$F$5</definedName>
    <definedName function="false" hidden="true" localSheetId="1" name="solver_cvg" vbProcedure="false">0.0001</definedName>
    <definedName function="false" hidden="true" localSheetId="1" name="solver_drv" vbProcedure="false">2</definedName>
    <definedName function="false" hidden="true" localSheetId="1" name="solver_eng" vbProcedure="false">1</definedName>
    <definedName function="false" hidden="true" localSheetId="1" name="solver_est" vbProcedure="false">1</definedName>
    <definedName function="false" hidden="true" localSheetId="1" name="solver_itr" vbProcedure="false">2147483647</definedName>
    <definedName function="false" hidden="true" localSheetId="1" name="solver_lhs1" vbProcedure="false">sens_analysis!$F$3</definedName>
    <definedName function="false" hidden="true" localSheetId="1" name="solver_lhs2" vbProcedure="false">sens_analysis!$F$5</definedName>
    <definedName function="false" hidden="true" localSheetId="1" name="solver_mip" vbProcedure="false">2147483647</definedName>
    <definedName function="false" hidden="true" localSheetId="1" name="solver_mni" vbProcedure="false">30</definedName>
    <definedName function="false" hidden="true" localSheetId="1" name="solver_mrt" vbProcedure="false">0.075</definedName>
    <definedName function="false" hidden="true" localSheetId="1" name="solver_msl" vbProcedure="false">2</definedName>
    <definedName function="false" hidden="true" localSheetId="1" name="solver_neg" vbProcedure="false">1</definedName>
    <definedName function="false" hidden="true" localSheetId="1" name="solver_nod" vbProcedure="false">2147483647</definedName>
    <definedName function="false" hidden="true" localSheetId="1" name="solver_num" vbProcedure="false">2</definedName>
    <definedName function="false" hidden="true" localSheetId="1" name="solver_nwt" vbProcedure="false">1</definedName>
    <definedName function="false" hidden="true" localSheetId="1" name="solver_opt" vbProcedure="false">sens_analysis!$J$36</definedName>
    <definedName function="false" hidden="true" localSheetId="1" name="solver_pre" vbProcedure="false">0.000001</definedName>
    <definedName function="false" hidden="true" localSheetId="1" name="solver_rbv" vbProcedure="false">2</definedName>
    <definedName function="false" hidden="true" localSheetId="1" name="solver_rel1" vbProcedure="false">1</definedName>
    <definedName function="false" hidden="true" localSheetId="1" name="solver_rel2" vbProcedure="false">3</definedName>
    <definedName function="false" hidden="true" localSheetId="1" name="solver_rhs1" vbProcedure="false">sens_analysis!$O$35</definedName>
    <definedName function="false" hidden="true" localSheetId="1" name="solver_rhs2" vbProcedure="false">sens_analysis!$O$36</definedName>
    <definedName function="false" hidden="true" localSheetId="1" name="solver_rlx" vbProcedure="false">2</definedName>
    <definedName function="false" hidden="true" localSheetId="1" name="solver_rsd" vbProcedure="false">0</definedName>
    <definedName function="false" hidden="true" localSheetId="1" name="solver_scl" vbProcedure="false">2</definedName>
    <definedName function="false" hidden="true" localSheetId="1" name="solver_sho" vbProcedure="false">2</definedName>
    <definedName function="false" hidden="true" localSheetId="1" name="solver_ssz" vbProcedure="false">100</definedName>
    <definedName function="false" hidden="true" localSheetId="1" name="solver_tim" vbProcedure="false">2147483647</definedName>
    <definedName function="false" hidden="true" localSheetId="1" name="solver_tol" vbProcedure="false">0.01</definedName>
    <definedName function="false" hidden="true" localSheetId="1" name="solver_typ" vbProcedure="false">3</definedName>
    <definedName function="false" hidden="true" localSheetId="1" name="solver_val" vbProcedure="false">3.28</definedName>
    <definedName function="false" hidden="tru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<sst xmlns="http://schemas.openxmlformats.org/spreadsheetml/2006/main" count="215" uniqueCount="79">
  <si>
    <t xml:space="preserve">Selected Ratios (in percent)</t>
  </si>
  <si>
    <t xml:space="preserve">20X1</t>
  </si>
  <si>
    <t xml:space="preserve">20X2</t>
  </si>
  <si>
    <t xml:space="preserve">20X3</t>
  </si>
  <si>
    <t xml:space="preserve">Assumptions 20X4</t>
  </si>
  <si>
    <t xml:space="preserve">Sales growth</t>
  </si>
  <si>
    <t xml:space="preserve">Gross profit margin</t>
  </si>
  <si>
    <t xml:space="preserve">Selling, general, and administrative expense/Sales</t>
  </si>
  <si>
    <t xml:space="preserve">Depreciation expense/Gross prior-year PP&amp;E</t>
  </si>
  <si>
    <t xml:space="preserve">Interest expense/Prior-year long-term debt</t>
  </si>
  <si>
    <t xml:space="preserve">Income tax expense/Pretax income</t>
  </si>
  <si>
    <t xml:space="preserve">Accounts receivable turnover rate</t>
  </si>
  <si>
    <t xml:space="preserve">Inventory turnover rate</t>
  </si>
  <si>
    <t xml:space="preserve">Accounts payable turnover rate</t>
  </si>
  <si>
    <t xml:space="preserve">Accrued expenses turnover rate</t>
  </si>
  <si>
    <t xml:space="preserve">Taxes payable/Tax expense</t>
  </si>
  <si>
    <t xml:space="preserve">Dividends per share</t>
  </si>
  <si>
    <t xml:space="preserve">Capital expenditures (CAPEX)—in millions</t>
  </si>
  <si>
    <t xml:space="preserve">CAPEX/Sales</t>
  </si>
  <si>
    <t xml:space="preserve">INCOME STATEMENT (in millions)</t>
  </si>
  <si>
    <t xml:space="preserve">Forecasting Step</t>
  </si>
  <si>
    <t xml:space="preserve">20X4 Estimate</t>
  </si>
  <si>
    <t xml:space="preserve">Sales</t>
  </si>
  <si>
    <t xml:space="preserve">Cost of goods sold</t>
  </si>
  <si>
    <t xml:space="preserve">Gross profit</t>
  </si>
  <si>
    <t xml:space="preserve">Selling, general, and administrative expense</t>
  </si>
  <si>
    <t xml:space="preserve">Depreciation and amortization expense</t>
  </si>
  <si>
    <t xml:space="preserve">Interest expense</t>
  </si>
  <si>
    <t xml:space="preserve">Income before tax</t>
  </si>
  <si>
    <t xml:space="preserve">Income tax expense</t>
  </si>
  <si>
    <t xml:space="preserve">Income (loss) from special items and discontinued operations</t>
  </si>
  <si>
    <t xml:space="preserve">Net income</t>
  </si>
  <si>
    <t xml:space="preserve">Outstanding shares</t>
  </si>
  <si>
    <t xml:space="preserve">BALANCE SHEET (in millions)</t>
  </si>
  <si>
    <t xml:space="preserve">Cash</t>
  </si>
  <si>
    <t xml:space="preserve">Receivables</t>
  </si>
  <si>
    <t xml:space="preserve">Inventories</t>
  </si>
  <si>
    <t xml:space="preserve">Other current assets</t>
  </si>
  <si>
    <t xml:space="preserve">Total current assets</t>
  </si>
  <si>
    <t xml:space="preserve">Property, plant, and equipment (PP&amp;E)</t>
  </si>
  <si>
    <t xml:space="preserve">Accumulated depreciation</t>
  </si>
  <si>
    <t xml:space="preserve">Net property, plant, and equipment</t>
  </si>
  <si>
    <t xml:space="preserve">Other noncurrent assets</t>
  </si>
  <si>
    <t xml:space="preserve">Total assets</t>
  </si>
  <si>
    <t xml:space="preserve">Accounts payable</t>
  </si>
  <si>
    <t xml:space="preserve">Current portion of long-term debt</t>
  </si>
  <si>
    <t xml:space="preserve">Accrued expenses</t>
  </si>
  <si>
    <t xml:space="preserve">Income taxes &amp; other</t>
  </si>
  <si>
    <t xml:space="preserve">Total current liabilities</t>
  </si>
  <si>
    <t xml:space="preserve">Deferred income taxes and other liabilities</t>
  </si>
  <si>
    <t xml:space="preserve">Long-term debt</t>
  </si>
  <si>
    <t xml:space="preserve">Total liabilities</t>
  </si>
  <si>
    <t xml:space="preserve">Common stock</t>
  </si>
  <si>
    <t xml:space="preserve">Additional paid-in capital</t>
  </si>
  <si>
    <t xml:space="preserve">Retained earnings</t>
  </si>
  <si>
    <t xml:space="preserve">Shareholders’ equity</t>
  </si>
  <si>
    <t xml:space="preserve">Total liabilities and equity</t>
  </si>
  <si>
    <t xml:space="preserve">EPS</t>
  </si>
  <si>
    <t xml:space="preserve">(now as text not as formulas)</t>
  </si>
  <si>
    <t xml:space="preserve">Analysis</t>
  </si>
  <si>
    <t xml:space="preserve">1) How much should increase the sales to keep EPS constant?</t>
  </si>
  <si>
    <t xml:space="preserve">Data&gt;What-if-Analysis&gt;Goal Seeker</t>
  </si>
  <si>
    <t xml:space="preserve">EPS 20X3</t>
  </si>
  <si>
    <t xml:space="preserve">Estimated EPS</t>
  </si>
  <si>
    <t xml:space="preserve">Answer: </t>
  </si>
  <si>
    <t xml:space="preserve">the sales growth rate should be 45%, very far away from the previous years growth</t>
  </si>
  <si>
    <t xml:space="preserve">Income (loss) from extraordinary items and discontinued operations</t>
  </si>
  <si>
    <t xml:space="preserve">2) How much should the sales grow and SGA decrease to keep EPS constant?</t>
  </si>
  <si>
    <t xml:space="preserve">File&gt;Options&gt;Add-in&gt; Solver</t>
  </si>
  <si>
    <t xml:space="preserve">Constraints</t>
  </si>
  <si>
    <t xml:space="preserve">sales should growth 11.75% and SGA reduced to be a 19.4% ofsales</t>
  </si>
  <si>
    <t xml:space="preserve">3) How sensible is the forecasted EPS to sales and SGA assumptions?</t>
  </si>
  <si>
    <t xml:space="preserve">Other assets</t>
  </si>
  <si>
    <t xml:space="preserve">SGA/Sales</t>
  </si>
  <si>
    <t xml:space="preserve"> Base Estimate</t>
  </si>
  <si>
    <t xml:space="preserve">Optimistic Estimate</t>
  </si>
  <si>
    <t xml:space="preserve">Pesimist Estimate</t>
  </si>
  <si>
    <t xml:space="preserve">Base Estimate</t>
  </si>
  <si>
    <t xml:space="preserve">Pessimist Estimate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</si>
</sst>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.00"/>
    <numFmt numFmtId="167" formatCode="\$#,##0.00_);[RED]&quot;($&quot;#,##0.00\)"/>
    <numFmt numFmtId="168" formatCode="\$#,##0_);[RED]&quot;($&quot;#,##0\)"/>
    <numFmt numFmtId="169" formatCode="#,##0"/>
    <numFmt numFmtId="170" formatCode="0%"/>
    <numFmt numFmtId="171" formatCode="0.0%"/>
    <numFmt numFmtId="172" formatCode="_(\$* #,##0.00_);_(\$* \(#,##0.00\);_(\$* \-??_);_(@_)"/>
    <numFmt numFmtId="173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theme="0" tint="-0.05"/>
        <bgColor rgb="FFE7E6E6"/>
      </patternFill>
    </fill>
    <fill>
      <patternFill patternType="solid">
        <fgColor theme="7"/>
        <bgColor rgb="FFFF9900"/>
      </patternFill>
    </fill>
    <fill>
      <patternFill patternType="solid">
        <fgColor theme="0" tint="-0.25"/>
        <bgColor rgb="FFCCCCFF"/>
      </patternFill>
    </fill>
    <fill>
      <patternFill patternType="solid">
        <fgColor theme="2"/>
        <bgColor rgb="FFF2F2F2"/>
      </patternFill>
    </fill>
    <fill>
      <patternFill patternType="solid">
        <fgColor theme="0" tint="-0.5"/>
        <bgColor rgb="FF969696"/>
      </patternFill>
    </fill>
    <fill>
      <patternFill patternType="solid">
        <fgColor theme="7" tint="0.7999"/>
        <bgColor rgb="FFF2F2F2"/>
      </patternFill>
    </fill>
    <fill>
      <patternFill patternType="solid">
        <fgColor theme="7" tint="0.3999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71" fontId="1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2" borderId="1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2" borderId="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278280</xdr:colOff>
      <xdr:row>1</xdr:row>
      <xdr:rowOff>38160</xdr:rowOff>
    </xdr:from>
    <xdr:to>
      <xdr:col>17</xdr:col>
      <xdr:colOff>510480</xdr:colOff>
      <xdr:row>12</xdr:row>
      <xdr:rowOff>94680</xdr:rowOff>
    </xdr:to>
    <xdr:sp>
      <xdr:nvSpPr>
        <xdr:cNvPr id="0" name="TextBox 1"/>
        <xdr:cNvSpPr/>
      </xdr:nvSpPr>
      <xdr:spPr>
        <a:xfrm>
          <a:off x="13390560" y="219240"/>
          <a:ext cx="5863320" cy="20473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Base estimate: same ratios than previous year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Optimistic estimate: sales growth increase to 18% with a modest increase of SGA up to 23% of sales.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Pessimistic estimate: extraordinary loss of $200, sales growth decline to 9% and the company cannot control SGA expenses, increasing to 24% of sales</a:t>
          </a:r>
          <a:endParaRPr b="0" lang="en-US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78"/>
  <sheetViews>
    <sheetView showFormulas="false" showGridLines="fals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35" activeCellId="0" sqref="F3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61.29"/>
    <col collapsed="false" customWidth="true" hidden="false" outlineLevel="0" max="2" min="2" style="1" width="14.86"/>
    <col collapsed="false" customWidth="true" hidden="false" outlineLevel="0" max="4" min="3" style="1" width="12.29"/>
    <col collapsed="false" customWidth="true" hidden="false" outlineLevel="0" max="5" min="5" style="2" width="10.71"/>
    <col collapsed="false" customWidth="true" hidden="false" outlineLevel="0" max="6" min="6" style="3" width="13.29"/>
  </cols>
  <sheetData>
    <row r="2" customFormat="false" ht="14.25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6"/>
      <c r="F2" s="7" t="s">
        <v>4</v>
      </c>
    </row>
    <row r="3" customFormat="false" ht="14.25" hidden="false" customHeight="false" outlineLevel="0" collapsed="false">
      <c r="A3" s="0" t="s">
        <v>5</v>
      </c>
      <c r="B3" s="8"/>
      <c r="C3" s="9" t="n">
        <f aca="false">+C21/B21-1</f>
        <v>0.123362737236033</v>
      </c>
      <c r="D3" s="9" t="n">
        <f aca="false">+D21/C21-1</f>
        <v>0.114550862581797</v>
      </c>
      <c r="F3" s="10" t="n">
        <f aca="false">+D3</f>
        <v>0.114550862581797</v>
      </c>
    </row>
    <row r="4" customFormat="false" ht="14.25" hidden="false" customHeight="false" outlineLevel="0" collapsed="false">
      <c r="A4" s="0" t="s">
        <v>6</v>
      </c>
      <c r="B4" s="8"/>
      <c r="C4" s="9" t="n">
        <f aca="false">+C23/C21</f>
        <v>0.324473527662106</v>
      </c>
      <c r="D4" s="9" t="n">
        <f aca="false">+D23/D21</f>
        <v>0.328657742479558</v>
      </c>
      <c r="F4" s="10" t="n">
        <f aca="false">+D4</f>
        <v>0.328657742479558</v>
      </c>
    </row>
    <row r="5" customFormat="false" ht="14.25" hidden="false" customHeight="false" outlineLevel="0" collapsed="false">
      <c r="A5" s="0" t="s">
        <v>7</v>
      </c>
      <c r="B5" s="8"/>
      <c r="C5" s="9" t="n">
        <f aca="false">+C24/C21</f>
        <v>0.223176680547293</v>
      </c>
      <c r="D5" s="9" t="n">
        <f aca="false">+D24/D21</f>
        <v>0.224898055039604</v>
      </c>
      <c r="F5" s="10" t="n">
        <f aca="false">+D5</f>
        <v>0.224898055039604</v>
      </c>
    </row>
    <row r="6" customFormat="false" ht="14.25" hidden="false" customHeight="false" outlineLevel="0" collapsed="false">
      <c r="A6" s="0" t="s">
        <v>8</v>
      </c>
      <c r="B6" s="8"/>
      <c r="C6" s="9" t="n">
        <f aca="false">+C25/B40</f>
        <v>0.0524455483377914</v>
      </c>
      <c r="D6" s="9" t="n">
        <f aca="false">+D25/C40</f>
        <v>0.0633299798792757</v>
      </c>
      <c r="F6" s="10" t="n">
        <f aca="false">+D6</f>
        <v>0.0633299798792757</v>
      </c>
    </row>
    <row r="7" customFormat="false" ht="14.25" hidden="false" customHeight="false" outlineLevel="0" collapsed="false">
      <c r="A7" s="0" t="s">
        <v>9</v>
      </c>
      <c r="B7" s="8"/>
      <c r="C7" s="9" t="n">
        <f aca="false">+C26/(B52+B47)</f>
        <v>0.0498163247020876</v>
      </c>
      <c r="D7" s="9" t="n">
        <f aca="false">+D26/(C52+C47)</f>
        <v>0.0517335269558904</v>
      </c>
      <c r="F7" s="10" t="n">
        <f aca="false">+D7</f>
        <v>0.0517335269558904</v>
      </c>
    </row>
    <row r="8" customFormat="false" ht="14.25" hidden="false" customHeight="false" outlineLevel="0" collapsed="false">
      <c r="A8" s="0" t="s">
        <v>10</v>
      </c>
      <c r="B8" s="8"/>
      <c r="C8" s="9" t="n">
        <f aca="false">+C28/C27</f>
        <v>0.378025355359201</v>
      </c>
      <c r="D8" s="9" t="n">
        <f aca="false">+D28/D27</f>
        <v>0.378093038601122</v>
      </c>
      <c r="F8" s="10" t="n">
        <f aca="false">+D8</f>
        <v>0.378093038601122</v>
      </c>
    </row>
    <row r="9" customFormat="false" ht="14.25" hidden="false" customHeight="false" outlineLevel="0" collapsed="false">
      <c r="B9" s="8"/>
      <c r="C9" s="9"/>
      <c r="D9" s="9"/>
      <c r="F9" s="10"/>
    </row>
    <row r="10" customFormat="false" ht="14.25" hidden="false" customHeight="false" outlineLevel="0" collapsed="false">
      <c r="A10" s="0" t="s">
        <v>11</v>
      </c>
      <c r="B10" s="11" t="n">
        <f aca="false">+B21/B36</f>
        <v>6.72237196765499</v>
      </c>
      <c r="C10" s="11" t="n">
        <f aca="false">+C21/C36</f>
        <v>9.0943518718892</v>
      </c>
      <c r="D10" s="11" t="n">
        <f aca="false">+D21/D36</f>
        <v>9.24028407970014</v>
      </c>
      <c r="E10" s="12"/>
      <c r="F10" s="13" t="n">
        <f aca="false">+D10</f>
        <v>9.24028407970014</v>
      </c>
    </row>
    <row r="11" customFormat="false" ht="14.25" hidden="false" customHeight="false" outlineLevel="0" collapsed="false">
      <c r="A11" s="0" t="s">
        <v>12</v>
      </c>
      <c r="B11" s="11" t="n">
        <f aca="false">+B22/B37</f>
        <v>5.35672268907563</v>
      </c>
      <c r="C11" s="11" t="n">
        <f aca="false">+C22/C37</f>
        <v>6.26550430368572</v>
      </c>
      <c r="D11" s="11" t="n">
        <f aca="false">+D22/D37</f>
        <v>5.84045319465082</v>
      </c>
      <c r="E11" s="12"/>
      <c r="F11" s="13" t="n">
        <f aca="false">+D11</f>
        <v>5.84045319465082</v>
      </c>
    </row>
    <row r="12" customFormat="false" ht="14.25" hidden="false" customHeight="false" outlineLevel="0" collapsed="false">
      <c r="A12" s="0" t="s">
        <v>13</v>
      </c>
      <c r="B12" s="11" t="n">
        <f aca="false">+B22/B46</f>
        <v>5.44363791631085</v>
      </c>
      <c r="C12" s="11" t="n">
        <f aca="false">+C22/C46</f>
        <v>5.72820823244552</v>
      </c>
      <c r="D12" s="11" t="n">
        <f aca="false">+D22/D46</f>
        <v>5.44125281190517</v>
      </c>
      <c r="E12" s="12"/>
      <c r="F12" s="13" t="n">
        <f aca="false">+D12</f>
        <v>5.44125281190517</v>
      </c>
    </row>
    <row r="13" customFormat="false" ht="14.25" hidden="false" customHeight="false" outlineLevel="0" collapsed="false">
      <c r="A13" s="0" t="s">
        <v>14</v>
      </c>
      <c r="B13" s="11" t="n">
        <f aca="false">+B21/B48</f>
        <v>24.2135922330097</v>
      </c>
      <c r="C13" s="11" t="n">
        <f aca="false">+C21/C48</f>
        <v>32.6281055900621</v>
      </c>
      <c r="D13" s="11" t="n">
        <f aca="false">+D21/D48</f>
        <v>28.6827924066136</v>
      </c>
      <c r="E13" s="12"/>
      <c r="F13" s="13" t="n">
        <f aca="false">+D13</f>
        <v>28.6827924066136</v>
      </c>
    </row>
    <row r="14" customFormat="false" ht="14.25" hidden="false" customHeight="false" outlineLevel="0" collapsed="false">
      <c r="A14" s="0" t="s">
        <v>15</v>
      </c>
      <c r="B14" s="11" t="n">
        <f aca="false">+B49/B28</f>
        <v>0.374853113983549</v>
      </c>
      <c r="C14" s="11" t="n">
        <f aca="false">+C49/C28</f>
        <v>1.22662601626016</v>
      </c>
      <c r="D14" s="11" t="n">
        <f aca="false">+D49/D28</f>
        <v>0.265270506108202</v>
      </c>
      <c r="E14" s="12"/>
      <c r="F14" s="13" t="n">
        <f aca="false">+D14</f>
        <v>0.265270506108202</v>
      </c>
      <c r="K14" s="14"/>
      <c r="L14" s="14"/>
    </row>
    <row r="15" customFormat="false" ht="14.25" hidden="false" customHeight="false" outlineLevel="0" collapsed="false">
      <c r="A15" s="0" t="s">
        <v>16</v>
      </c>
      <c r="B15" s="15" t="n">
        <v>0.24</v>
      </c>
      <c r="C15" s="15" t="n">
        <v>0.26</v>
      </c>
      <c r="D15" s="15" t="n">
        <v>0.31</v>
      </c>
      <c r="E15" s="16"/>
      <c r="F15" s="17" t="n">
        <f aca="false">+D15</f>
        <v>0.31</v>
      </c>
      <c r="K15" s="18"/>
      <c r="L15" s="18"/>
    </row>
    <row r="16" customFormat="false" ht="14.25" hidden="false" customHeight="false" outlineLevel="0" collapsed="false">
      <c r="A16" s="0" t="s">
        <v>17</v>
      </c>
      <c r="B16" s="19" t="n">
        <v>3189</v>
      </c>
      <c r="C16" s="19" t="n">
        <v>2671</v>
      </c>
      <c r="D16" s="19" t="n">
        <v>3012</v>
      </c>
      <c r="E16" s="16"/>
      <c r="F16" s="20" t="n">
        <f aca="false">+D16</f>
        <v>3012</v>
      </c>
      <c r="K16" s="21"/>
      <c r="L16" s="21"/>
    </row>
    <row r="17" customFormat="false" ht="14.25" hidden="false" customHeight="false" outlineLevel="0" collapsed="false">
      <c r="A17" s="22" t="s">
        <v>18</v>
      </c>
      <c r="B17" s="23" t="n">
        <f aca="false">+B16/B21</f>
        <v>0.0852445870088212</v>
      </c>
      <c r="C17" s="23" t="n">
        <f aca="false">+C16/C21</f>
        <v>0.0635574063057704</v>
      </c>
      <c r="D17" s="23" t="n">
        <f aca="false">+D16/D21</f>
        <v>0.0643053865368603</v>
      </c>
      <c r="E17" s="24"/>
      <c r="F17" s="25" t="n">
        <f aca="false">+D17</f>
        <v>0.0643053865368603</v>
      </c>
      <c r="K17" s="14"/>
      <c r="L17" s="14"/>
    </row>
    <row r="20" customFormat="false" ht="30.75" hidden="false" customHeight="false" outlineLevel="0" collapsed="false">
      <c r="A20" s="4" t="s">
        <v>19</v>
      </c>
      <c r="B20" s="5" t="s">
        <v>1</v>
      </c>
      <c r="C20" s="5" t="s">
        <v>2</v>
      </c>
      <c r="D20" s="5" t="s">
        <v>3</v>
      </c>
      <c r="E20" s="26" t="s">
        <v>20</v>
      </c>
      <c r="F20" s="27" t="s">
        <v>21</v>
      </c>
    </row>
    <row r="21" customFormat="false" ht="14.25" hidden="false" customHeight="false" outlineLevel="0" collapsed="false">
      <c r="A21" s="0" t="s">
        <v>22</v>
      </c>
      <c r="B21" s="19" t="n">
        <v>37410</v>
      </c>
      <c r="C21" s="19" t="n">
        <v>42025</v>
      </c>
      <c r="D21" s="19" t="n">
        <v>46839</v>
      </c>
      <c r="E21" s="2" t="n">
        <v>1</v>
      </c>
      <c r="F21" s="20" t="n">
        <f aca="false">D21*(1+F3)</f>
        <v>52204.4478524688</v>
      </c>
    </row>
    <row r="22" customFormat="false" ht="14.25" hidden="false" customHeight="false" outlineLevel="0" collapsed="false">
      <c r="A22" s="22" t="s">
        <v>23</v>
      </c>
      <c r="B22" s="28" t="n">
        <v>25498</v>
      </c>
      <c r="C22" s="28" t="n">
        <v>28389</v>
      </c>
      <c r="D22" s="28" t="n">
        <v>31445</v>
      </c>
      <c r="E22" s="29" t="n">
        <v>3</v>
      </c>
      <c r="F22" s="30" t="n">
        <f aca="false">F21-F23</f>
        <v>35047.0518738846</v>
      </c>
    </row>
    <row r="23" customFormat="false" ht="14.25" hidden="false" customHeight="false" outlineLevel="0" collapsed="false">
      <c r="A23" s="31" t="s">
        <v>24</v>
      </c>
      <c r="B23" s="32" t="n">
        <v>11912</v>
      </c>
      <c r="C23" s="32" t="n">
        <v>13636</v>
      </c>
      <c r="D23" s="32" t="n">
        <v>15394</v>
      </c>
      <c r="E23" s="29" t="n">
        <v>2</v>
      </c>
      <c r="F23" s="33" t="n">
        <f aca="false">F21*F4</f>
        <v>17157.3959785842</v>
      </c>
    </row>
    <row r="24" customFormat="false" ht="14.25" hidden="false" customHeight="false" outlineLevel="0" collapsed="false">
      <c r="A24" s="31" t="s">
        <v>25</v>
      </c>
      <c r="B24" s="32" t="n">
        <v>8134</v>
      </c>
      <c r="C24" s="32" t="n">
        <v>9379</v>
      </c>
      <c r="D24" s="32" t="n">
        <v>10534</v>
      </c>
      <c r="E24" s="29" t="n">
        <v>4</v>
      </c>
      <c r="F24" s="33" t="n">
        <f aca="false">F21*F5</f>
        <v>11740.6787864366</v>
      </c>
    </row>
    <row r="25" customFormat="false" ht="14.25" hidden="false" customHeight="false" outlineLevel="0" collapsed="false">
      <c r="A25" s="31" t="s">
        <v>26</v>
      </c>
      <c r="B25" s="32" t="n">
        <v>967</v>
      </c>
      <c r="C25" s="32" t="n">
        <v>1098</v>
      </c>
      <c r="D25" s="32" t="n">
        <v>1259</v>
      </c>
      <c r="E25" s="2" t="n">
        <v>5</v>
      </c>
      <c r="F25" s="20" t="n">
        <f aca="false">D40*F6</f>
        <v>1410.48531187123</v>
      </c>
    </row>
    <row r="26" customFormat="false" ht="14.25" hidden="false" customHeight="false" outlineLevel="0" collapsed="false">
      <c r="A26" s="22" t="s">
        <v>27</v>
      </c>
      <c r="B26" s="28" t="n">
        <v>584</v>
      </c>
      <c r="C26" s="28" t="n">
        <v>556</v>
      </c>
      <c r="D26" s="28" t="n">
        <v>570</v>
      </c>
      <c r="E26" s="2" t="n">
        <v>6</v>
      </c>
      <c r="F26" s="30" t="n">
        <f aca="false">F7*(D47+D52)</f>
        <v>493.434380105282</v>
      </c>
      <c r="H26" s="34"/>
    </row>
    <row r="27" customFormat="false" ht="14.25" hidden="false" customHeight="false" outlineLevel="0" collapsed="false">
      <c r="A27" s="0" t="s">
        <v>28</v>
      </c>
      <c r="B27" s="19" t="n">
        <v>2227</v>
      </c>
      <c r="C27" s="19" t="n">
        <v>2603</v>
      </c>
      <c r="D27" s="19" t="n">
        <v>3031</v>
      </c>
      <c r="E27" s="2" t="n">
        <v>7</v>
      </c>
      <c r="F27" s="20" t="n">
        <f aca="false">+F23-F24-F25-F26</f>
        <v>3512.79750017102</v>
      </c>
    </row>
    <row r="28" customFormat="false" ht="14.25" hidden="false" customHeight="false" outlineLevel="0" collapsed="false">
      <c r="A28" s="22" t="s">
        <v>29</v>
      </c>
      <c r="B28" s="28" t="n">
        <v>851</v>
      </c>
      <c r="C28" s="28" t="n">
        <v>984</v>
      </c>
      <c r="D28" s="28" t="n">
        <v>1146</v>
      </c>
      <c r="E28" s="2" t="n">
        <v>8</v>
      </c>
      <c r="F28" s="30" t="n">
        <f aca="false">+F27*F8</f>
        <v>1328.16428083009</v>
      </c>
    </row>
    <row r="29" customFormat="false" ht="14.25" hidden="false" customHeight="false" outlineLevel="0" collapsed="false">
      <c r="A29" s="0" t="s">
        <v>30</v>
      </c>
      <c r="B29" s="19" t="n">
        <v>247</v>
      </c>
      <c r="C29" s="19" t="n">
        <v>190</v>
      </c>
      <c r="D29" s="19" t="n">
        <v>1313</v>
      </c>
      <c r="E29" s="2" t="n">
        <v>9</v>
      </c>
      <c r="F29" s="20" t="n">
        <v>0</v>
      </c>
    </row>
    <row r="30" customFormat="false" ht="14.25" hidden="false" customHeight="false" outlineLevel="0" collapsed="false">
      <c r="A30" s="35" t="s">
        <v>31</v>
      </c>
      <c r="B30" s="36" t="n">
        <v>1623</v>
      </c>
      <c r="C30" s="36" t="n">
        <v>1809</v>
      </c>
      <c r="D30" s="36" t="n">
        <v>3198</v>
      </c>
      <c r="E30" s="37" t="n">
        <v>10</v>
      </c>
      <c r="F30" s="38" t="n">
        <f aca="false">+F27-F28</f>
        <v>2184.63321934094</v>
      </c>
    </row>
    <row r="31" customFormat="false" ht="14.25" hidden="false" customHeight="false" outlineLevel="0" collapsed="false">
      <c r="A31" s="0" t="s">
        <v>32</v>
      </c>
      <c r="B31" s="8" t="n">
        <v>910</v>
      </c>
      <c r="C31" s="8" t="n">
        <v>912</v>
      </c>
      <c r="D31" s="8" t="n">
        <v>891</v>
      </c>
      <c r="F31" s="39" t="n">
        <v>891</v>
      </c>
    </row>
    <row r="34" customFormat="false" ht="30.75" hidden="false" customHeight="false" outlineLevel="0" collapsed="false">
      <c r="A34" s="4" t="s">
        <v>33</v>
      </c>
      <c r="B34" s="5" t="s">
        <v>1</v>
      </c>
      <c r="C34" s="5" t="s">
        <v>2</v>
      </c>
      <c r="D34" s="5" t="s">
        <v>3</v>
      </c>
      <c r="E34" s="26" t="s">
        <v>20</v>
      </c>
      <c r="F34" s="27" t="s">
        <v>21</v>
      </c>
    </row>
    <row r="35" customFormat="false" ht="14.25" hidden="false" customHeight="false" outlineLevel="0" collapsed="false">
      <c r="A35" s="0" t="s">
        <v>34</v>
      </c>
      <c r="B35" s="19" t="n">
        <v>758</v>
      </c>
      <c r="C35" s="19" t="n">
        <v>708</v>
      </c>
      <c r="D35" s="19" t="n">
        <v>2245</v>
      </c>
      <c r="E35" s="2" t="n">
        <v>17</v>
      </c>
      <c r="F35" s="20" t="n">
        <f aca="false">+F59-F36-F37-F38-F42-F43</f>
        <v>1402.85497097519</v>
      </c>
      <c r="L35" s="21"/>
      <c r="M35" s="21"/>
    </row>
    <row r="36" customFormat="false" ht="14.25" hidden="false" customHeight="false" outlineLevel="0" collapsed="false">
      <c r="A36" s="0" t="s">
        <v>35</v>
      </c>
      <c r="B36" s="19" t="n">
        <v>5565</v>
      </c>
      <c r="C36" s="19" t="n">
        <v>4621</v>
      </c>
      <c r="D36" s="19" t="n">
        <v>5069</v>
      </c>
      <c r="E36" s="2" t="n">
        <v>1</v>
      </c>
      <c r="F36" s="20" t="n">
        <f aca="false">F21/F10</f>
        <v>5649.65832242713</v>
      </c>
      <c r="L36" s="21"/>
      <c r="M36" s="21"/>
    </row>
    <row r="37" customFormat="false" ht="14.25" hidden="false" customHeight="false" outlineLevel="0" collapsed="false">
      <c r="A37" s="0" t="s">
        <v>36</v>
      </c>
      <c r="B37" s="19" t="n">
        <v>4760</v>
      </c>
      <c r="C37" s="19" t="n">
        <v>4531</v>
      </c>
      <c r="D37" s="19" t="n">
        <v>5384</v>
      </c>
      <c r="E37" s="2" t="n">
        <v>2</v>
      </c>
      <c r="F37" s="20" t="n">
        <f aca="false">F22/F11</f>
        <v>6000.74184414039</v>
      </c>
      <c r="L37" s="21"/>
      <c r="M37" s="21"/>
    </row>
    <row r="38" customFormat="false" ht="14.25" hidden="false" customHeight="false" outlineLevel="0" collapsed="false">
      <c r="A38" s="22" t="s">
        <v>37</v>
      </c>
      <c r="B38" s="28" t="n">
        <v>852</v>
      </c>
      <c r="C38" s="28" t="n">
        <v>3092</v>
      </c>
      <c r="D38" s="28" t="n">
        <v>1224</v>
      </c>
      <c r="E38" s="2" t="n">
        <v>3</v>
      </c>
      <c r="F38" s="30" t="n">
        <f aca="false">D38</f>
        <v>1224</v>
      </c>
      <c r="L38" s="21"/>
      <c r="M38" s="21"/>
    </row>
    <row r="39" customFormat="false" ht="14.25" hidden="false" customHeight="false" outlineLevel="0" collapsed="false">
      <c r="A39" s="35" t="s">
        <v>38</v>
      </c>
      <c r="B39" s="36" t="n">
        <v>11935</v>
      </c>
      <c r="C39" s="36" t="n">
        <v>12952</v>
      </c>
      <c r="D39" s="36" t="n">
        <v>13922</v>
      </c>
      <c r="F39" s="38" t="n">
        <f aca="false">SUM(F35:F38)</f>
        <v>14277.2551375427</v>
      </c>
      <c r="L39" s="21"/>
      <c r="M39" s="21"/>
    </row>
    <row r="40" customFormat="false" ht="14.25" hidden="false" customHeight="false" outlineLevel="0" collapsed="false">
      <c r="A40" s="0" t="s">
        <v>39</v>
      </c>
      <c r="B40" s="19" t="n">
        <v>20936</v>
      </c>
      <c r="C40" s="19" t="n">
        <v>19880</v>
      </c>
      <c r="D40" s="19" t="n">
        <v>22272</v>
      </c>
      <c r="E40" s="2" t="n">
        <v>4</v>
      </c>
      <c r="F40" s="20" t="n">
        <f aca="false">D40+(F21*F17)</f>
        <v>25629.0271980964</v>
      </c>
      <c r="L40" s="21"/>
      <c r="M40" s="21"/>
    </row>
    <row r="41" customFormat="false" ht="14.25" hidden="false" customHeight="false" outlineLevel="0" collapsed="false">
      <c r="A41" s="0" t="s">
        <v>40</v>
      </c>
      <c r="B41" s="19" t="n">
        <v>5629</v>
      </c>
      <c r="C41" s="19" t="n">
        <v>4727</v>
      </c>
      <c r="D41" s="19" t="n">
        <v>5412</v>
      </c>
      <c r="E41" s="2" t="n">
        <v>5</v>
      </c>
      <c r="F41" s="20" t="n">
        <f aca="false">+D41+F25</f>
        <v>6822.48531187123</v>
      </c>
      <c r="L41" s="21"/>
      <c r="M41" s="21"/>
    </row>
    <row r="42" customFormat="false" ht="14.25" hidden="false" customHeight="false" outlineLevel="0" collapsed="false">
      <c r="A42" s="0" t="s">
        <v>41</v>
      </c>
      <c r="B42" s="19" t="n">
        <v>15307</v>
      </c>
      <c r="C42" s="19" t="n">
        <v>15153</v>
      </c>
      <c r="D42" s="19" t="n">
        <v>16860</v>
      </c>
      <c r="E42" s="2" t="n">
        <v>6</v>
      </c>
      <c r="F42" s="20" t="n">
        <f aca="false">+F40-F41</f>
        <v>18806.5418862251</v>
      </c>
      <c r="L42" s="21"/>
      <c r="M42" s="21"/>
    </row>
    <row r="43" customFormat="false" ht="14.25" hidden="false" customHeight="false" outlineLevel="0" collapsed="false">
      <c r="A43" s="22" t="s">
        <v>42</v>
      </c>
      <c r="B43" s="28" t="n">
        <v>1361</v>
      </c>
      <c r="C43" s="28" t="n">
        <v>3311</v>
      </c>
      <c r="D43" s="28" t="n">
        <v>1511</v>
      </c>
      <c r="E43" s="2" t="n">
        <v>7</v>
      </c>
      <c r="F43" s="30" t="n">
        <f aca="false">D43</f>
        <v>1511</v>
      </c>
      <c r="L43" s="21"/>
      <c r="M43" s="21"/>
    </row>
    <row r="44" customFormat="false" ht="14.25" hidden="false" customHeight="false" outlineLevel="0" collapsed="false">
      <c r="A44" s="35" t="s">
        <v>43</v>
      </c>
      <c r="B44" s="36" t="n">
        <v>28603</v>
      </c>
      <c r="C44" s="36" t="n">
        <v>31416</v>
      </c>
      <c r="D44" s="36" t="n">
        <v>32293</v>
      </c>
      <c r="F44" s="38" t="n">
        <f aca="false">F39+F42+F43</f>
        <v>34594.7970237679</v>
      </c>
      <c r="L44" s="21"/>
      <c r="M44" s="21"/>
    </row>
    <row r="45" customFormat="false" ht="14.25" hidden="false" customHeight="false" outlineLevel="0" collapsed="false">
      <c r="B45" s="8"/>
      <c r="C45" s="8"/>
      <c r="D45" s="8"/>
      <c r="F45" s="39"/>
    </row>
    <row r="46" customFormat="false" ht="14.25" hidden="false" customHeight="false" outlineLevel="0" collapsed="false">
      <c r="A46" s="0" t="s">
        <v>44</v>
      </c>
      <c r="B46" s="19" t="n">
        <v>4684</v>
      </c>
      <c r="C46" s="19" t="n">
        <v>4956</v>
      </c>
      <c r="D46" s="19" t="n">
        <v>5779</v>
      </c>
      <c r="E46" s="2" t="n">
        <v>8</v>
      </c>
      <c r="F46" s="20" t="n">
        <f aca="false">F22/F12</f>
        <v>6440.9894348602</v>
      </c>
      <c r="L46" s="21"/>
      <c r="M46" s="21"/>
    </row>
    <row r="47" customFormat="false" ht="14.25" hidden="false" customHeight="false" outlineLevel="0" collapsed="false">
      <c r="A47" s="0" t="s">
        <v>45</v>
      </c>
      <c r="B47" s="19" t="n">
        <v>975</v>
      </c>
      <c r="C47" s="19" t="n">
        <v>863</v>
      </c>
      <c r="D47" s="19" t="n">
        <v>504</v>
      </c>
      <c r="E47" s="2" t="n">
        <v>9</v>
      </c>
      <c r="F47" s="20" t="n">
        <f aca="false">751</f>
        <v>751</v>
      </c>
      <c r="L47" s="21"/>
      <c r="M47" s="21"/>
    </row>
    <row r="48" customFormat="false" ht="14.25" hidden="false" customHeight="false" outlineLevel="0" collapsed="false">
      <c r="A48" s="0" t="s">
        <v>46</v>
      </c>
      <c r="B48" s="19" t="n">
        <v>1545</v>
      </c>
      <c r="C48" s="19" t="n">
        <v>1288</v>
      </c>
      <c r="D48" s="19" t="n">
        <v>1633</v>
      </c>
      <c r="E48" s="2" t="n">
        <v>10</v>
      </c>
      <c r="F48" s="20" t="n">
        <f aca="false">+F21/F13</f>
        <v>1820.06155859607</v>
      </c>
      <c r="L48" s="21"/>
      <c r="M48" s="21"/>
    </row>
    <row r="49" customFormat="false" ht="14.25" hidden="false" customHeight="false" outlineLevel="0" collapsed="false">
      <c r="A49" s="22" t="s">
        <v>47</v>
      </c>
      <c r="B49" s="28" t="n">
        <v>319</v>
      </c>
      <c r="C49" s="28" t="n">
        <v>1207</v>
      </c>
      <c r="D49" s="28" t="n">
        <v>304</v>
      </c>
      <c r="E49" s="2" t="n">
        <v>11</v>
      </c>
      <c r="F49" s="30" t="n">
        <f aca="false">F28*F14</f>
        <v>352.322810970634</v>
      </c>
      <c r="L49" s="21"/>
      <c r="M49" s="21"/>
    </row>
    <row r="50" customFormat="false" ht="14.25" hidden="false" customHeight="false" outlineLevel="0" collapsed="false">
      <c r="A50" s="35" t="s">
        <v>48</v>
      </c>
      <c r="B50" s="36" t="n">
        <v>7523</v>
      </c>
      <c r="C50" s="36" t="n">
        <v>8314</v>
      </c>
      <c r="D50" s="36" t="n">
        <v>8220</v>
      </c>
      <c r="F50" s="38" t="n">
        <f aca="false">SUM(F46:F49)</f>
        <v>9364.37380442691</v>
      </c>
      <c r="L50" s="21"/>
      <c r="M50" s="21"/>
    </row>
    <row r="51" customFormat="false" ht="14.25" hidden="false" customHeight="false" outlineLevel="0" collapsed="false">
      <c r="A51" s="0" t="s">
        <v>49</v>
      </c>
      <c r="B51" s="19" t="n">
        <v>1451</v>
      </c>
      <c r="C51" s="19" t="n">
        <v>1815</v>
      </c>
      <c r="D51" s="19" t="n">
        <v>2010</v>
      </c>
      <c r="E51" s="2" t="n">
        <v>12</v>
      </c>
      <c r="F51" s="20" t="n">
        <f aca="false">D51</f>
        <v>2010</v>
      </c>
      <c r="L51" s="21"/>
      <c r="M51" s="21"/>
    </row>
    <row r="52" customFormat="false" ht="14.25" hidden="false" customHeight="false" outlineLevel="0" collapsed="false">
      <c r="A52" s="22" t="s">
        <v>50</v>
      </c>
      <c r="B52" s="28" t="n">
        <v>10186</v>
      </c>
      <c r="C52" s="28" t="n">
        <v>10155</v>
      </c>
      <c r="D52" s="28" t="n">
        <v>9034</v>
      </c>
      <c r="E52" s="2" t="n">
        <v>13</v>
      </c>
      <c r="F52" s="30" t="n">
        <f aca="false">D52-F47</f>
        <v>8283</v>
      </c>
      <c r="L52" s="21"/>
      <c r="M52" s="21"/>
    </row>
    <row r="53" customFormat="false" ht="14.25" hidden="false" customHeight="false" outlineLevel="0" collapsed="false">
      <c r="A53" s="35" t="s">
        <v>51</v>
      </c>
      <c r="B53" s="36" t="n">
        <v>19160</v>
      </c>
      <c r="C53" s="36" t="n">
        <v>20284</v>
      </c>
      <c r="D53" s="36" t="n">
        <v>19264</v>
      </c>
      <c r="F53" s="38" t="n">
        <f aca="false">SUM(F50:F52)</f>
        <v>19657.3738044269</v>
      </c>
      <c r="L53" s="21"/>
      <c r="M53" s="21"/>
    </row>
    <row r="54" customFormat="false" ht="14.25" hidden="false" customHeight="false" outlineLevel="0" collapsed="false">
      <c r="B54" s="8"/>
      <c r="C54" s="8"/>
      <c r="D54" s="8"/>
      <c r="F54" s="39"/>
    </row>
    <row r="55" customFormat="false" ht="14.25" hidden="false" customHeight="false" outlineLevel="0" collapsed="false">
      <c r="A55" s="0" t="s">
        <v>52</v>
      </c>
      <c r="B55" s="19" t="n">
        <v>76</v>
      </c>
      <c r="C55" s="19" t="n">
        <v>76</v>
      </c>
      <c r="D55" s="19" t="n">
        <v>74</v>
      </c>
      <c r="E55" s="2" t="n">
        <v>14</v>
      </c>
      <c r="F55" s="20" t="n">
        <f aca="false">D55</f>
        <v>74</v>
      </c>
      <c r="L55" s="21"/>
      <c r="M55" s="21"/>
    </row>
    <row r="56" customFormat="false" ht="14.25" hidden="false" customHeight="false" outlineLevel="0" collapsed="false">
      <c r="A56" s="0" t="s">
        <v>53</v>
      </c>
      <c r="B56" s="19" t="n">
        <v>1256</v>
      </c>
      <c r="C56" s="19" t="n">
        <v>1530</v>
      </c>
      <c r="D56" s="19" t="n">
        <v>1810</v>
      </c>
      <c r="E56" s="2" t="n">
        <v>15</v>
      </c>
      <c r="F56" s="20" t="n">
        <f aca="false">D56</f>
        <v>1810</v>
      </c>
      <c r="L56" s="21"/>
      <c r="M56" s="21"/>
    </row>
    <row r="57" customFormat="false" ht="14.25" hidden="false" customHeight="false" outlineLevel="0" collapsed="false">
      <c r="A57" s="22" t="s">
        <v>54</v>
      </c>
      <c r="B57" s="40" t="n">
        <v>8111</v>
      </c>
      <c r="C57" s="40" t="n">
        <v>9526</v>
      </c>
      <c r="D57" s="40" t="n">
        <v>11145</v>
      </c>
      <c r="E57" s="2" t="n">
        <v>16</v>
      </c>
      <c r="F57" s="30" t="n">
        <f aca="false">+D57+F30-F31*F15</f>
        <v>13053.4232193409</v>
      </c>
      <c r="L57" s="21"/>
      <c r="M57" s="21"/>
    </row>
    <row r="58" customFormat="false" ht="14.25" hidden="false" customHeight="false" outlineLevel="0" collapsed="false">
      <c r="A58" s="41" t="s">
        <v>55</v>
      </c>
      <c r="B58" s="42" t="n">
        <v>9443</v>
      </c>
      <c r="C58" s="42" t="n">
        <v>11132</v>
      </c>
      <c r="D58" s="42" t="n">
        <v>13029</v>
      </c>
      <c r="F58" s="43" t="n">
        <f aca="false">+SUM(F55:F57)</f>
        <v>14937.4232193409</v>
      </c>
      <c r="L58" s="21"/>
      <c r="M58" s="21"/>
    </row>
    <row r="59" customFormat="false" ht="14.25" hidden="false" customHeight="false" outlineLevel="0" collapsed="false">
      <c r="A59" s="44" t="s">
        <v>56</v>
      </c>
      <c r="B59" s="45" t="n">
        <v>28603</v>
      </c>
      <c r="C59" s="45" t="n">
        <v>31416</v>
      </c>
      <c r="D59" s="45" t="n">
        <v>32293</v>
      </c>
      <c r="E59" s="6"/>
      <c r="F59" s="46" t="n">
        <f aca="false">+F58+F53</f>
        <v>34594.7970237679</v>
      </c>
      <c r="L59" s="21"/>
      <c r="M59" s="21"/>
    </row>
    <row r="61" customFormat="false" ht="14.25" hidden="false" customHeight="false" outlineLevel="0" collapsed="false">
      <c r="A61" s="0" t="s">
        <v>57</v>
      </c>
    </row>
    <row r="62" customFormat="false" ht="15" hidden="false" customHeight="false" outlineLevel="0" collapsed="false"/>
    <row r="7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61.29"/>
    <col collapsed="false" customWidth="true" hidden="false" outlineLevel="0" max="2" min="2" style="1" width="14.86"/>
    <col collapsed="false" customWidth="true" hidden="false" outlineLevel="0" max="4" min="3" style="1" width="12.29"/>
    <col collapsed="false" customWidth="true" hidden="false" outlineLevel="0" max="5" min="5" style="2" width="10.71"/>
    <col collapsed="false" customWidth="true" hidden="false" outlineLevel="0" max="6" min="6" style="3" width="13.29"/>
    <col collapsed="false" customWidth="true" hidden="false" outlineLevel="0" max="9" min="9" style="0" width="16.72"/>
  </cols>
  <sheetData>
    <row r="2" customFormat="false" ht="14.25" hidden="false" customHeight="false" outlineLevel="0" collapsed="false">
      <c r="A2" s="4" t="s">
        <v>0</v>
      </c>
      <c r="B2" s="47"/>
      <c r="C2" s="47"/>
      <c r="D2" s="47"/>
      <c r="E2" s="6"/>
      <c r="F2" s="48" t="s">
        <v>58</v>
      </c>
    </row>
    <row r="3" customFormat="false" ht="14.25" hidden="false" customHeight="false" outlineLevel="0" collapsed="false">
      <c r="A3" s="0" t="s">
        <v>5</v>
      </c>
      <c r="B3" s="8"/>
      <c r="C3" s="9" t="n">
        <v>0.12336</v>
      </c>
      <c r="D3" s="9" t="n">
        <v>0.11455</v>
      </c>
      <c r="F3" s="49" t="n">
        <v>0.11455</v>
      </c>
    </row>
    <row r="4" customFormat="false" ht="14.25" hidden="false" customHeight="false" outlineLevel="0" collapsed="false">
      <c r="A4" s="0" t="s">
        <v>6</v>
      </c>
      <c r="B4" s="8"/>
      <c r="C4" s="9" t="n">
        <v>0.32447</v>
      </c>
      <c r="D4" s="9" t="n">
        <v>0.32866</v>
      </c>
      <c r="F4" s="10" t="n">
        <v>0.32866</v>
      </c>
    </row>
    <row r="5" customFormat="false" ht="14.25" hidden="false" customHeight="false" outlineLevel="0" collapsed="false">
      <c r="A5" s="0" t="s">
        <v>7</v>
      </c>
      <c r="B5" s="8"/>
      <c r="C5" s="9" t="n">
        <v>0.22318</v>
      </c>
      <c r="D5" s="9" t="n">
        <v>0.2249</v>
      </c>
      <c r="F5" s="49" t="n">
        <v>0.2249</v>
      </c>
    </row>
    <row r="6" customFormat="false" ht="14.25" hidden="false" customHeight="false" outlineLevel="0" collapsed="false">
      <c r="A6" s="0" t="s">
        <v>8</v>
      </c>
      <c r="B6" s="8"/>
      <c r="C6" s="9" t="n">
        <v>0.05245</v>
      </c>
      <c r="D6" s="9" t="n">
        <v>0.06333</v>
      </c>
      <c r="F6" s="10" t="n">
        <v>0.06333</v>
      </c>
    </row>
    <row r="7" customFormat="false" ht="14.25" hidden="false" customHeight="false" outlineLevel="0" collapsed="false">
      <c r="A7" s="0" t="s">
        <v>9</v>
      </c>
      <c r="B7" s="8"/>
      <c r="C7" s="9" t="n">
        <v>0.04982</v>
      </c>
      <c r="D7" s="9" t="n">
        <v>0.05173</v>
      </c>
      <c r="F7" s="10" t="n">
        <v>0.05173</v>
      </c>
    </row>
    <row r="8" customFormat="false" ht="14.25" hidden="false" customHeight="false" outlineLevel="0" collapsed="false">
      <c r="A8" s="0" t="s">
        <v>10</v>
      </c>
      <c r="B8" s="8"/>
      <c r="C8" s="9" t="n">
        <v>0.37803</v>
      </c>
      <c r="D8" s="9" t="n">
        <v>0.37809</v>
      </c>
      <c r="F8" s="10" t="n">
        <v>0.37809</v>
      </c>
    </row>
    <row r="9" customFormat="false" ht="14.25" hidden="false" customHeight="false" outlineLevel="0" collapsed="false">
      <c r="B9" s="8"/>
      <c r="C9" s="9"/>
      <c r="D9" s="9"/>
      <c r="F9" s="10"/>
    </row>
    <row r="10" customFormat="false" ht="14.25" hidden="false" customHeight="false" outlineLevel="0" collapsed="false">
      <c r="A10" s="0" t="s">
        <v>11</v>
      </c>
      <c r="B10" s="11" t="n">
        <v>6.722</v>
      </c>
      <c r="C10" s="11" t="n">
        <v>9.094</v>
      </c>
      <c r="D10" s="11" t="n">
        <v>9.24</v>
      </c>
      <c r="E10" s="12"/>
      <c r="F10" s="13" t="n">
        <v>9.24</v>
      </c>
    </row>
    <row r="11" customFormat="false" ht="14.25" hidden="false" customHeight="false" outlineLevel="0" collapsed="false">
      <c r="A11" s="0" t="s">
        <v>12</v>
      </c>
      <c r="B11" s="11" t="n">
        <v>5.357</v>
      </c>
      <c r="C11" s="11" t="n">
        <v>6.266</v>
      </c>
      <c r="D11" s="11" t="n">
        <v>5.84</v>
      </c>
      <c r="E11" s="12"/>
      <c r="F11" s="13" t="n">
        <v>5.84</v>
      </c>
    </row>
    <row r="12" customFormat="false" ht="14.25" hidden="false" customHeight="false" outlineLevel="0" collapsed="false">
      <c r="A12" s="0" t="s">
        <v>13</v>
      </c>
      <c r="B12" s="11" t="n">
        <v>5.444</v>
      </c>
      <c r="C12" s="11" t="n">
        <v>5.728</v>
      </c>
      <c r="D12" s="11" t="n">
        <v>5.441</v>
      </c>
      <c r="E12" s="12"/>
      <c r="F12" s="13" t="n">
        <v>5.441</v>
      </c>
    </row>
    <row r="13" customFormat="false" ht="14.25" hidden="false" customHeight="false" outlineLevel="0" collapsed="false">
      <c r="A13" s="0" t="s">
        <v>14</v>
      </c>
      <c r="B13" s="11" t="n">
        <v>24.214</v>
      </c>
      <c r="C13" s="11" t="n">
        <v>32.628</v>
      </c>
      <c r="D13" s="11" t="n">
        <v>28.683</v>
      </c>
      <c r="E13" s="12"/>
      <c r="F13" s="13" t="n">
        <v>28.683</v>
      </c>
    </row>
    <row r="14" customFormat="false" ht="14.25" hidden="false" customHeight="false" outlineLevel="0" collapsed="false">
      <c r="A14" s="0" t="s">
        <v>15</v>
      </c>
      <c r="B14" s="50" t="n">
        <v>0.37485</v>
      </c>
      <c r="C14" s="50" t="n">
        <v>1.22663</v>
      </c>
      <c r="D14" s="50" t="n">
        <v>0.26527</v>
      </c>
      <c r="E14" s="51"/>
      <c r="F14" s="52" t="n">
        <v>0.26527</v>
      </c>
      <c r="K14" s="14"/>
      <c r="L14" s="14"/>
    </row>
    <row r="15" customFormat="false" ht="14.25" hidden="false" customHeight="false" outlineLevel="0" collapsed="false">
      <c r="A15" s="0" t="s">
        <v>16</v>
      </c>
      <c r="B15" s="15" t="n">
        <v>0.24</v>
      </c>
      <c r="C15" s="15" t="n">
        <v>0.26</v>
      </c>
      <c r="D15" s="15" t="n">
        <v>0.31</v>
      </c>
      <c r="E15" s="16"/>
      <c r="F15" s="17" t="n">
        <v>0.31</v>
      </c>
      <c r="K15" s="18"/>
      <c r="L15" s="18"/>
    </row>
    <row r="16" customFormat="false" ht="14.25" hidden="false" customHeight="false" outlineLevel="0" collapsed="false">
      <c r="A16" s="0" t="s">
        <v>17</v>
      </c>
      <c r="B16" s="19" t="n">
        <v>3189</v>
      </c>
      <c r="C16" s="19" t="n">
        <v>2671</v>
      </c>
      <c r="D16" s="19" t="n">
        <v>3012</v>
      </c>
      <c r="E16" s="16"/>
      <c r="F16" s="20" t="n">
        <v>3012</v>
      </c>
      <c r="K16" s="21"/>
      <c r="L16" s="21"/>
    </row>
    <row r="17" customFormat="false" ht="14.25" hidden="false" customHeight="false" outlineLevel="0" collapsed="false">
      <c r="A17" s="22" t="s">
        <v>18</v>
      </c>
      <c r="B17" s="23" t="n">
        <v>0.08524</v>
      </c>
      <c r="C17" s="23" t="n">
        <v>0.06356</v>
      </c>
      <c r="D17" s="23" t="n">
        <v>0.06431</v>
      </c>
      <c r="E17" s="24"/>
      <c r="F17" s="25" t="n">
        <v>0.06431</v>
      </c>
      <c r="K17" s="14"/>
      <c r="L17" s="14"/>
    </row>
    <row r="20" customFormat="false" ht="30.75" hidden="false" customHeight="false" outlineLevel="0" collapsed="false">
      <c r="A20" s="4" t="s">
        <v>19</v>
      </c>
      <c r="B20" s="5" t="s">
        <v>1</v>
      </c>
      <c r="C20" s="5" t="s">
        <v>2</v>
      </c>
      <c r="D20" s="5" t="s">
        <v>3</v>
      </c>
      <c r="E20" s="26" t="s">
        <v>20</v>
      </c>
      <c r="F20" s="27" t="s">
        <v>21</v>
      </c>
    </row>
    <row r="21" customFormat="false" ht="14.25" hidden="false" customHeight="false" outlineLevel="0" collapsed="false">
      <c r="A21" s="0" t="s">
        <v>22</v>
      </c>
      <c r="B21" s="19" t="n">
        <v>37410</v>
      </c>
      <c r="C21" s="19" t="n">
        <v>42025</v>
      </c>
      <c r="D21" s="19" t="n">
        <v>46839</v>
      </c>
      <c r="E21" s="2" t="n">
        <v>1</v>
      </c>
      <c r="F21" s="20" t="n">
        <f aca="false">D21*(1+F3)</f>
        <v>52204.40745</v>
      </c>
      <c r="I21" s="53" t="s">
        <v>59</v>
      </c>
      <c r="J21" s="54"/>
      <c r="K21" s="54"/>
      <c r="L21" s="54"/>
      <c r="M21" s="54"/>
      <c r="N21" s="54"/>
      <c r="O21" s="54"/>
      <c r="P21" s="54"/>
      <c r="Q21" s="54"/>
    </row>
    <row r="22" customFormat="false" ht="14.25" hidden="false" customHeight="false" outlineLevel="0" collapsed="false">
      <c r="A22" s="22" t="s">
        <v>23</v>
      </c>
      <c r="B22" s="28" t="n">
        <v>25498</v>
      </c>
      <c r="C22" s="28" t="n">
        <v>28389</v>
      </c>
      <c r="D22" s="28" t="n">
        <v>31445</v>
      </c>
      <c r="E22" s="29" t="n">
        <v>3</v>
      </c>
      <c r="F22" s="30" t="n">
        <f aca="false">F21-F23</f>
        <v>35046.906897483</v>
      </c>
      <c r="I22" s="55" t="s">
        <v>60</v>
      </c>
      <c r="J22" s="56"/>
      <c r="K22" s="56"/>
      <c r="L22" s="56"/>
      <c r="M22" s="56"/>
      <c r="N22" s="56"/>
      <c r="O22" s="56"/>
      <c r="P22" s="56"/>
      <c r="Q22" s="56"/>
    </row>
    <row r="23" customFormat="false" ht="14.25" hidden="false" customHeight="false" outlineLevel="0" collapsed="false">
      <c r="A23" s="31" t="s">
        <v>24</v>
      </c>
      <c r="B23" s="32" t="n">
        <v>11912</v>
      </c>
      <c r="C23" s="32" t="n">
        <v>13636</v>
      </c>
      <c r="D23" s="32" t="n">
        <v>15394</v>
      </c>
      <c r="E23" s="29" t="n">
        <v>2</v>
      </c>
      <c r="F23" s="33" t="n">
        <f aca="false">F21*F4</f>
        <v>17157.500552517</v>
      </c>
      <c r="I23" s="0" t="s">
        <v>61</v>
      </c>
    </row>
    <row r="24" customFormat="false" ht="14.25" hidden="false" customHeight="false" outlineLevel="0" collapsed="false">
      <c r="A24" s="31" t="s">
        <v>25</v>
      </c>
      <c r="B24" s="32" t="n">
        <v>8134</v>
      </c>
      <c r="C24" s="32" t="n">
        <v>9379</v>
      </c>
      <c r="D24" s="32" t="n">
        <v>10534</v>
      </c>
      <c r="E24" s="29" t="n">
        <v>4</v>
      </c>
      <c r="F24" s="33" t="n">
        <f aca="false">F21*F5</f>
        <v>11740.771235505</v>
      </c>
    </row>
    <row r="25" customFormat="false" ht="14.25" hidden="false" customHeight="false" outlineLevel="0" collapsed="false">
      <c r="A25" s="31" t="s">
        <v>26</v>
      </c>
      <c r="B25" s="32" t="n">
        <v>967</v>
      </c>
      <c r="C25" s="32" t="n">
        <v>1098</v>
      </c>
      <c r="D25" s="32" t="n">
        <v>1259</v>
      </c>
      <c r="E25" s="2" t="n">
        <v>5</v>
      </c>
      <c r="F25" s="20" t="n">
        <f aca="false">D40*F6</f>
        <v>1410.48576</v>
      </c>
      <c r="I25" s="57" t="s">
        <v>62</v>
      </c>
      <c r="J25" s="58" t="n">
        <f aca="false">(D30-D31*D15)/D31</f>
        <v>3.27922558922559</v>
      </c>
    </row>
    <row r="26" customFormat="false" ht="14.25" hidden="false" customHeight="false" outlineLevel="0" collapsed="false">
      <c r="A26" s="22" t="s">
        <v>27</v>
      </c>
      <c r="B26" s="28" t="n">
        <v>584</v>
      </c>
      <c r="C26" s="28" t="n">
        <v>556</v>
      </c>
      <c r="D26" s="28" t="n">
        <v>570</v>
      </c>
      <c r="E26" s="2" t="n">
        <v>6</v>
      </c>
      <c r="F26" s="30" t="n">
        <f aca="false">F7*(D47+D52)</f>
        <v>493.40074</v>
      </c>
      <c r="H26" s="34"/>
      <c r="I26" s="59" t="s">
        <v>63</v>
      </c>
      <c r="J26" s="60" t="n">
        <f aca="false">(F30-F31*F15)/F31</f>
        <v>2.14193274559813</v>
      </c>
    </row>
    <row r="27" customFormat="false" ht="14.25" hidden="false" customHeight="false" outlineLevel="0" collapsed="false">
      <c r="A27" s="0" t="s">
        <v>28</v>
      </c>
      <c r="B27" s="19" t="n">
        <v>2227</v>
      </c>
      <c r="C27" s="19" t="n">
        <v>2603</v>
      </c>
      <c r="D27" s="19" t="n">
        <v>3031</v>
      </c>
      <c r="E27" s="2" t="n">
        <v>7</v>
      </c>
      <c r="F27" s="20" t="n">
        <f aca="false">+F23-F24-F25-F26</f>
        <v>3512.842817012</v>
      </c>
      <c r="I27" s="0" t="s">
        <v>64</v>
      </c>
      <c r="J27" s="0" t="s">
        <v>65</v>
      </c>
    </row>
    <row r="28" customFormat="false" ht="14.25" hidden="false" customHeight="false" outlineLevel="0" collapsed="false">
      <c r="A28" s="22" t="s">
        <v>29</v>
      </c>
      <c r="B28" s="28" t="n">
        <v>851</v>
      </c>
      <c r="C28" s="28" t="n">
        <v>984</v>
      </c>
      <c r="D28" s="28" t="n">
        <v>1146</v>
      </c>
      <c r="E28" s="2" t="n">
        <v>8</v>
      </c>
      <c r="F28" s="30" t="n">
        <f aca="false">IF(F27&lt;0,0,F27*F8)</f>
        <v>1328.17074068407</v>
      </c>
    </row>
    <row r="29" customFormat="false" ht="14.25" hidden="false" customHeight="false" outlineLevel="0" collapsed="false">
      <c r="A29" s="0" t="s">
        <v>66</v>
      </c>
      <c r="B29" s="19" t="n">
        <v>247</v>
      </c>
      <c r="C29" s="19" t="n">
        <v>190</v>
      </c>
      <c r="D29" s="19" t="n">
        <v>1313</v>
      </c>
      <c r="E29" s="2" t="n">
        <v>9</v>
      </c>
      <c r="F29" s="20" t="n">
        <v>0</v>
      </c>
    </row>
    <row r="30" customFormat="false" ht="14.25" hidden="false" customHeight="false" outlineLevel="0" collapsed="false">
      <c r="A30" s="35" t="s">
        <v>31</v>
      </c>
      <c r="B30" s="36" t="n">
        <v>1623</v>
      </c>
      <c r="C30" s="36" t="n">
        <v>1809</v>
      </c>
      <c r="D30" s="36" t="n">
        <v>3198</v>
      </c>
      <c r="E30" s="37" t="n">
        <v>10</v>
      </c>
      <c r="F30" s="38" t="n">
        <f aca="false">+F27-F28</f>
        <v>2184.67207632793</v>
      </c>
    </row>
    <row r="31" customFormat="false" ht="14.25" hidden="false" customHeight="false" outlineLevel="0" collapsed="false">
      <c r="A31" s="0" t="s">
        <v>32</v>
      </c>
      <c r="B31" s="8" t="n">
        <v>910</v>
      </c>
      <c r="C31" s="8" t="n">
        <v>912</v>
      </c>
      <c r="D31" s="8" t="n">
        <v>891</v>
      </c>
      <c r="F31" s="39" t="n">
        <v>891</v>
      </c>
    </row>
    <row r="32" customFormat="false" ht="14.25" hidden="false" customHeight="false" outlineLevel="0" collapsed="false">
      <c r="I32" s="55" t="s">
        <v>67</v>
      </c>
      <c r="J32" s="56"/>
      <c r="K32" s="56"/>
      <c r="L32" s="56"/>
      <c r="M32" s="56"/>
      <c r="N32" s="56"/>
      <c r="O32" s="56"/>
      <c r="P32" s="56"/>
      <c r="Q32" s="56"/>
    </row>
    <row r="33" customFormat="false" ht="14.25" hidden="false" customHeight="false" outlineLevel="0" collapsed="false">
      <c r="I33" s="0" t="s">
        <v>68</v>
      </c>
    </row>
    <row r="34" customFormat="false" ht="30.75" hidden="false" customHeight="false" outlineLevel="0" collapsed="false">
      <c r="A34" s="4" t="s">
        <v>33</v>
      </c>
      <c r="B34" s="5" t="s">
        <v>1</v>
      </c>
      <c r="C34" s="5" t="s">
        <v>2</v>
      </c>
      <c r="D34" s="5" t="s">
        <v>3</v>
      </c>
      <c r="E34" s="26" t="s">
        <v>20</v>
      </c>
      <c r="F34" s="27" t="s">
        <v>21</v>
      </c>
      <c r="M34" s="61" t="s">
        <v>69</v>
      </c>
      <c r="N34" s="61"/>
      <c r="O34" s="61"/>
    </row>
    <row r="35" customFormat="false" ht="14.25" hidden="false" customHeight="false" outlineLevel="0" collapsed="false">
      <c r="A35" s="0" t="s">
        <v>34</v>
      </c>
      <c r="B35" s="19" t="n">
        <v>758</v>
      </c>
      <c r="C35" s="19" t="n">
        <v>708</v>
      </c>
      <c r="D35" s="19" t="n">
        <v>2245</v>
      </c>
      <c r="E35" s="2" t="n">
        <v>17</v>
      </c>
      <c r="F35" s="20" t="n">
        <f aca="false">+F59-F36-F37-F38-F42-F43</f>
        <v>1402.30495420839</v>
      </c>
      <c r="I35" s="57" t="s">
        <v>62</v>
      </c>
      <c r="J35" s="58" t="n">
        <f aca="false">(D30-D31*D15)/D31</f>
        <v>3.27922558922559</v>
      </c>
      <c r="L35" s="21"/>
      <c r="M35" s="0" t="s">
        <v>5</v>
      </c>
      <c r="O35" s="62" t="n">
        <v>0.15</v>
      </c>
    </row>
    <row r="36" customFormat="false" ht="14.25" hidden="false" customHeight="false" outlineLevel="0" collapsed="false">
      <c r="A36" s="0" t="s">
        <v>35</v>
      </c>
      <c r="B36" s="19" t="n">
        <v>5565</v>
      </c>
      <c r="C36" s="19" t="n">
        <v>4621</v>
      </c>
      <c r="D36" s="19" t="n">
        <v>5069</v>
      </c>
      <c r="E36" s="2" t="n">
        <v>1</v>
      </c>
      <c r="F36" s="20" t="n">
        <f aca="false">F21/F10</f>
        <v>5649.8276461039</v>
      </c>
      <c r="I36" s="59" t="s">
        <v>63</v>
      </c>
      <c r="J36" s="60" t="n">
        <f aca="false">(F30-F31*F15)/F31</f>
        <v>2.14193274559813</v>
      </c>
      <c r="L36" s="21"/>
      <c r="M36" s="0" t="s">
        <v>7</v>
      </c>
      <c r="O36" s="62" t="n">
        <v>0.15</v>
      </c>
    </row>
    <row r="37" customFormat="false" ht="14.25" hidden="false" customHeight="false" outlineLevel="0" collapsed="false">
      <c r="A37" s="0" t="s">
        <v>36</v>
      </c>
      <c r="B37" s="19" t="n">
        <v>4760</v>
      </c>
      <c r="C37" s="19" t="n">
        <v>4531</v>
      </c>
      <c r="D37" s="19" t="n">
        <v>5384</v>
      </c>
      <c r="E37" s="2" t="n">
        <v>2</v>
      </c>
      <c r="F37" s="20" t="n">
        <f aca="false">F22/F11</f>
        <v>6001.18268792517</v>
      </c>
      <c r="L37" s="21"/>
      <c r="M37" s="21"/>
    </row>
    <row r="38" customFormat="false" ht="14.25" hidden="false" customHeight="false" outlineLevel="0" collapsed="false">
      <c r="A38" s="22" t="s">
        <v>37</v>
      </c>
      <c r="B38" s="28" t="n">
        <v>852</v>
      </c>
      <c r="C38" s="28" t="n">
        <v>3092</v>
      </c>
      <c r="D38" s="28" t="n">
        <v>1224</v>
      </c>
      <c r="E38" s="2" t="n">
        <v>3</v>
      </c>
      <c r="F38" s="30" t="n">
        <f aca="false">D38</f>
        <v>1224</v>
      </c>
      <c r="I38" s="0" t="s">
        <v>64</v>
      </c>
      <c r="J38" s="0" t="s">
        <v>70</v>
      </c>
      <c r="L38" s="21"/>
      <c r="M38" s="21"/>
    </row>
    <row r="39" customFormat="false" ht="14.25" hidden="false" customHeight="false" outlineLevel="0" collapsed="false">
      <c r="A39" s="35" t="s">
        <v>38</v>
      </c>
      <c r="B39" s="36" t="n">
        <v>11935</v>
      </c>
      <c r="C39" s="36" t="n">
        <v>12952</v>
      </c>
      <c r="D39" s="36" t="n">
        <v>13922</v>
      </c>
      <c r="F39" s="38" t="n">
        <f aca="false">SUM(F35:F38)</f>
        <v>14277.3152882375</v>
      </c>
      <c r="L39" s="21"/>
      <c r="M39" s="21"/>
    </row>
    <row r="40" customFormat="false" ht="14.25" hidden="false" customHeight="false" outlineLevel="0" collapsed="false">
      <c r="A40" s="0" t="s">
        <v>39</v>
      </c>
      <c r="B40" s="19" t="n">
        <v>20936</v>
      </c>
      <c r="C40" s="19" t="n">
        <v>19880</v>
      </c>
      <c r="D40" s="19" t="n">
        <v>22272</v>
      </c>
      <c r="E40" s="2" t="n">
        <v>4</v>
      </c>
      <c r="F40" s="20" t="n">
        <f aca="false">D40+(F21*D17)</f>
        <v>25629.2654431095</v>
      </c>
      <c r="L40" s="21"/>
      <c r="M40" s="21"/>
    </row>
    <row r="41" customFormat="false" ht="14.25" hidden="false" customHeight="false" outlineLevel="0" collapsed="false">
      <c r="A41" s="0" t="s">
        <v>40</v>
      </c>
      <c r="B41" s="19" t="n">
        <v>5629</v>
      </c>
      <c r="C41" s="19" t="n">
        <v>4727</v>
      </c>
      <c r="D41" s="19" t="n">
        <v>5412</v>
      </c>
      <c r="E41" s="2" t="n">
        <v>5</v>
      </c>
      <c r="F41" s="20" t="n">
        <f aca="false">+D41+F25</f>
        <v>6822.48576</v>
      </c>
      <c r="I41" s="55" t="s">
        <v>71</v>
      </c>
      <c r="J41" s="56"/>
      <c r="K41" s="56"/>
      <c r="L41" s="56"/>
      <c r="M41" s="56"/>
      <c r="N41" s="56"/>
      <c r="O41" s="56"/>
      <c r="P41" s="56"/>
      <c r="Q41" s="56"/>
    </row>
    <row r="42" customFormat="false" ht="14.25" hidden="false" customHeight="false" outlineLevel="0" collapsed="false">
      <c r="A42" s="0" t="s">
        <v>41</v>
      </c>
      <c r="B42" s="19" t="n">
        <v>15307</v>
      </c>
      <c r="C42" s="19" t="n">
        <v>15153</v>
      </c>
      <c r="D42" s="19" t="n">
        <v>16860</v>
      </c>
      <c r="E42" s="2" t="n">
        <v>6</v>
      </c>
      <c r="F42" s="20" t="n">
        <f aca="false">+F40-F41</f>
        <v>18806.7796831095</v>
      </c>
    </row>
    <row r="43" customFormat="false" ht="14.25" hidden="false" customHeight="false" outlineLevel="0" collapsed="false">
      <c r="A43" s="22" t="s">
        <v>72</v>
      </c>
      <c r="B43" s="28" t="n">
        <v>1361</v>
      </c>
      <c r="C43" s="28" t="n">
        <v>3311</v>
      </c>
      <c r="D43" s="28" t="n">
        <v>1511</v>
      </c>
      <c r="E43" s="2" t="n">
        <v>7</v>
      </c>
      <c r="F43" s="30" t="n">
        <f aca="false">D43</f>
        <v>1511</v>
      </c>
      <c r="I43" s="63" t="s">
        <v>63</v>
      </c>
      <c r="J43" s="64" t="n">
        <f aca="false">(F30-F31*F15)/F31</f>
        <v>2.14193274559813</v>
      </c>
    </row>
    <row r="44" customFormat="false" ht="14.25" hidden="false" customHeight="false" outlineLevel="0" collapsed="false">
      <c r="A44" s="35" t="s">
        <v>43</v>
      </c>
      <c r="B44" s="36" t="n">
        <v>28603</v>
      </c>
      <c r="C44" s="36" t="n">
        <v>31416</v>
      </c>
      <c r="D44" s="36" t="n">
        <v>32293</v>
      </c>
      <c r="F44" s="38" t="n">
        <f aca="false">F39+F42+F43</f>
        <v>34595.094971347</v>
      </c>
    </row>
    <row r="45" customFormat="false" ht="14.25" hidden="false" customHeight="false" outlineLevel="0" collapsed="false">
      <c r="B45" s="8"/>
      <c r="C45" s="8"/>
      <c r="D45" s="8"/>
      <c r="F45" s="39"/>
      <c r="K45" s="65"/>
      <c r="L45" s="66"/>
      <c r="M45" s="66"/>
      <c r="N45" s="65" t="s">
        <v>73</v>
      </c>
      <c r="O45" s="65"/>
      <c r="P45" s="65"/>
      <c r="Q45" s="65"/>
    </row>
    <row r="46" customFormat="false" ht="14.25" hidden="false" customHeight="false" outlineLevel="0" collapsed="false">
      <c r="A46" s="0" t="s">
        <v>44</v>
      </c>
      <c r="B46" s="19" t="n">
        <v>4684</v>
      </c>
      <c r="C46" s="19" t="n">
        <v>4956</v>
      </c>
      <c r="D46" s="19" t="n">
        <v>5779</v>
      </c>
      <c r="E46" s="2" t="n">
        <v>8</v>
      </c>
      <c r="F46" s="20" t="n">
        <f aca="false">F22/F12</f>
        <v>6441.26206533413</v>
      </c>
      <c r="J46" s="67" t="n">
        <f aca="false">J43</f>
        <v>2.14193274559813</v>
      </c>
      <c r="K46" s="68" t="n">
        <f aca="false">+L46-0.01</f>
        <v>0.1949</v>
      </c>
      <c r="L46" s="68" t="n">
        <f aca="false">+M46-0.01</f>
        <v>0.2049</v>
      </c>
      <c r="M46" s="68" t="n">
        <f aca="false">+N46-0.01</f>
        <v>0.2149</v>
      </c>
      <c r="N46" s="69" t="n">
        <v>0.2249</v>
      </c>
      <c r="O46" s="68" t="n">
        <f aca="false">N46+0.01</f>
        <v>0.2349</v>
      </c>
      <c r="P46" s="68" t="n">
        <f aca="false">O46+0.01</f>
        <v>0.2449</v>
      </c>
      <c r="Q46" s="68" t="n">
        <f aca="false">P46+0.01</f>
        <v>0.2549</v>
      </c>
      <c r="R46" s="70"/>
    </row>
    <row r="47" customFormat="false" ht="14.25" hidden="false" customHeight="false" outlineLevel="0" collapsed="false">
      <c r="A47" s="0" t="s">
        <v>45</v>
      </c>
      <c r="B47" s="19" t="n">
        <v>975</v>
      </c>
      <c r="C47" s="19" t="n">
        <v>863</v>
      </c>
      <c r="D47" s="19" t="n">
        <v>504</v>
      </c>
      <c r="E47" s="2" t="n">
        <v>9</v>
      </c>
      <c r="F47" s="20" t="n">
        <f aca="false">751</f>
        <v>751</v>
      </c>
      <c r="I47" s="71"/>
      <c r="J47" s="72" t="n">
        <f aca="false">J48-0.01</f>
        <v>0.08455</v>
      </c>
      <c r="K47" s="73" t="str">
        <f aca="true">TABLE($J$46,$F$3,$J47,$F$5,K$46)</f>
        <v/>
      </c>
      <c r="L47" s="73" t="str">
        <f aca="true">TABLE($J$46,$F$3,$J47,$F$5,L$46)</f>
        <v/>
      </c>
      <c r="M47" s="73" t="str">
        <f aca="true">TABLE($J$46,$F$3,$J47,$F$5,M$46)</f>
        <v/>
      </c>
      <c r="N47" s="73" t="str">
        <f aca="true">TABLE($J$46,$F$3,$J47,$F$5,N$46)</f>
        <v/>
      </c>
      <c r="O47" s="73" t="str">
        <f aca="true">TABLE($J$46,$F$3,$J47,$F$5,O$46)</f>
        <v/>
      </c>
      <c r="P47" s="73" t="str">
        <f aca="true">TABLE($J$46,$F$3,$J47,$F$5,P$46)</f>
        <v/>
      </c>
      <c r="Q47" s="73" t="str">
        <f aca="true">TABLE($J$46,$F$3,$J47,$F$5,Q$46)</f>
        <v/>
      </c>
      <c r="R47" s="73"/>
    </row>
    <row r="48" customFormat="false" ht="14.25" hidden="false" customHeight="false" outlineLevel="0" collapsed="false">
      <c r="A48" s="0" t="s">
        <v>46</v>
      </c>
      <c r="B48" s="19" t="n">
        <v>1545</v>
      </c>
      <c r="C48" s="19" t="n">
        <v>1288</v>
      </c>
      <c r="D48" s="19" t="n">
        <v>1633</v>
      </c>
      <c r="E48" s="2" t="n">
        <v>10</v>
      </c>
      <c r="F48" s="20" t="n">
        <f aca="false">+F21/F13</f>
        <v>1820.04697730363</v>
      </c>
      <c r="I48" s="71"/>
      <c r="J48" s="72" t="n">
        <f aca="false">J49-0.01</f>
        <v>0.09455</v>
      </c>
      <c r="K48" s="73" t="str">
        <f aca="true">TABLE($J$46,$F$3,$J48,$F$5,K$46)</f>
        <v/>
      </c>
      <c r="L48" s="74" t="str">
        <f aca="true">TABLE($J$46,$F$3,$J48,$F$5,L$46)</f>
        <v/>
      </c>
      <c r="M48" s="74" t="str">
        <f aca="true">TABLE($J$46,$F$3,$J48,$F$5,M$46)</f>
        <v/>
      </c>
      <c r="N48" s="74" t="str">
        <f aca="true">TABLE($J$46,$F$3,$J48,$F$5,N$46)</f>
        <v/>
      </c>
      <c r="O48" s="74" t="str">
        <f aca="true">TABLE($J$46,$F$3,$J48,$F$5,O$46)</f>
        <v/>
      </c>
      <c r="P48" s="74" t="str">
        <f aca="true">TABLE($J$46,$F$3,$J48,$F$5,P$46)</f>
        <v/>
      </c>
      <c r="Q48" s="73" t="str">
        <f aca="true">TABLE($J$46,$F$3,$J48,$F$5,Q$46)</f>
        <v/>
      </c>
      <c r="R48" s="73"/>
    </row>
    <row r="49" customFormat="false" ht="14.25" hidden="false" customHeight="false" outlineLevel="0" collapsed="false">
      <c r="A49" s="22" t="s">
        <v>47</v>
      </c>
      <c r="B49" s="28" t="n">
        <v>319</v>
      </c>
      <c r="C49" s="28" t="n">
        <v>1207</v>
      </c>
      <c r="D49" s="28" t="n">
        <v>304</v>
      </c>
      <c r="E49" s="2" t="n">
        <v>11</v>
      </c>
      <c r="F49" s="30" t="n">
        <f aca="false">F28*F14</f>
        <v>352.323852381263</v>
      </c>
      <c r="I49" s="71"/>
      <c r="J49" s="72" t="n">
        <f aca="false">J50-0.01</f>
        <v>0.10455</v>
      </c>
      <c r="K49" s="73" t="str">
        <f aca="true">TABLE($J$46,$F$3,$J49,$F$5,K$46)</f>
        <v/>
      </c>
      <c r="L49" s="74" t="str">
        <f aca="true">TABLE($J$46,$F$3,$J49,$F$5,L$46)</f>
        <v/>
      </c>
      <c r="M49" s="75" t="str">
        <f aca="true">TABLE($J$46,$F$3,$J49,$F$5,M$46)</f>
        <v/>
      </c>
      <c r="N49" s="75" t="str">
        <f aca="true">TABLE($J$46,$F$3,$J49,$F$5,N$46)</f>
        <v/>
      </c>
      <c r="O49" s="75" t="str">
        <f aca="true">TABLE($J$46,$F$3,$J49,$F$5,O$46)</f>
        <v/>
      </c>
      <c r="P49" s="74" t="str">
        <f aca="true">TABLE($J$46,$F$3,$J49,$F$5,P$46)</f>
        <v/>
      </c>
      <c r="Q49" s="73" t="str">
        <f aca="true">TABLE($J$46,$F$3,$J49,$F$5,Q$46)</f>
        <v/>
      </c>
      <c r="R49" s="73"/>
    </row>
    <row r="50" customFormat="false" ht="22.5" hidden="false" customHeight="true" outlineLevel="0" collapsed="false">
      <c r="A50" s="35" t="s">
        <v>48</v>
      </c>
      <c r="B50" s="36" t="n">
        <v>7523</v>
      </c>
      <c r="C50" s="36" t="n">
        <v>8314</v>
      </c>
      <c r="D50" s="36" t="n">
        <v>8220</v>
      </c>
      <c r="F50" s="38" t="n">
        <f aca="false">SUM(F46:F49)</f>
        <v>9364.63289501902</v>
      </c>
      <c r="I50" s="76" t="s">
        <v>5</v>
      </c>
      <c r="J50" s="77" t="n">
        <v>0.11455</v>
      </c>
      <c r="K50" s="73" t="str">
        <f aca="true">TABLE($J$46,$F$3,$J50,$F$5,K$46)</f>
        <v/>
      </c>
      <c r="L50" s="74" t="str">
        <f aca="true">TABLE($J$46,$F$3,$J50,$F$5,L$46)</f>
        <v/>
      </c>
      <c r="M50" s="75" t="str">
        <f aca="true">TABLE($J$46,$F$3,$J50,$F$5,M$46)</f>
        <v/>
      </c>
      <c r="N50" s="78" t="str">
        <f aca="true">TABLE($J$46,$F$3,$J50,$F$5,N$46)</f>
        <v/>
      </c>
      <c r="O50" s="75" t="str">
        <f aca="true">TABLE($J$46,$F$3,$J50,$F$5,O$46)</f>
        <v/>
      </c>
      <c r="P50" s="74" t="str">
        <f aca="true">TABLE($J$46,$F$3,$J50,$F$5,P$46)</f>
        <v/>
      </c>
      <c r="Q50" s="73" t="str">
        <f aca="true">TABLE($J$46,$F$3,$J50,$F$5,Q$46)</f>
        <v/>
      </c>
      <c r="R50" s="73"/>
    </row>
    <row r="51" customFormat="false" ht="14.25" hidden="false" customHeight="false" outlineLevel="0" collapsed="false">
      <c r="A51" s="0" t="s">
        <v>49</v>
      </c>
      <c r="B51" s="19" t="n">
        <v>1451</v>
      </c>
      <c r="C51" s="19" t="n">
        <v>1815</v>
      </c>
      <c r="D51" s="19" t="n">
        <v>2010</v>
      </c>
      <c r="E51" s="2" t="n">
        <v>12</v>
      </c>
      <c r="F51" s="20" t="n">
        <f aca="false">D51</f>
        <v>2010</v>
      </c>
      <c r="I51" s="71"/>
      <c r="J51" s="72" t="n">
        <f aca="false">J50+0.01</f>
        <v>0.12455</v>
      </c>
      <c r="K51" s="73" t="str">
        <f aca="true">TABLE($J$46,$F$3,$J51,$F$5,K$46)</f>
        <v/>
      </c>
      <c r="L51" s="74" t="str">
        <f aca="true">TABLE($J$46,$F$3,$J51,$F$5,L$46)</f>
        <v/>
      </c>
      <c r="M51" s="75" t="str">
        <f aca="true">TABLE($J$46,$F$3,$J51,$F$5,M$46)</f>
        <v/>
      </c>
      <c r="N51" s="75" t="str">
        <f aca="true">TABLE($J$46,$F$3,$J51,$F$5,N$46)</f>
        <v/>
      </c>
      <c r="O51" s="75" t="str">
        <f aca="true">TABLE($J$46,$F$3,$J51,$F$5,O$46)</f>
        <v/>
      </c>
      <c r="P51" s="74" t="str">
        <f aca="true">TABLE($J$46,$F$3,$J51,$F$5,P$46)</f>
        <v/>
      </c>
      <c r="Q51" s="73" t="str">
        <f aca="true">TABLE($J$46,$F$3,$J51,$F$5,Q$46)</f>
        <v/>
      </c>
      <c r="R51" s="73"/>
    </row>
    <row r="52" customFormat="false" ht="14.25" hidden="false" customHeight="false" outlineLevel="0" collapsed="false">
      <c r="A52" s="22" t="s">
        <v>50</v>
      </c>
      <c r="B52" s="28" t="n">
        <v>10186</v>
      </c>
      <c r="C52" s="28" t="n">
        <v>10155</v>
      </c>
      <c r="D52" s="28" t="n">
        <v>9034</v>
      </c>
      <c r="E52" s="2" t="n">
        <v>13</v>
      </c>
      <c r="F52" s="30" t="n">
        <f aca="false">D52-F47</f>
        <v>8283</v>
      </c>
      <c r="I52" s="71"/>
      <c r="J52" s="72" t="n">
        <f aca="false">J51+0.01</f>
        <v>0.13455</v>
      </c>
      <c r="K52" s="73" t="str">
        <f aca="true">TABLE($J$46,$F$3,$J52,$F$5,K$46)</f>
        <v/>
      </c>
      <c r="L52" s="74" t="str">
        <f aca="true">TABLE($J$46,$F$3,$J52,$F$5,L$46)</f>
        <v/>
      </c>
      <c r="M52" s="74" t="str">
        <f aca="true">TABLE($J$46,$F$3,$J52,$F$5,M$46)</f>
        <v/>
      </c>
      <c r="N52" s="74" t="str">
        <f aca="true">TABLE($J$46,$F$3,$J52,$F$5,N$46)</f>
        <v/>
      </c>
      <c r="O52" s="74" t="str">
        <f aca="true">TABLE($J$46,$F$3,$J52,$F$5,O$46)</f>
        <v/>
      </c>
      <c r="P52" s="74" t="str">
        <f aca="true">TABLE($J$46,$F$3,$J52,$F$5,P$46)</f>
        <v/>
      </c>
      <c r="Q52" s="73" t="str">
        <f aca="true">TABLE($J$46,$F$3,$J52,$F$5,Q$46)</f>
        <v/>
      </c>
      <c r="R52" s="73"/>
    </row>
    <row r="53" customFormat="false" ht="14.25" hidden="false" customHeight="false" outlineLevel="0" collapsed="false">
      <c r="A53" s="35" t="s">
        <v>51</v>
      </c>
      <c r="B53" s="36" t="n">
        <v>19160</v>
      </c>
      <c r="C53" s="36" t="n">
        <v>20284</v>
      </c>
      <c r="D53" s="36" t="n">
        <v>19264</v>
      </c>
      <c r="F53" s="38" t="n">
        <f aca="false">SUM(F50:F52)</f>
        <v>19657.632895019</v>
      </c>
      <c r="I53" s="71"/>
      <c r="J53" s="72" t="n">
        <f aca="false">J52+0.01</f>
        <v>0.14455</v>
      </c>
      <c r="K53" s="73" t="str">
        <f aca="true">TABLE($J$46,$F$3,$J53,$F$5,K$46)</f>
        <v/>
      </c>
      <c r="L53" s="73" t="str">
        <f aca="true">TABLE($J$46,$F$3,$J53,$F$5,L$46)</f>
        <v/>
      </c>
      <c r="M53" s="73" t="str">
        <f aca="true">TABLE($J$46,$F$3,$J53,$F$5,M$46)</f>
        <v/>
      </c>
      <c r="N53" s="73" t="str">
        <f aca="true">TABLE($J$46,$F$3,$J53,$F$5,N$46)</f>
        <v/>
      </c>
      <c r="O53" s="73" t="str">
        <f aca="true">TABLE($J$46,$F$3,$J53,$F$5,O$46)</f>
        <v/>
      </c>
      <c r="P53" s="73" t="str">
        <f aca="true">TABLE($J$46,$F$3,$J53,$F$5,P$46)</f>
        <v/>
      </c>
      <c r="Q53" s="73" t="str">
        <f aca="true">TABLE($J$46,$F$3,$J53,$F$5,Q$46)</f>
        <v/>
      </c>
      <c r="R53" s="73"/>
    </row>
    <row r="54" customFormat="false" ht="14.25" hidden="false" customHeight="false" outlineLevel="0" collapsed="false">
      <c r="B54" s="8"/>
      <c r="C54" s="8"/>
      <c r="D54" s="8"/>
      <c r="F54" s="39"/>
    </row>
    <row r="55" customFormat="false" ht="14.25" hidden="false" customHeight="false" outlineLevel="0" collapsed="false">
      <c r="A55" s="0" t="s">
        <v>52</v>
      </c>
      <c r="B55" s="19" t="n">
        <v>76</v>
      </c>
      <c r="C55" s="19" t="n">
        <v>76</v>
      </c>
      <c r="D55" s="19" t="n">
        <v>74</v>
      </c>
      <c r="E55" s="2" t="n">
        <v>14</v>
      </c>
      <c r="F55" s="20" t="n">
        <f aca="false">D55</f>
        <v>74</v>
      </c>
      <c r="L55" s="21"/>
      <c r="M55" s="21"/>
    </row>
    <row r="56" customFormat="false" ht="14.25" hidden="false" customHeight="false" outlineLevel="0" collapsed="false">
      <c r="A56" s="0" t="s">
        <v>53</v>
      </c>
      <c r="B56" s="19" t="n">
        <v>1256</v>
      </c>
      <c r="C56" s="19" t="n">
        <v>1530</v>
      </c>
      <c r="D56" s="19" t="n">
        <v>1810</v>
      </c>
      <c r="E56" s="2" t="n">
        <v>15</v>
      </c>
      <c r="F56" s="20" t="n">
        <f aca="false">D56</f>
        <v>1810</v>
      </c>
      <c r="L56" s="21"/>
      <c r="M56" s="21"/>
    </row>
    <row r="57" customFormat="false" ht="14.25" hidden="false" customHeight="false" outlineLevel="0" collapsed="false">
      <c r="A57" s="22" t="s">
        <v>54</v>
      </c>
      <c r="B57" s="40" t="n">
        <v>8111</v>
      </c>
      <c r="C57" s="40" t="n">
        <v>9526</v>
      </c>
      <c r="D57" s="40" t="n">
        <v>11145</v>
      </c>
      <c r="E57" s="2" t="n">
        <v>16</v>
      </c>
      <c r="F57" s="30" t="n">
        <f aca="false">+D57+F30-F31*F15</f>
        <v>13053.4620763279</v>
      </c>
      <c r="L57" s="21"/>
      <c r="M57" s="21"/>
    </row>
    <row r="58" customFormat="false" ht="14.25" hidden="false" customHeight="false" outlineLevel="0" collapsed="false">
      <c r="A58" s="41" t="s">
        <v>55</v>
      </c>
      <c r="B58" s="42" t="n">
        <v>9443</v>
      </c>
      <c r="C58" s="42" t="n">
        <v>11132</v>
      </c>
      <c r="D58" s="42" t="n">
        <v>13029</v>
      </c>
      <c r="F58" s="43" t="n">
        <f aca="false">+SUM(F55:F57)</f>
        <v>14937.4620763279</v>
      </c>
      <c r="L58" s="21"/>
      <c r="M58" s="21"/>
    </row>
    <row r="59" customFormat="false" ht="14.25" hidden="false" customHeight="false" outlineLevel="0" collapsed="false">
      <c r="A59" s="35" t="s">
        <v>56</v>
      </c>
      <c r="B59" s="36" t="n">
        <v>28603</v>
      </c>
      <c r="C59" s="36" t="n">
        <v>31416</v>
      </c>
      <c r="D59" s="36" t="n">
        <v>32293</v>
      </c>
      <c r="F59" s="38" t="n">
        <f aca="false">+F58+F53</f>
        <v>34595.094971347</v>
      </c>
      <c r="L59" s="21"/>
      <c r="M59" s="21"/>
    </row>
    <row r="6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61.29"/>
    <col collapsed="false" customWidth="true" hidden="false" outlineLevel="0" max="2" min="2" style="1" width="14.86"/>
    <col collapsed="false" customWidth="true" hidden="false" outlineLevel="0" max="4" min="3" style="1" width="12.29"/>
    <col collapsed="false" customWidth="true" hidden="false" outlineLevel="0" max="5" min="5" style="2" width="10.71"/>
    <col collapsed="false" customWidth="true" hidden="false" outlineLevel="0" max="8" min="6" style="3" width="13.29"/>
    <col collapsed="false" customWidth="true" hidden="false" outlineLevel="0" max="10" min="10" style="0" width="4"/>
    <col collapsed="false" customWidth="true" hidden="false" outlineLevel="0" max="13" min="11" style="0" width="12"/>
  </cols>
  <sheetData>
    <row r="2" customFormat="false" ht="14.25" hidden="false" customHeight="false" outlineLevel="0" collapsed="false">
      <c r="A2" s="4" t="s">
        <v>0</v>
      </c>
      <c r="B2" s="47"/>
      <c r="C2" s="47"/>
      <c r="D2" s="47"/>
      <c r="E2" s="6"/>
      <c r="F2" s="48" t="s">
        <v>58</v>
      </c>
      <c r="G2" s="48"/>
      <c r="H2" s="48"/>
    </row>
    <row r="3" customFormat="false" ht="14.25" hidden="false" customHeight="false" outlineLevel="0" collapsed="false">
      <c r="A3" s="0" t="s">
        <v>5</v>
      </c>
      <c r="B3" s="8"/>
      <c r="C3" s="9" t="n">
        <v>0.12336</v>
      </c>
      <c r="D3" s="9" t="n">
        <v>0.11455</v>
      </c>
      <c r="F3" s="49" t="n">
        <v>0.11455</v>
      </c>
      <c r="G3" s="49" t="n">
        <v>0.18</v>
      </c>
      <c r="H3" s="49" t="n">
        <v>0.09</v>
      </c>
    </row>
    <row r="4" customFormat="false" ht="14.25" hidden="false" customHeight="false" outlineLevel="0" collapsed="false">
      <c r="A4" s="0" t="s">
        <v>6</v>
      </c>
      <c r="B4" s="8"/>
      <c r="C4" s="9" t="n">
        <v>0.32447</v>
      </c>
      <c r="D4" s="9" t="n">
        <v>0.32866</v>
      </c>
      <c r="F4" s="10" t="n">
        <v>0.32866</v>
      </c>
      <c r="G4" s="10" t="n">
        <v>0.32866</v>
      </c>
      <c r="H4" s="10" t="n">
        <v>0.32866</v>
      </c>
    </row>
    <row r="5" customFormat="false" ht="14.25" hidden="false" customHeight="false" outlineLevel="0" collapsed="false">
      <c r="A5" s="0" t="s">
        <v>7</v>
      </c>
      <c r="B5" s="8"/>
      <c r="C5" s="9" t="n">
        <v>0.22318</v>
      </c>
      <c r="D5" s="9" t="n">
        <v>0.2249</v>
      </c>
      <c r="F5" s="49" t="n">
        <v>0.2249</v>
      </c>
      <c r="G5" s="49" t="n">
        <v>0.23</v>
      </c>
      <c r="H5" s="49" t="n">
        <v>0.24</v>
      </c>
    </row>
    <row r="6" customFormat="false" ht="14.25" hidden="false" customHeight="false" outlineLevel="0" collapsed="false">
      <c r="A6" s="0" t="s">
        <v>8</v>
      </c>
      <c r="B6" s="8"/>
      <c r="C6" s="9" t="n">
        <v>0.05245</v>
      </c>
      <c r="D6" s="9" t="n">
        <v>0.06333</v>
      </c>
      <c r="F6" s="10" t="n">
        <v>0.06333</v>
      </c>
      <c r="G6" s="10" t="n">
        <v>0.06333</v>
      </c>
      <c r="H6" s="10" t="n">
        <v>0.06333</v>
      </c>
    </row>
    <row r="7" customFormat="false" ht="14.25" hidden="false" customHeight="false" outlineLevel="0" collapsed="false">
      <c r="A7" s="79" t="s">
        <v>9</v>
      </c>
      <c r="B7" s="8"/>
      <c r="C7" s="9" t="n">
        <v>0.04982</v>
      </c>
      <c r="D7" s="9" t="n">
        <v>0.05173</v>
      </c>
      <c r="F7" s="10" t="n">
        <v>0.05173</v>
      </c>
      <c r="G7" s="10" t="n">
        <v>0.05173</v>
      </c>
      <c r="H7" s="10" t="n">
        <v>0.05173</v>
      </c>
    </row>
    <row r="8" customFormat="false" ht="14.25" hidden="false" customHeight="false" outlineLevel="0" collapsed="false">
      <c r="A8" s="0" t="s">
        <v>10</v>
      </c>
      <c r="B8" s="8"/>
      <c r="C8" s="9" t="n">
        <v>0.37803</v>
      </c>
      <c r="D8" s="9" t="n">
        <v>0.37809</v>
      </c>
      <c r="F8" s="10" t="n">
        <v>0.37809</v>
      </c>
      <c r="G8" s="10" t="n">
        <v>0.37809</v>
      </c>
      <c r="H8" s="10" t="n">
        <v>0.37809</v>
      </c>
    </row>
    <row r="9" customFormat="false" ht="14.25" hidden="false" customHeight="false" outlineLevel="0" collapsed="false">
      <c r="B9" s="8"/>
      <c r="C9" s="9"/>
      <c r="D9" s="9"/>
      <c r="F9" s="10"/>
      <c r="G9" s="10"/>
      <c r="H9" s="10"/>
    </row>
    <row r="10" customFormat="false" ht="14.25" hidden="false" customHeight="false" outlineLevel="0" collapsed="false">
      <c r="A10" s="0" t="s">
        <v>11</v>
      </c>
      <c r="B10" s="11" t="n">
        <v>6.722</v>
      </c>
      <c r="C10" s="11" t="n">
        <v>9.094</v>
      </c>
      <c r="D10" s="11" t="n">
        <v>9.24</v>
      </c>
      <c r="E10" s="16"/>
      <c r="F10" s="13" t="n">
        <v>9.24</v>
      </c>
      <c r="G10" s="13" t="n">
        <v>9.24</v>
      </c>
      <c r="H10" s="13" t="n">
        <v>9.24</v>
      </c>
    </row>
    <row r="11" customFormat="false" ht="14.25" hidden="false" customHeight="false" outlineLevel="0" collapsed="false">
      <c r="A11" s="0" t="s">
        <v>12</v>
      </c>
      <c r="B11" s="11" t="n">
        <v>5.357</v>
      </c>
      <c r="C11" s="11" t="n">
        <v>6.266</v>
      </c>
      <c r="D11" s="11" t="n">
        <v>5.84</v>
      </c>
      <c r="E11" s="16"/>
      <c r="F11" s="13" t="n">
        <v>5.84</v>
      </c>
      <c r="G11" s="13" t="n">
        <v>5.84</v>
      </c>
      <c r="H11" s="13" t="n">
        <v>5.84</v>
      </c>
    </row>
    <row r="12" customFormat="false" ht="14.25" hidden="false" customHeight="false" outlineLevel="0" collapsed="false">
      <c r="A12" s="0" t="s">
        <v>13</v>
      </c>
      <c r="B12" s="11" t="n">
        <v>5.444</v>
      </c>
      <c r="C12" s="11" t="n">
        <v>5.728</v>
      </c>
      <c r="D12" s="11" t="n">
        <v>5.441</v>
      </c>
      <c r="E12" s="16"/>
      <c r="F12" s="13" t="n">
        <v>5.441</v>
      </c>
      <c r="G12" s="13" t="n">
        <v>5.441</v>
      </c>
      <c r="H12" s="13" t="n">
        <v>5.441</v>
      </c>
    </row>
    <row r="13" customFormat="false" ht="14.25" hidden="false" customHeight="false" outlineLevel="0" collapsed="false">
      <c r="A13" s="0" t="s">
        <v>14</v>
      </c>
      <c r="B13" s="11" t="n">
        <v>24.214</v>
      </c>
      <c r="C13" s="11" t="n">
        <v>32.628</v>
      </c>
      <c r="D13" s="11" t="n">
        <v>28.683</v>
      </c>
      <c r="E13" s="16"/>
      <c r="F13" s="80" t="n">
        <v>28.683</v>
      </c>
      <c r="G13" s="80" t="n">
        <v>28.683</v>
      </c>
      <c r="H13" s="80" t="n">
        <v>32</v>
      </c>
    </row>
    <row r="14" customFormat="false" ht="14.25" hidden="false" customHeight="false" outlineLevel="0" collapsed="false">
      <c r="A14" s="0" t="s">
        <v>15</v>
      </c>
      <c r="B14" s="11" t="n">
        <v>0.37485</v>
      </c>
      <c r="C14" s="11" t="n">
        <v>1.22663</v>
      </c>
      <c r="D14" s="11" t="n">
        <v>0.26527</v>
      </c>
      <c r="E14" s="16"/>
      <c r="F14" s="13" t="n">
        <v>0.26527</v>
      </c>
      <c r="G14" s="13" t="n">
        <v>0.26527</v>
      </c>
      <c r="H14" s="13" t="n">
        <v>0.26527</v>
      </c>
    </row>
    <row r="15" customFormat="false" ht="30.75" hidden="false" customHeight="false" outlineLevel="0" collapsed="false">
      <c r="A15" s="0" t="s">
        <v>16</v>
      </c>
      <c r="B15" s="15" t="n">
        <v>0.24</v>
      </c>
      <c r="C15" s="15" t="n">
        <v>0.26</v>
      </c>
      <c r="D15" s="15" t="n">
        <v>0.31</v>
      </c>
      <c r="E15" s="16"/>
      <c r="F15" s="17" t="n">
        <v>0.31</v>
      </c>
      <c r="G15" s="17" t="n">
        <v>0.31</v>
      </c>
      <c r="H15" s="17" t="n">
        <v>0.31</v>
      </c>
      <c r="K15" s="57"/>
      <c r="L15" s="81" t="str">
        <f aca="false">+F20</f>
        <v> Base Estimate</v>
      </c>
      <c r="M15" s="81" t="str">
        <f aca="false">+G20</f>
        <v>Optimistic Estimate</v>
      </c>
      <c r="N15" s="82" t="str">
        <f aca="false">+H20</f>
        <v>Pesimist Estimate</v>
      </c>
    </row>
    <row r="16" customFormat="false" ht="14.25" hidden="false" customHeight="false" outlineLevel="0" collapsed="false">
      <c r="A16" s="0" t="s">
        <v>17</v>
      </c>
      <c r="B16" s="19" t="n">
        <v>3189</v>
      </c>
      <c r="C16" s="19" t="n">
        <v>2671</v>
      </c>
      <c r="D16" s="19" t="n">
        <v>3012</v>
      </c>
      <c r="E16" s="16"/>
      <c r="F16" s="20" t="n">
        <v>3012</v>
      </c>
      <c r="G16" s="20" t="n">
        <v>3012</v>
      </c>
      <c r="H16" s="20" t="n">
        <v>3012</v>
      </c>
      <c r="J16" s="31"/>
      <c r="K16" s="83" t="s">
        <v>57</v>
      </c>
      <c r="L16" s="84" t="n">
        <f aca="false">(F30-F31*F15)/F31</f>
        <v>2.14193274559813</v>
      </c>
      <c r="M16" s="84" t="n">
        <f aca="false">(G30-G31*G15)/G31</f>
        <v>2.16720759809182</v>
      </c>
      <c r="N16" s="60" t="n">
        <f aca="false">(H30-H31*H15)/H31</f>
        <v>1.52055568937498</v>
      </c>
    </row>
    <row r="17" customFormat="false" ht="14.25" hidden="false" customHeight="false" outlineLevel="0" collapsed="false">
      <c r="A17" s="22" t="s">
        <v>18</v>
      </c>
      <c r="B17" s="23" t="n">
        <v>0.08524</v>
      </c>
      <c r="C17" s="23" t="n">
        <v>0.06356</v>
      </c>
      <c r="D17" s="23" t="n">
        <v>0.06431</v>
      </c>
      <c r="E17" s="24"/>
      <c r="F17" s="25" t="n">
        <v>0.06431</v>
      </c>
      <c r="G17" s="25" t="n">
        <v>0.06431</v>
      </c>
      <c r="H17" s="25" t="n">
        <v>0.06431</v>
      </c>
    </row>
    <row r="20" customFormat="false" ht="30.75" hidden="false" customHeight="false" outlineLevel="0" collapsed="false">
      <c r="A20" s="4" t="s">
        <v>19</v>
      </c>
      <c r="B20" s="5" t="s">
        <v>1</v>
      </c>
      <c r="C20" s="5" t="s">
        <v>2</v>
      </c>
      <c r="D20" s="5" t="s">
        <v>3</v>
      </c>
      <c r="E20" s="26" t="s">
        <v>20</v>
      </c>
      <c r="F20" s="27" t="s">
        <v>74</v>
      </c>
      <c r="G20" s="27" t="s">
        <v>75</v>
      </c>
      <c r="H20" s="27" t="s">
        <v>76</v>
      </c>
    </row>
    <row r="21" customFormat="false" ht="14.25" hidden="false" customHeight="false" outlineLevel="0" collapsed="false">
      <c r="A21" s="0" t="s">
        <v>22</v>
      </c>
      <c r="B21" s="19" t="n">
        <v>37410</v>
      </c>
      <c r="C21" s="19" t="n">
        <v>42025</v>
      </c>
      <c r="D21" s="19" t="n">
        <v>46839</v>
      </c>
      <c r="E21" s="2" t="n">
        <v>1</v>
      </c>
      <c r="F21" s="20" t="n">
        <f aca="false">D21*(1+F3)</f>
        <v>52204.40745</v>
      </c>
      <c r="G21" s="20" t="n">
        <f aca="false">D21*(1+G3)</f>
        <v>55270.02</v>
      </c>
      <c r="H21" s="20" t="n">
        <f aca="false">D21*(1+H3)</f>
        <v>51054.51</v>
      </c>
    </row>
    <row r="22" customFormat="false" ht="14.25" hidden="false" customHeight="false" outlineLevel="0" collapsed="false">
      <c r="A22" s="22" t="s">
        <v>23</v>
      </c>
      <c r="B22" s="28" t="n">
        <v>25498</v>
      </c>
      <c r="C22" s="28" t="n">
        <v>28389</v>
      </c>
      <c r="D22" s="28" t="n">
        <v>31445</v>
      </c>
      <c r="E22" s="29" t="n">
        <v>3</v>
      </c>
      <c r="F22" s="30" t="n">
        <f aca="false">F21-F23</f>
        <v>35046.906897483</v>
      </c>
      <c r="G22" s="30" t="n">
        <f aca="false">G21-G23</f>
        <v>37104.9752268</v>
      </c>
      <c r="H22" s="30" t="n">
        <f aca="false">H21-H23</f>
        <v>34274.9347434</v>
      </c>
    </row>
    <row r="23" customFormat="false" ht="14.25" hidden="false" customHeight="false" outlineLevel="0" collapsed="false">
      <c r="A23" s="31" t="s">
        <v>24</v>
      </c>
      <c r="B23" s="32" t="n">
        <v>11912</v>
      </c>
      <c r="C23" s="32" t="n">
        <v>13636</v>
      </c>
      <c r="D23" s="32" t="n">
        <v>15394</v>
      </c>
      <c r="E23" s="29" t="n">
        <v>2</v>
      </c>
      <c r="F23" s="33" t="n">
        <f aca="false">F21*F4</f>
        <v>17157.500552517</v>
      </c>
      <c r="G23" s="33" t="n">
        <f aca="false">G21*G4</f>
        <v>18165.0447732</v>
      </c>
      <c r="H23" s="33" t="n">
        <f aca="false">H21*H4</f>
        <v>16779.5752566</v>
      </c>
    </row>
    <row r="24" customFormat="false" ht="14.25" hidden="false" customHeight="false" outlineLevel="0" collapsed="false">
      <c r="A24" s="31" t="s">
        <v>25</v>
      </c>
      <c r="B24" s="32" t="n">
        <v>8134</v>
      </c>
      <c r="C24" s="32" t="n">
        <v>9379</v>
      </c>
      <c r="D24" s="32" t="n">
        <v>10534</v>
      </c>
      <c r="E24" s="29" t="n">
        <v>4</v>
      </c>
      <c r="F24" s="33" t="n">
        <f aca="false">F21*F5</f>
        <v>11740.771235505</v>
      </c>
      <c r="G24" s="33" t="n">
        <f aca="false">G21*G5</f>
        <v>12712.1046</v>
      </c>
      <c r="H24" s="33" t="n">
        <f aca="false">H21*H5</f>
        <v>12253.0824</v>
      </c>
    </row>
    <row r="25" customFormat="false" ht="14.25" hidden="false" customHeight="false" outlineLevel="0" collapsed="false">
      <c r="A25" s="31" t="s">
        <v>26</v>
      </c>
      <c r="B25" s="32" t="n">
        <v>967</v>
      </c>
      <c r="C25" s="32" t="n">
        <v>1098</v>
      </c>
      <c r="D25" s="32" t="n">
        <v>1259</v>
      </c>
      <c r="E25" s="2" t="n">
        <v>5</v>
      </c>
      <c r="F25" s="20" t="n">
        <f aca="false">D40*F6</f>
        <v>1410.48576</v>
      </c>
      <c r="G25" s="20" t="n">
        <f aca="false">D40*G6</f>
        <v>1410.48576</v>
      </c>
      <c r="H25" s="20" t="n">
        <f aca="false">D40*H6</f>
        <v>1410.48576</v>
      </c>
    </row>
    <row r="26" customFormat="false" ht="14.25" hidden="false" customHeight="false" outlineLevel="0" collapsed="false">
      <c r="A26" s="22" t="s">
        <v>27</v>
      </c>
      <c r="B26" s="28" t="n">
        <v>584</v>
      </c>
      <c r="C26" s="28" t="n">
        <v>556</v>
      </c>
      <c r="D26" s="28" t="n">
        <v>570</v>
      </c>
      <c r="E26" s="2" t="n">
        <v>6</v>
      </c>
      <c r="F26" s="30" t="n">
        <f aca="false">F7*(D47+D52)</f>
        <v>493.40074</v>
      </c>
      <c r="G26" s="30" t="n">
        <f aca="false">G7*(D47+D52)</f>
        <v>493.40074</v>
      </c>
      <c r="H26" s="30" t="n">
        <f aca="false">H7*(D47+D52)</f>
        <v>493.40074</v>
      </c>
    </row>
    <row r="27" customFormat="false" ht="14.25" hidden="false" customHeight="false" outlineLevel="0" collapsed="false">
      <c r="A27" s="0" t="s">
        <v>28</v>
      </c>
      <c r="B27" s="19" t="n">
        <v>2227</v>
      </c>
      <c r="C27" s="19" t="n">
        <v>2603</v>
      </c>
      <c r="D27" s="19" t="n">
        <v>3031</v>
      </c>
      <c r="E27" s="2" t="n">
        <v>7</v>
      </c>
      <c r="F27" s="20" t="n">
        <f aca="false">+F23-F24-F25-F26</f>
        <v>3512.842817012</v>
      </c>
      <c r="G27" s="20" t="n">
        <f aca="false">+G23-G24-G25-G26</f>
        <v>3549.0536732</v>
      </c>
      <c r="H27" s="20" t="n">
        <f aca="false">+H23-H24-H25-H26</f>
        <v>2622.6063566</v>
      </c>
    </row>
    <row r="28" customFormat="false" ht="14.25" hidden="false" customHeight="false" outlineLevel="0" collapsed="false">
      <c r="A28" s="22" t="s">
        <v>29</v>
      </c>
      <c r="B28" s="28" t="n">
        <v>851</v>
      </c>
      <c r="C28" s="28" t="n">
        <v>984</v>
      </c>
      <c r="D28" s="28" t="n">
        <v>1146</v>
      </c>
      <c r="E28" s="2" t="n">
        <v>8</v>
      </c>
      <c r="F28" s="30" t="n">
        <f aca="false">IF(F27&lt;0,0,F27*F8)</f>
        <v>1328.17074068407</v>
      </c>
      <c r="G28" s="30" t="n">
        <f aca="false">IF(G27&lt;0,0,G27*G8)</f>
        <v>1341.86170330019</v>
      </c>
      <c r="H28" s="30" t="n">
        <f aca="false">IF(H27&lt;0,0,H27*H8)</f>
        <v>991.581237366895</v>
      </c>
    </row>
    <row r="29" customFormat="false" ht="14.25" hidden="false" customHeight="false" outlineLevel="0" collapsed="false">
      <c r="A29" s="0" t="s">
        <v>66</v>
      </c>
      <c r="B29" s="19" t="n">
        <v>247</v>
      </c>
      <c r="C29" s="19" t="n">
        <v>190</v>
      </c>
      <c r="D29" s="19" t="n">
        <v>1313</v>
      </c>
      <c r="E29" s="2" t="n">
        <v>9</v>
      </c>
      <c r="F29" s="20" t="n">
        <v>0</v>
      </c>
      <c r="G29" s="20" t="n">
        <v>0</v>
      </c>
      <c r="H29" s="85" t="n">
        <v>-200</v>
      </c>
    </row>
    <row r="30" customFormat="false" ht="14.25" hidden="false" customHeight="false" outlineLevel="0" collapsed="false">
      <c r="A30" s="35" t="s">
        <v>31</v>
      </c>
      <c r="B30" s="36" t="n">
        <v>1623</v>
      </c>
      <c r="C30" s="36" t="n">
        <v>1809</v>
      </c>
      <c r="D30" s="36" t="n">
        <v>3198</v>
      </c>
      <c r="E30" s="37" t="n">
        <v>10</v>
      </c>
      <c r="F30" s="38" t="n">
        <f aca="false">+F27-F28</f>
        <v>2184.67207632793</v>
      </c>
      <c r="G30" s="38" t="n">
        <f aca="false">+G27-G28</f>
        <v>2207.19196989981</v>
      </c>
      <c r="H30" s="38" t="n">
        <f aca="false">+H27-H28</f>
        <v>1631.02511923311</v>
      </c>
    </row>
    <row r="31" customFormat="false" ht="14.25" hidden="false" customHeight="false" outlineLevel="0" collapsed="false">
      <c r="A31" s="0" t="s">
        <v>32</v>
      </c>
      <c r="B31" s="8" t="n">
        <v>910</v>
      </c>
      <c r="C31" s="8" t="n">
        <v>912</v>
      </c>
      <c r="D31" s="8" t="n">
        <v>891</v>
      </c>
      <c r="F31" s="39" t="n">
        <v>891</v>
      </c>
      <c r="G31" s="39" t="n">
        <v>891</v>
      </c>
      <c r="H31" s="39" t="n">
        <v>891</v>
      </c>
    </row>
    <row r="34" customFormat="false" ht="30.75" hidden="false" customHeight="false" outlineLevel="0" collapsed="false">
      <c r="A34" s="4" t="s">
        <v>33</v>
      </c>
      <c r="B34" s="5" t="s">
        <v>1</v>
      </c>
      <c r="C34" s="5" t="s">
        <v>2</v>
      </c>
      <c r="D34" s="5" t="s">
        <v>3</v>
      </c>
      <c r="E34" s="26" t="s">
        <v>20</v>
      </c>
      <c r="F34" s="27" t="s">
        <v>77</v>
      </c>
      <c r="G34" s="27" t="s">
        <v>75</v>
      </c>
      <c r="H34" s="27" t="s">
        <v>78</v>
      </c>
    </row>
    <row r="35" customFormat="false" ht="14.25" hidden="false" customHeight="false" outlineLevel="0" collapsed="false">
      <c r="A35" s="0" t="s">
        <v>34</v>
      </c>
      <c r="B35" s="19" t="n">
        <v>758</v>
      </c>
      <c r="C35" s="19" t="n">
        <v>708</v>
      </c>
      <c r="D35" s="19" t="n">
        <v>2245</v>
      </c>
      <c r="E35" s="2" t="n">
        <v>17</v>
      </c>
      <c r="F35" s="20" t="n">
        <f aca="false">+F59-F36-F37-F38-F42-F43</f>
        <v>1402.30495420839</v>
      </c>
      <c r="G35" s="20" t="n">
        <f aca="false">+G59-G36-G37-G38-G42-G43</f>
        <v>1032.25282477499</v>
      </c>
      <c r="H35" s="20" t="n">
        <f aca="false">+H59-H36-H37-H38-H42-H43</f>
        <v>723.48148844903</v>
      </c>
    </row>
    <row r="36" customFormat="false" ht="14.25" hidden="false" customHeight="false" outlineLevel="0" collapsed="false">
      <c r="A36" s="0" t="s">
        <v>35</v>
      </c>
      <c r="B36" s="19" t="n">
        <v>5565</v>
      </c>
      <c r="C36" s="19" t="n">
        <v>4621</v>
      </c>
      <c r="D36" s="19" t="n">
        <v>5069</v>
      </c>
      <c r="E36" s="2" t="n">
        <v>1</v>
      </c>
      <c r="F36" s="20" t="n">
        <f aca="false">F21/F10</f>
        <v>5649.8276461039</v>
      </c>
      <c r="G36" s="20" t="n">
        <f aca="false">G21/G10</f>
        <v>5981.6038961039</v>
      </c>
      <c r="H36" s="20" t="n">
        <f aca="false">H21/H10</f>
        <v>5525.37987012987</v>
      </c>
    </row>
    <row r="37" customFormat="false" ht="14.25" hidden="false" customHeight="false" outlineLevel="0" collapsed="false">
      <c r="A37" s="0" t="s">
        <v>36</v>
      </c>
      <c r="B37" s="19" t="n">
        <v>4760</v>
      </c>
      <c r="C37" s="19" t="n">
        <v>4531</v>
      </c>
      <c r="D37" s="19" t="n">
        <v>5384</v>
      </c>
      <c r="E37" s="2" t="n">
        <v>2</v>
      </c>
      <c r="F37" s="20" t="n">
        <f aca="false">F22/F11</f>
        <v>6001.18268792517</v>
      </c>
      <c r="G37" s="20" t="n">
        <f aca="false">G22/G11</f>
        <v>6353.59164842466</v>
      </c>
      <c r="H37" s="20" t="n">
        <f aca="false">H22/H11</f>
        <v>5868.99567523973</v>
      </c>
    </row>
    <row r="38" customFormat="false" ht="14.25" hidden="false" customHeight="false" outlineLevel="0" collapsed="false">
      <c r="A38" s="22" t="s">
        <v>37</v>
      </c>
      <c r="B38" s="28" t="n">
        <v>852</v>
      </c>
      <c r="C38" s="28" t="n">
        <v>3092</v>
      </c>
      <c r="D38" s="28" t="n">
        <v>1224</v>
      </c>
      <c r="E38" s="2" t="n">
        <v>3</v>
      </c>
      <c r="F38" s="30" t="n">
        <f aca="false">D38</f>
        <v>1224</v>
      </c>
      <c r="G38" s="30" t="n">
        <f aca="false">D38</f>
        <v>1224</v>
      </c>
      <c r="H38" s="30" t="n">
        <f aca="false">D38</f>
        <v>1224</v>
      </c>
    </row>
    <row r="39" customFormat="false" ht="14.25" hidden="false" customHeight="false" outlineLevel="0" collapsed="false">
      <c r="A39" s="35" t="s">
        <v>38</v>
      </c>
      <c r="B39" s="36" t="n">
        <v>11935</v>
      </c>
      <c r="C39" s="36" t="n">
        <v>12952</v>
      </c>
      <c r="D39" s="36" t="n">
        <v>13922</v>
      </c>
      <c r="F39" s="38" t="n">
        <f aca="false">SUM(F35:F38)</f>
        <v>14277.3152882375</v>
      </c>
      <c r="G39" s="38" t="n">
        <f aca="false">SUM(G35:G38)</f>
        <v>14591.4483693035</v>
      </c>
      <c r="H39" s="38" t="n">
        <f aca="false">SUM(H35:H38)</f>
        <v>13341.8570338186</v>
      </c>
    </row>
    <row r="40" customFormat="false" ht="14.25" hidden="false" customHeight="false" outlineLevel="0" collapsed="false">
      <c r="A40" s="0" t="s">
        <v>39</v>
      </c>
      <c r="B40" s="19" t="n">
        <v>20936</v>
      </c>
      <c r="C40" s="19" t="n">
        <v>19880</v>
      </c>
      <c r="D40" s="19" t="n">
        <v>22272</v>
      </c>
      <c r="E40" s="2" t="n">
        <v>4</v>
      </c>
      <c r="F40" s="20" t="n">
        <f aca="false">D40+(F21*D17)</f>
        <v>25629.2654431095</v>
      </c>
      <c r="G40" s="20" t="n">
        <f aca="false">D40+(G21*G17)</f>
        <v>25826.4149862</v>
      </c>
      <c r="H40" s="20" t="n">
        <f aca="false">D40+(H21*H17)</f>
        <v>25555.3155381</v>
      </c>
    </row>
    <row r="41" customFormat="false" ht="14.25" hidden="false" customHeight="false" outlineLevel="0" collapsed="false">
      <c r="A41" s="0" t="s">
        <v>40</v>
      </c>
      <c r="B41" s="19" t="n">
        <v>5629</v>
      </c>
      <c r="C41" s="19" t="n">
        <v>4727</v>
      </c>
      <c r="D41" s="19" t="n">
        <v>5412</v>
      </c>
      <c r="E41" s="2" t="n">
        <v>5</v>
      </c>
      <c r="F41" s="20" t="n">
        <f aca="false">+D41+F25</f>
        <v>6822.48576</v>
      </c>
      <c r="G41" s="20" t="n">
        <f aca="false">+D41+G25</f>
        <v>6822.48576</v>
      </c>
      <c r="H41" s="20" t="n">
        <f aca="false">+D41+H25</f>
        <v>6822.48576</v>
      </c>
    </row>
    <row r="42" customFormat="false" ht="14.25" hidden="false" customHeight="false" outlineLevel="0" collapsed="false">
      <c r="A42" s="0" t="s">
        <v>41</v>
      </c>
      <c r="B42" s="19" t="n">
        <v>15307</v>
      </c>
      <c r="C42" s="19" t="n">
        <v>15153</v>
      </c>
      <c r="D42" s="19" t="n">
        <v>16860</v>
      </c>
      <c r="E42" s="2" t="n">
        <v>6</v>
      </c>
      <c r="F42" s="20" t="n">
        <f aca="false">+F40-F41</f>
        <v>18806.7796831095</v>
      </c>
      <c r="G42" s="20" t="n">
        <f aca="false">+G40-G41</f>
        <v>19003.9292262</v>
      </c>
      <c r="H42" s="20" t="n">
        <f aca="false">+H40-H41</f>
        <v>18732.8297781</v>
      </c>
    </row>
    <row r="43" customFormat="false" ht="14.25" hidden="false" customHeight="false" outlineLevel="0" collapsed="false">
      <c r="A43" s="22" t="s">
        <v>72</v>
      </c>
      <c r="B43" s="28" t="n">
        <v>1361</v>
      </c>
      <c r="C43" s="28" t="n">
        <v>3311</v>
      </c>
      <c r="D43" s="28" t="n">
        <v>1511</v>
      </c>
      <c r="E43" s="2" t="n">
        <v>7</v>
      </c>
      <c r="F43" s="30" t="n">
        <f aca="false">D43</f>
        <v>1511</v>
      </c>
      <c r="G43" s="30" t="n">
        <f aca="false">D43</f>
        <v>1511</v>
      </c>
      <c r="H43" s="30" t="n">
        <f aca="false">D43</f>
        <v>1511</v>
      </c>
    </row>
    <row r="44" customFormat="false" ht="14.25" hidden="false" customHeight="false" outlineLevel="0" collapsed="false">
      <c r="A44" s="35" t="s">
        <v>43</v>
      </c>
      <c r="B44" s="36" t="n">
        <v>28603</v>
      </c>
      <c r="C44" s="36" t="n">
        <v>31416</v>
      </c>
      <c r="D44" s="36" t="n">
        <v>32293</v>
      </c>
      <c r="F44" s="38" t="n">
        <f aca="false">F39+F42+F43</f>
        <v>34595.094971347</v>
      </c>
      <c r="G44" s="38" t="n">
        <f aca="false">G39+G42+G43</f>
        <v>35106.3775955035</v>
      </c>
      <c r="H44" s="38" t="n">
        <f aca="false">H39+H42+H43</f>
        <v>33585.6868119186</v>
      </c>
    </row>
    <row r="45" customFormat="false" ht="14.25" hidden="false" customHeight="false" outlineLevel="0" collapsed="false">
      <c r="B45" s="8"/>
      <c r="C45" s="8"/>
      <c r="D45" s="8"/>
      <c r="F45" s="39"/>
      <c r="G45" s="39"/>
      <c r="H45" s="39"/>
    </row>
    <row r="46" customFormat="false" ht="14.25" hidden="false" customHeight="false" outlineLevel="0" collapsed="false">
      <c r="A46" s="0" t="s">
        <v>44</v>
      </c>
      <c r="B46" s="19" t="n">
        <v>4684</v>
      </c>
      <c r="C46" s="19" t="n">
        <v>4956</v>
      </c>
      <c r="D46" s="19" t="n">
        <v>5779</v>
      </c>
      <c r="E46" s="2" t="n">
        <v>8</v>
      </c>
      <c r="F46" s="20" t="n">
        <f aca="false">F22/F12</f>
        <v>6441.26206533413</v>
      </c>
      <c r="G46" s="20" t="n">
        <f aca="false">G22/G12</f>
        <v>6819.51391780923</v>
      </c>
      <c r="H46" s="20" t="n">
        <f aca="false">H22/H12</f>
        <v>6299.3815003492</v>
      </c>
    </row>
    <row r="47" customFormat="false" ht="14.25" hidden="false" customHeight="false" outlineLevel="0" collapsed="false">
      <c r="A47" s="0" t="s">
        <v>45</v>
      </c>
      <c r="B47" s="19" t="n">
        <v>975</v>
      </c>
      <c r="C47" s="19" t="n">
        <v>863</v>
      </c>
      <c r="D47" s="19" t="n">
        <v>504</v>
      </c>
      <c r="E47" s="2" t="n">
        <v>9</v>
      </c>
      <c r="F47" s="20" t="n">
        <f aca="false">751</f>
        <v>751</v>
      </c>
      <c r="G47" s="20" t="n">
        <f aca="false">751</f>
        <v>751</v>
      </c>
      <c r="H47" s="20" t="n">
        <f aca="false">751</f>
        <v>751</v>
      </c>
    </row>
    <row r="48" customFormat="false" ht="14.25" hidden="false" customHeight="false" outlineLevel="0" collapsed="false">
      <c r="A48" s="0" t="s">
        <v>46</v>
      </c>
      <c r="B48" s="19" t="n">
        <v>1545</v>
      </c>
      <c r="C48" s="19" t="n">
        <v>1288</v>
      </c>
      <c r="D48" s="19" t="n">
        <v>1633</v>
      </c>
      <c r="E48" s="2" t="n">
        <v>10</v>
      </c>
      <c r="F48" s="20" t="n">
        <f aca="false">+F21/F13</f>
        <v>1820.04697730363</v>
      </c>
      <c r="G48" s="20" t="n">
        <f aca="false">+G21/G13</f>
        <v>1926.92605376007</v>
      </c>
      <c r="H48" s="20" t="n">
        <f aca="false">+H21/H13</f>
        <v>1595.4534375</v>
      </c>
    </row>
    <row r="49" customFormat="false" ht="14.25" hidden="false" customHeight="false" outlineLevel="0" collapsed="false">
      <c r="A49" s="22" t="s">
        <v>47</v>
      </c>
      <c r="B49" s="28" t="n">
        <v>319</v>
      </c>
      <c r="C49" s="28" t="n">
        <v>1207</v>
      </c>
      <c r="D49" s="28" t="n">
        <v>304</v>
      </c>
      <c r="E49" s="2" t="n">
        <v>11</v>
      </c>
      <c r="F49" s="30" t="n">
        <f aca="false">F28*F14</f>
        <v>352.323852381263</v>
      </c>
      <c r="G49" s="30" t="n">
        <f aca="false">G28*G14</f>
        <v>355.955654034441</v>
      </c>
      <c r="H49" s="30" t="n">
        <f aca="false">H28*H14</f>
        <v>263.036754836316</v>
      </c>
    </row>
    <row r="50" customFormat="false" ht="14.25" hidden="false" customHeight="false" outlineLevel="0" collapsed="false">
      <c r="A50" s="35" t="s">
        <v>48</v>
      </c>
      <c r="B50" s="36" t="n">
        <v>7523</v>
      </c>
      <c r="C50" s="36" t="n">
        <v>8314</v>
      </c>
      <c r="D50" s="36" t="n">
        <v>8220</v>
      </c>
      <c r="F50" s="38" t="n">
        <f aca="false">SUM(F46:F49)</f>
        <v>9364.63289501902</v>
      </c>
      <c r="G50" s="38" t="n">
        <f aca="false">SUM(G46:G49)</f>
        <v>9853.39562560374</v>
      </c>
      <c r="H50" s="38" t="n">
        <f aca="false">SUM(H46:H49)</f>
        <v>8908.87169268552</v>
      </c>
    </row>
    <row r="51" customFormat="false" ht="14.25" hidden="false" customHeight="false" outlineLevel="0" collapsed="false">
      <c r="A51" s="0" t="s">
        <v>49</v>
      </c>
      <c r="B51" s="19" t="n">
        <v>1451</v>
      </c>
      <c r="C51" s="19" t="n">
        <v>1815</v>
      </c>
      <c r="D51" s="19" t="n">
        <v>2010</v>
      </c>
      <c r="E51" s="2" t="n">
        <v>12</v>
      </c>
      <c r="F51" s="20" t="n">
        <f aca="false">D51</f>
        <v>2010</v>
      </c>
      <c r="G51" s="20" t="n">
        <f aca="false">D51</f>
        <v>2010</v>
      </c>
      <c r="H51" s="20" t="n">
        <f aca="false">D51</f>
        <v>2010</v>
      </c>
    </row>
    <row r="52" customFormat="false" ht="14.25" hidden="false" customHeight="false" outlineLevel="0" collapsed="false">
      <c r="A52" s="22" t="s">
        <v>50</v>
      </c>
      <c r="B52" s="28" t="n">
        <v>10186</v>
      </c>
      <c r="C52" s="28" t="n">
        <v>10155</v>
      </c>
      <c r="D52" s="28" t="n">
        <v>9034</v>
      </c>
      <c r="E52" s="2" t="n">
        <v>13</v>
      </c>
      <c r="F52" s="30" t="n">
        <f aca="false">D52-F47</f>
        <v>8283</v>
      </c>
      <c r="G52" s="30" t="n">
        <f aca="false">D52-G47</f>
        <v>8283</v>
      </c>
      <c r="H52" s="30" t="n">
        <f aca="false">D52-H47</f>
        <v>8283</v>
      </c>
    </row>
    <row r="53" customFormat="false" ht="14.25" hidden="false" customHeight="false" outlineLevel="0" collapsed="false">
      <c r="A53" s="35" t="s">
        <v>51</v>
      </c>
      <c r="B53" s="36" t="n">
        <v>19160</v>
      </c>
      <c r="C53" s="36" t="n">
        <v>20284</v>
      </c>
      <c r="D53" s="36" t="n">
        <v>19264</v>
      </c>
      <c r="F53" s="38" t="n">
        <f aca="false">SUM(F50:F52)</f>
        <v>19657.632895019</v>
      </c>
      <c r="G53" s="38" t="n">
        <f aca="false">SUM(G50:G52)</f>
        <v>20146.3956256037</v>
      </c>
      <c r="H53" s="38" t="n">
        <f aca="false">SUM(H50:H52)</f>
        <v>19201.8716926855</v>
      </c>
    </row>
    <row r="54" customFormat="false" ht="14.25" hidden="false" customHeight="false" outlineLevel="0" collapsed="false">
      <c r="B54" s="8"/>
      <c r="C54" s="8"/>
      <c r="D54" s="8"/>
      <c r="F54" s="39"/>
      <c r="G54" s="39"/>
      <c r="H54" s="39"/>
    </row>
    <row r="55" customFormat="false" ht="14.25" hidden="false" customHeight="false" outlineLevel="0" collapsed="false">
      <c r="A55" s="0" t="s">
        <v>52</v>
      </c>
      <c r="B55" s="19" t="n">
        <v>76</v>
      </c>
      <c r="C55" s="19" t="n">
        <v>76</v>
      </c>
      <c r="D55" s="19" t="n">
        <v>74</v>
      </c>
      <c r="E55" s="2" t="n">
        <v>14</v>
      </c>
      <c r="F55" s="20" t="n">
        <f aca="false">D55</f>
        <v>74</v>
      </c>
      <c r="G55" s="20" t="n">
        <f aca="false">D55</f>
        <v>74</v>
      </c>
      <c r="H55" s="20" t="n">
        <f aca="false">D55</f>
        <v>74</v>
      </c>
    </row>
    <row r="56" customFormat="false" ht="14.25" hidden="false" customHeight="false" outlineLevel="0" collapsed="false">
      <c r="A56" s="0" t="s">
        <v>53</v>
      </c>
      <c r="B56" s="19" t="n">
        <v>1256</v>
      </c>
      <c r="C56" s="19" t="n">
        <v>1530</v>
      </c>
      <c r="D56" s="19" t="n">
        <v>1810</v>
      </c>
      <c r="E56" s="2" t="n">
        <v>15</v>
      </c>
      <c r="F56" s="20" t="n">
        <f aca="false">D56</f>
        <v>1810</v>
      </c>
      <c r="G56" s="20" t="n">
        <f aca="false">D56</f>
        <v>1810</v>
      </c>
      <c r="H56" s="20" t="n">
        <f aca="false">D56</f>
        <v>1810</v>
      </c>
    </row>
    <row r="57" customFormat="false" ht="14.25" hidden="false" customHeight="false" outlineLevel="0" collapsed="false">
      <c r="A57" s="22" t="s">
        <v>54</v>
      </c>
      <c r="B57" s="40" t="n">
        <v>8111</v>
      </c>
      <c r="C57" s="40" t="n">
        <v>9526</v>
      </c>
      <c r="D57" s="40" t="n">
        <v>11145</v>
      </c>
      <c r="E57" s="2" t="n">
        <v>16</v>
      </c>
      <c r="F57" s="30" t="n">
        <f aca="false">+D57+F30-F31*F15</f>
        <v>13053.4620763279</v>
      </c>
      <c r="G57" s="30" t="n">
        <f aca="false">+D57+G30-G31*G15</f>
        <v>13075.9819698998</v>
      </c>
      <c r="H57" s="30" t="n">
        <f aca="false">+D57+H30-H31*H15</f>
        <v>12499.8151192331</v>
      </c>
    </row>
    <row r="58" customFormat="false" ht="14.25" hidden="false" customHeight="false" outlineLevel="0" collapsed="false">
      <c r="A58" s="41" t="s">
        <v>55</v>
      </c>
      <c r="B58" s="42" t="n">
        <v>9443</v>
      </c>
      <c r="C58" s="42" t="n">
        <v>11132</v>
      </c>
      <c r="D58" s="42" t="n">
        <v>13029</v>
      </c>
      <c r="F58" s="43" t="n">
        <f aca="false">+SUM(F55:F57)</f>
        <v>14937.4620763279</v>
      </c>
      <c r="G58" s="43" t="n">
        <f aca="false">+SUM(G55:G57)</f>
        <v>14959.9819698998</v>
      </c>
      <c r="H58" s="43" t="n">
        <f aca="false">+SUM(H55:H57)</f>
        <v>14383.8151192331</v>
      </c>
    </row>
    <row r="59" customFormat="false" ht="14.25" hidden="false" customHeight="false" outlineLevel="0" collapsed="false">
      <c r="A59" s="35" t="s">
        <v>56</v>
      </c>
      <c r="B59" s="36" t="n">
        <v>28603</v>
      </c>
      <c r="C59" s="36" t="n">
        <v>31416</v>
      </c>
      <c r="D59" s="36" t="n">
        <v>32293</v>
      </c>
      <c r="F59" s="38" t="n">
        <f aca="false">+F58+F53</f>
        <v>34595.094971347</v>
      </c>
      <c r="G59" s="38" t="n">
        <f aca="false">+G58+G53</f>
        <v>35106.3775955035</v>
      </c>
      <c r="H59" s="38" t="n">
        <f aca="false">+H58+H53</f>
        <v>33585.6868119186</v>
      </c>
    </row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2023-08-20T07:47:58Z</dcterms:created>
  <dc:creator>Marcelo Ortiz M.</dc:creator>
  <dc:description/>
  <dc:language>en-US</dc:language>
  <cp:lastModifiedBy>Marcelo Ortiz</cp:lastModifiedBy>
  <dcterms:modified xsi:type="dcterms:W3CDTF">2024-11-20T16:05:41Z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