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 tabRatio="763" firstSheet="1" activeTab="5"/>
  </bookViews>
  <sheets>
    <sheet name="Исходные данные" sheetId="1" r:id="rId1"/>
    <sheet name="Дискретный ряд" sheetId="2" r:id="rId2"/>
    <sheet name="Интервальный ряд" sheetId="3" r:id="rId3"/>
    <sheet name="Интервальный вариационный ряд" sheetId="4" r:id="rId4"/>
    <sheet name="Первичная обработка результатов" sheetId="5" r:id="rId5"/>
    <sheet name="задание 9" sheetId="6" r:id="rId6"/>
  </sheets>
  <calcPr calcId="162913"/>
</workbook>
</file>

<file path=xl/calcChain.xml><?xml version="1.0" encoding="utf-8"?>
<calcChain xmlns="http://schemas.openxmlformats.org/spreadsheetml/2006/main">
  <c r="J6" i="6" l="1"/>
  <c r="J13" i="6"/>
  <c r="J1" i="6"/>
  <c r="D41" i="6"/>
  <c r="D42" i="6"/>
  <c r="D43" i="6"/>
  <c r="D44" i="6"/>
  <c r="D45" i="6"/>
  <c r="D46" i="6"/>
  <c r="D47" i="6"/>
  <c r="C41" i="6"/>
  <c r="C42" i="6" s="1"/>
  <c r="C43" i="6" s="1"/>
  <c r="C44" i="6" s="1"/>
  <c r="C45" i="6" s="1"/>
  <c r="C46" i="6" s="1"/>
  <c r="C47" i="6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2" i="6"/>
  <c r="J3" i="6"/>
  <c r="J2" i="6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N4" i="3"/>
  <c r="N3" i="3"/>
  <c r="N2" i="3"/>
  <c r="N1" i="3"/>
  <c r="C1" i="3"/>
  <c r="L3" i="2"/>
  <c r="L2" i="2"/>
  <c r="L4" i="2" s="1"/>
  <c r="D11" i="5"/>
  <c r="D10" i="5"/>
  <c r="D9" i="5"/>
  <c r="D8" i="5"/>
  <c r="D6" i="5"/>
  <c r="D7" i="5" s="1"/>
  <c r="D12" i="5" s="1"/>
  <c r="D5" i="5"/>
  <c r="D4" i="5"/>
  <c r="D3" i="5"/>
  <c r="D2" i="5"/>
  <c r="D1" i="5"/>
  <c r="D3" i="4"/>
  <c r="D5" i="4" s="1"/>
  <c r="D2" i="4"/>
  <c r="E2" i="4" s="1"/>
  <c r="D1" i="4"/>
  <c r="D4" i="4" s="1"/>
  <c r="C4" i="3"/>
  <c r="C5" i="3" s="1"/>
  <c r="C3" i="3"/>
  <c r="C2" i="3"/>
  <c r="D2" i="3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" i="2"/>
  <c r="F2" i="2" s="1"/>
  <c r="J4" i="6" l="1"/>
  <c r="F2" i="4"/>
  <c r="J5" i="6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L1" i="2"/>
  <c r="E2" i="3"/>
  <c r="L13" i="2"/>
  <c r="D3" i="3"/>
  <c r="G2" i="3"/>
  <c r="H44" i="6" l="1"/>
  <c r="G41" i="6"/>
  <c r="G45" i="6"/>
  <c r="F42" i="6"/>
  <c r="F46" i="6"/>
  <c r="E42" i="6"/>
  <c r="E46" i="6"/>
  <c r="G44" i="6"/>
  <c r="F45" i="6"/>
  <c r="E45" i="6"/>
  <c r="H41" i="6"/>
  <c r="H45" i="6"/>
  <c r="G42" i="6"/>
  <c r="G46" i="6"/>
  <c r="F43" i="6"/>
  <c r="F47" i="6"/>
  <c r="E43" i="6"/>
  <c r="E47" i="6"/>
  <c r="H47" i="6"/>
  <c r="E41" i="6"/>
  <c r="H42" i="6"/>
  <c r="H46" i="6"/>
  <c r="G43" i="6"/>
  <c r="G47" i="6"/>
  <c r="F44" i="6"/>
  <c r="E44" i="6"/>
  <c r="H43" i="6"/>
  <c r="F41" i="6"/>
  <c r="H3" i="6"/>
  <c r="H7" i="6"/>
  <c r="H11" i="6"/>
  <c r="H15" i="6"/>
  <c r="H19" i="6"/>
  <c r="H23" i="6"/>
  <c r="H27" i="6"/>
  <c r="H31" i="6"/>
  <c r="H35" i="6"/>
  <c r="H39" i="6"/>
  <c r="G6" i="6"/>
  <c r="G10" i="6"/>
  <c r="G14" i="6"/>
  <c r="G18" i="6"/>
  <c r="G22" i="6"/>
  <c r="G26" i="6"/>
  <c r="G30" i="6"/>
  <c r="G34" i="6"/>
  <c r="G38" i="6"/>
  <c r="F31" i="6"/>
  <c r="F35" i="6"/>
  <c r="F39" i="6"/>
  <c r="F12" i="6"/>
  <c r="F16" i="6"/>
  <c r="F20" i="6"/>
  <c r="F24" i="6"/>
  <c r="F28" i="6"/>
  <c r="F5" i="6"/>
  <c r="F9" i="6"/>
  <c r="H4" i="6"/>
  <c r="H8" i="6"/>
  <c r="H12" i="6"/>
  <c r="H16" i="6"/>
  <c r="H20" i="6"/>
  <c r="H24" i="6"/>
  <c r="H28" i="6"/>
  <c r="H32" i="6"/>
  <c r="H36" i="6"/>
  <c r="H40" i="6"/>
  <c r="G3" i="6"/>
  <c r="G7" i="6"/>
  <c r="G11" i="6"/>
  <c r="G15" i="6"/>
  <c r="G19" i="6"/>
  <c r="G23" i="6"/>
  <c r="G27" i="6"/>
  <c r="G31" i="6"/>
  <c r="G35" i="6"/>
  <c r="G39" i="6"/>
  <c r="F32" i="6"/>
  <c r="F36" i="6"/>
  <c r="F40" i="6"/>
  <c r="F13" i="6"/>
  <c r="F17" i="6"/>
  <c r="F21" i="6"/>
  <c r="F25" i="6"/>
  <c r="F29" i="6"/>
  <c r="F6" i="6"/>
  <c r="F2" i="6"/>
  <c r="H5" i="6"/>
  <c r="H9" i="6"/>
  <c r="H13" i="6"/>
  <c r="H17" i="6"/>
  <c r="H21" i="6"/>
  <c r="H25" i="6"/>
  <c r="H29" i="6"/>
  <c r="H33" i="6"/>
  <c r="H37" i="6"/>
  <c r="H2" i="6"/>
  <c r="G4" i="6"/>
  <c r="G8" i="6"/>
  <c r="G12" i="6"/>
  <c r="G16" i="6"/>
  <c r="G20" i="6"/>
  <c r="G24" i="6"/>
  <c r="G28" i="6"/>
  <c r="G32" i="6"/>
  <c r="G36" i="6"/>
  <c r="G40" i="6"/>
  <c r="F33" i="6"/>
  <c r="F37" i="6"/>
  <c r="F10" i="6"/>
  <c r="F14" i="6"/>
  <c r="F18" i="6"/>
  <c r="F22" i="6"/>
  <c r="F26" i="6"/>
  <c r="F3" i="6"/>
  <c r="F7" i="6"/>
  <c r="H6" i="6"/>
  <c r="H10" i="6"/>
  <c r="H14" i="6"/>
  <c r="H18" i="6"/>
  <c r="H22" i="6"/>
  <c r="H26" i="6"/>
  <c r="H30" i="6"/>
  <c r="H34" i="6"/>
  <c r="H38" i="6"/>
  <c r="G5" i="6"/>
  <c r="G9" i="6"/>
  <c r="G13" i="6"/>
  <c r="G17" i="6"/>
  <c r="G21" i="6"/>
  <c r="G25" i="6"/>
  <c r="G29" i="6"/>
  <c r="G33" i="6"/>
  <c r="G37" i="6"/>
  <c r="G2" i="6"/>
  <c r="F30" i="6"/>
  <c r="F34" i="6"/>
  <c r="F38" i="6"/>
  <c r="F11" i="6"/>
  <c r="F15" i="6"/>
  <c r="F19" i="6"/>
  <c r="F23" i="6"/>
  <c r="F27" i="6"/>
  <c r="F4" i="6"/>
  <c r="F8" i="6"/>
  <c r="E40" i="6"/>
  <c r="E32" i="6"/>
  <c r="E24" i="6"/>
  <c r="E16" i="6"/>
  <c r="E8" i="6"/>
  <c r="E39" i="6"/>
  <c r="E31" i="6"/>
  <c r="E23" i="6"/>
  <c r="E15" i="6"/>
  <c r="E7" i="6"/>
  <c r="L5" i="2"/>
  <c r="E34" i="6"/>
  <c r="E18" i="6"/>
  <c r="E2" i="6"/>
  <c r="E25" i="6"/>
  <c r="E9" i="6"/>
  <c r="E38" i="6"/>
  <c r="E30" i="6"/>
  <c r="E22" i="6"/>
  <c r="E14" i="6"/>
  <c r="E6" i="6"/>
  <c r="E37" i="6"/>
  <c r="E29" i="6"/>
  <c r="E21" i="6"/>
  <c r="E13" i="6"/>
  <c r="E5" i="6"/>
  <c r="G2" i="4"/>
  <c r="H2" i="4" s="1"/>
  <c r="E3" i="4"/>
  <c r="F3" i="4" s="1"/>
  <c r="E26" i="6"/>
  <c r="E10" i="6"/>
  <c r="E33" i="6"/>
  <c r="E17" i="6"/>
  <c r="E36" i="6"/>
  <c r="E28" i="6"/>
  <c r="E20" i="6"/>
  <c r="E12" i="6"/>
  <c r="E4" i="6"/>
  <c r="E35" i="6"/>
  <c r="E27" i="6"/>
  <c r="E19" i="6"/>
  <c r="E11" i="6"/>
  <c r="E3" i="6"/>
  <c r="E3" i="3"/>
  <c r="G3" i="3" s="1"/>
  <c r="E52" i="6" l="1"/>
  <c r="H2" i="2"/>
  <c r="G12" i="2"/>
  <c r="G4" i="2"/>
  <c r="H12" i="2"/>
  <c r="H4" i="2"/>
  <c r="I14" i="2"/>
  <c r="I6" i="2"/>
  <c r="J16" i="2"/>
  <c r="J8" i="2"/>
  <c r="H3" i="2"/>
  <c r="G13" i="2"/>
  <c r="G5" i="2"/>
  <c r="H15" i="2"/>
  <c r="H7" i="2"/>
  <c r="I15" i="2"/>
  <c r="I7" i="2"/>
  <c r="J17" i="2"/>
  <c r="J9" i="2"/>
  <c r="G2" i="2"/>
  <c r="I17" i="2"/>
  <c r="J19" i="2"/>
  <c r="J3" i="2"/>
  <c r="G18" i="2"/>
  <c r="G10" i="2"/>
  <c r="H18" i="2"/>
  <c r="H10" i="2"/>
  <c r="I2" i="2"/>
  <c r="I12" i="2"/>
  <c r="I4" i="2"/>
  <c r="J14" i="2"/>
  <c r="J6" i="2"/>
  <c r="G19" i="2"/>
  <c r="G11" i="2"/>
  <c r="G3" i="2"/>
  <c r="H13" i="2"/>
  <c r="H5" i="2"/>
  <c r="I13" i="2"/>
  <c r="I5" i="2"/>
  <c r="J15" i="2"/>
  <c r="J7" i="2"/>
  <c r="G14" i="2"/>
  <c r="G6" i="2"/>
  <c r="H14" i="2"/>
  <c r="H6" i="2"/>
  <c r="I16" i="2"/>
  <c r="I8" i="2"/>
  <c r="J18" i="2"/>
  <c r="J10" i="2"/>
  <c r="G15" i="2"/>
  <c r="G7" i="2"/>
  <c r="H17" i="2"/>
  <c r="H9" i="2"/>
  <c r="I9" i="2"/>
  <c r="J11" i="2"/>
  <c r="G16" i="2"/>
  <c r="G8" i="2"/>
  <c r="H16" i="2"/>
  <c r="H8" i="2"/>
  <c r="I18" i="2"/>
  <c r="I10" i="2"/>
  <c r="J2" i="2"/>
  <c r="J12" i="2"/>
  <c r="J4" i="2"/>
  <c r="G17" i="2"/>
  <c r="G9" i="2"/>
  <c r="H19" i="2"/>
  <c r="H11" i="2"/>
  <c r="I19" i="2"/>
  <c r="I11" i="2"/>
  <c r="I3" i="2"/>
  <c r="J13" i="2"/>
  <c r="J5" i="2"/>
  <c r="G3" i="4"/>
  <c r="H3" i="4" s="1"/>
  <c r="E4" i="4"/>
  <c r="F4" i="4" s="1"/>
  <c r="J7" i="6"/>
  <c r="D4" i="3"/>
  <c r="J12" i="6" l="1"/>
  <c r="J10" i="6"/>
  <c r="J11" i="6"/>
  <c r="G21" i="2"/>
  <c r="E5" i="4"/>
  <c r="F5" i="4" s="1"/>
  <c r="G4" i="4"/>
  <c r="H4" i="4" s="1"/>
  <c r="L6" i="2"/>
  <c r="L7" i="2" s="1"/>
  <c r="E4" i="3"/>
  <c r="G4" i="3"/>
  <c r="L12" i="2" l="1"/>
  <c r="L11" i="2"/>
  <c r="L10" i="2"/>
  <c r="E6" i="4"/>
  <c r="F6" i="4" s="1"/>
  <c r="G5" i="4"/>
  <c r="H5" i="4" s="1"/>
  <c r="D5" i="3"/>
  <c r="E7" i="4" l="1"/>
  <c r="F7" i="4" s="1"/>
  <c r="G7" i="4" s="1"/>
  <c r="H7" i="4" s="1"/>
  <c r="G6" i="4"/>
  <c r="H6" i="4" s="1"/>
  <c r="E5" i="3"/>
  <c r="G5" i="3" s="1"/>
  <c r="D6" i="3" l="1"/>
  <c r="E6" i="3" l="1"/>
  <c r="G6" i="3"/>
  <c r="D7" i="3" l="1"/>
  <c r="E7" i="3" l="1"/>
  <c r="F2" i="3" s="1" a="1"/>
  <c r="G7" i="3"/>
  <c r="F2" i="3" l="1"/>
  <c r="H2" i="3" s="1"/>
  <c r="F4" i="3"/>
  <c r="H4" i="3" s="1"/>
  <c r="F6" i="3"/>
  <c r="H6" i="3" s="1"/>
  <c r="F3" i="3"/>
  <c r="H3" i="3" s="1"/>
  <c r="F5" i="3"/>
  <c r="H5" i="3" s="1"/>
  <c r="F7" i="3"/>
  <c r="H7" i="3" s="1"/>
  <c r="N5" i="3" l="1"/>
  <c r="L2" i="3" l="1"/>
  <c r="K2" i="3"/>
  <c r="J2" i="3"/>
  <c r="I2" i="3"/>
  <c r="L3" i="3"/>
  <c r="I3" i="3"/>
  <c r="J3" i="3"/>
  <c r="K3" i="3"/>
  <c r="J4" i="3"/>
  <c r="K4" i="3"/>
  <c r="I4" i="3"/>
  <c r="L4" i="3"/>
  <c r="K5" i="3"/>
  <c r="J5" i="3"/>
  <c r="I5" i="3"/>
  <c r="L5" i="3"/>
  <c r="I6" i="3"/>
  <c r="L6" i="3"/>
  <c r="K6" i="3"/>
  <c r="J6" i="3"/>
  <c r="J7" i="3"/>
  <c r="L7" i="3"/>
  <c r="I7" i="3"/>
  <c r="K7" i="3"/>
  <c r="I9" i="3" l="1"/>
  <c r="N6" i="3"/>
  <c r="N7" i="3" s="1"/>
  <c r="N12" i="3" l="1"/>
  <c r="N11" i="3"/>
  <c r="N10" i="3"/>
</calcChain>
</file>

<file path=xl/sharedStrings.xml><?xml version="1.0" encoding="utf-8"?>
<sst xmlns="http://schemas.openxmlformats.org/spreadsheetml/2006/main" count="123" uniqueCount="67">
  <si>
    <t>№</t>
  </si>
  <si>
    <t>Регистрационный номер</t>
  </si>
  <si>
    <t>Сумма баллов</t>
  </si>
  <si>
    <t>1.</t>
  </si>
  <si>
    <t>2.</t>
  </si>
  <si>
    <t>3. </t>
  </si>
  <si>
    <t>4.</t>
  </si>
  <si>
    <t>5. 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</si>
  <si>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</si>
  <si>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</si>
  <si>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</si>
  <si>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</si>
  <si>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</si>
  <si>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</si>
  <si>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</si>
  <si>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</si>
  <si>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</si>
  <si>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</si>
  <si>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</si>
  <si>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17. </t>
  </si>
  <si>
    <t>18.</t>
  </si>
  <si>
    <t>19. </t>
  </si>
  <si>
    <t>20.</t>
  </si>
  <si>
    <t>21.</t>
  </si>
  <si>
    <t>22. </t>
  </si>
  <si>
    <t>23. </t>
  </si>
  <si>
    <t>24.</t>
  </si>
  <si>
    <t>Сумма баллов, xi</t>
  </si>
  <si>
    <t>Количество человек, mi</t>
  </si>
  <si>
    <t>Объем выборки</t>
  </si>
  <si>
    <t>минимальное значение</t>
  </si>
  <si>
    <t>максимальное значение</t>
  </si>
  <si>
    <t>Количество интервалов</t>
  </si>
  <si>
    <t>Длина интервала</t>
  </si>
  <si>
    <t>Левая граница</t>
  </si>
  <si>
    <t>Правая граница</t>
  </si>
  <si>
    <t>объем выборки</t>
  </si>
  <si>
    <t>Минимальное значение</t>
  </si>
  <si>
    <t>Максимальное значение</t>
  </si>
  <si>
    <t>левая граница</t>
  </si>
  <si>
    <t>правая граница</t>
  </si>
  <si>
    <t>Накопленная частота</t>
  </si>
  <si>
    <t>Частота</t>
  </si>
  <si>
    <t>размах варьирования</t>
  </si>
  <si>
    <t>выборочное среднее</t>
  </si>
  <si>
    <t xml:space="preserve">дисперсия </t>
  </si>
  <si>
    <t>среднее квадратичное отклонение</t>
  </si>
  <si>
    <t>мода</t>
  </si>
  <si>
    <t>медиана</t>
  </si>
  <si>
    <t>асимметрия</t>
  </si>
  <si>
    <t>эксцесс</t>
  </si>
  <si>
    <t>величина доверительного интервала</t>
  </si>
  <si>
    <t>накопленная частота</t>
  </si>
  <si>
    <t>xi*mi</t>
  </si>
  <si>
    <t>(xi-xcp)*mi</t>
  </si>
  <si>
    <t>(xi-xcp)^2*mi</t>
  </si>
  <si>
    <t>(xi-xcp)^3*mi</t>
  </si>
  <si>
    <t>(xi-xcp)^4*mi</t>
  </si>
  <si>
    <t>Максимальная частота</t>
  </si>
  <si>
    <t>частоты, mi</t>
  </si>
  <si>
    <t>середины интервалов, xi</t>
  </si>
  <si>
    <t>(xi*xcp)*mi</t>
  </si>
  <si>
    <t>194-209</t>
  </si>
  <si>
    <t>количество баллов, xi</t>
  </si>
  <si>
    <t>количество чел., mi</t>
  </si>
  <si>
    <t>дисперсия</t>
  </si>
  <si>
    <t>максимальная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</si>
</sst>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0"/>
      <name val="Yandex-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4" xfId="0" applyBorder="1"/>
    <xf numFmtId="0" fontId="0" fillId="0" borderId="0" xfId="0" applyFill="1" applyBorder="1"/>
    <xf numFmtId="0" fontId="0" fillId="0" borderId="7" xfId="0" applyBorder="1"/>
    <xf numFmtId="0" fontId="0" fillId="0" borderId="2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vertical="top" wrapText="1"/>
    </xf>
    <xf numFmtId="2" fontId="0" fillId="0" borderId="0" xfId="0" applyNumberFormat="1"/>
    <xf numFmtId="0" fontId="0" fillId="0" borderId="8" xfId="0" applyFill="1" applyBorder="1"/>
    <xf numFmtId="0" fontId="2" fillId="0" borderId="0" xfId="0" applyFont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653579016908607E-2"/>
          <c:y val="6.5289442986293383E-2"/>
          <c:w val="0.77794435161932585"/>
          <c:h val="0.7982250656167978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'Дискретный ряд'!$C$2:$C$19</c:f>
              <c:numCache>
                <c:formatCode>General</c:formatCode>
                <c:ptCount val="18"/>
                <c:pt idx="0">
                  <c:v>164</c:v>
                </c:pt>
                <c:pt idx="1">
                  <c:v>166</c:v>
                </c:pt>
                <c:pt idx="2">
                  <c:v>177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186</c:v>
                </c:pt>
                <c:pt idx="7">
                  <c:v>191</c:v>
                </c:pt>
                <c:pt idx="8">
                  <c:v>193</c:v>
                </c:pt>
                <c:pt idx="9">
                  <c:v>194</c:v>
                </c:pt>
                <c:pt idx="10">
                  <c:v>195</c:v>
                </c:pt>
                <c:pt idx="11">
                  <c:v>196</c:v>
                </c:pt>
                <c:pt idx="12">
                  <c:v>199</c:v>
                </c:pt>
                <c:pt idx="13">
                  <c:v>200</c:v>
                </c:pt>
                <c:pt idx="14">
                  <c:v>202</c:v>
                </c:pt>
                <c:pt idx="15">
                  <c:v>208</c:v>
                </c:pt>
                <c:pt idx="16">
                  <c:v>212</c:v>
                </c:pt>
                <c:pt idx="17">
                  <c:v>244</c:v>
                </c:pt>
              </c:numCache>
            </c:numRef>
          </c:xVal>
          <c:yVal>
            <c:numRef>
              <c:f>'Дискретный ряд'!$D$2:$D$19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0-4A80-949A-850830FCB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9472"/>
        <c:axId val="63191296"/>
      </c:scatterChart>
      <c:valAx>
        <c:axId val="63209472"/>
        <c:scaling>
          <c:orientation val="minMax"/>
          <c:min val="150"/>
        </c:scaling>
        <c:delete val="0"/>
        <c:axPos val="b"/>
        <c:numFmt formatCode="General" sourceLinked="1"/>
        <c:majorTickMark val="out"/>
        <c:minorTickMark val="none"/>
        <c:tickLblPos val="nextTo"/>
        <c:crossAx val="63191296"/>
        <c:crosses val="autoZero"/>
        <c:crossBetween val="midCat"/>
      </c:valAx>
      <c:valAx>
        <c:axId val="6319129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209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'Интервальный ряд'!$G$2:$G$7</c:f>
              <c:numCache>
                <c:formatCode>General</c:formatCode>
                <c:ptCount val="6"/>
                <c:pt idx="0">
                  <c:v>171.5</c:v>
                </c:pt>
                <c:pt idx="1">
                  <c:v>186.5</c:v>
                </c:pt>
                <c:pt idx="2">
                  <c:v>201.5</c:v>
                </c:pt>
                <c:pt idx="3">
                  <c:v>216.5</c:v>
                </c:pt>
                <c:pt idx="4">
                  <c:v>231.5</c:v>
                </c:pt>
                <c:pt idx="5">
                  <c:v>246.5</c:v>
                </c:pt>
              </c:numCache>
            </c:numRef>
          </c:cat>
          <c:val>
            <c:numRef>
              <c:f>'Интервальный ряд'!$F$2:$F$7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7-42AD-872F-DCD66FEF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3931776"/>
        <c:axId val="133933312"/>
      </c:barChart>
      <c:catAx>
        <c:axId val="13393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933312"/>
        <c:crosses val="autoZero"/>
        <c:auto val="1"/>
        <c:lblAlgn val="ctr"/>
        <c:lblOffset val="100"/>
        <c:noMultiLvlLbl val="0"/>
      </c:catAx>
      <c:valAx>
        <c:axId val="13393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3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9'!$B$1</c:f>
              <c:strCache>
                <c:ptCount val="1"/>
                <c:pt idx="0">
                  <c:v>количество чел., mi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'задание 9'!$A$2:$A$40</c:f>
              <c:numCache>
                <c:formatCode>General</c:formatCode>
                <c:ptCount val="39"/>
                <c:pt idx="0">
                  <c:v>0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  <c:pt idx="8">
                  <c:v>39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65</c:v>
                </c:pt>
                <c:pt idx="31">
                  <c:v>67</c:v>
                </c:pt>
                <c:pt idx="32">
                  <c:v>69</c:v>
                </c:pt>
                <c:pt idx="33">
                  <c:v>71</c:v>
                </c:pt>
                <c:pt idx="34">
                  <c:v>73</c:v>
                </c:pt>
                <c:pt idx="35">
                  <c:v>75</c:v>
                </c:pt>
                <c:pt idx="36">
                  <c:v>77</c:v>
                </c:pt>
                <c:pt idx="37">
                  <c:v>79</c:v>
                </c:pt>
                <c:pt idx="38">
                  <c:v>81</c:v>
                </c:pt>
              </c:numCache>
            </c:numRef>
          </c:xVal>
          <c:yVal>
            <c:numRef>
              <c:f>'задание 9'!$B$2:$B$40</c:f>
              <c:numCache>
                <c:formatCode>General</c:formatCode>
                <c:ptCount val="39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15</c:v>
                </c:pt>
                <c:pt idx="4">
                  <c:v>16</c:v>
                </c:pt>
                <c:pt idx="5">
                  <c:v>27</c:v>
                </c:pt>
                <c:pt idx="6">
                  <c:v>38</c:v>
                </c:pt>
                <c:pt idx="7">
                  <c:v>63</c:v>
                </c:pt>
                <c:pt idx="8">
                  <c:v>67</c:v>
                </c:pt>
                <c:pt idx="9">
                  <c:v>63</c:v>
                </c:pt>
                <c:pt idx="10">
                  <c:v>73</c:v>
                </c:pt>
                <c:pt idx="11">
                  <c:v>52</c:v>
                </c:pt>
                <c:pt idx="12">
                  <c:v>76</c:v>
                </c:pt>
                <c:pt idx="13">
                  <c:v>43</c:v>
                </c:pt>
                <c:pt idx="14">
                  <c:v>55</c:v>
                </c:pt>
                <c:pt idx="15">
                  <c:v>52</c:v>
                </c:pt>
                <c:pt idx="16">
                  <c:v>48</c:v>
                </c:pt>
                <c:pt idx="17">
                  <c:v>58</c:v>
                </c:pt>
                <c:pt idx="18">
                  <c:v>36</c:v>
                </c:pt>
                <c:pt idx="19">
                  <c:v>26</c:v>
                </c:pt>
                <c:pt idx="20">
                  <c:v>29</c:v>
                </c:pt>
                <c:pt idx="21">
                  <c:v>29</c:v>
                </c:pt>
                <c:pt idx="22">
                  <c:v>26</c:v>
                </c:pt>
                <c:pt idx="23">
                  <c:v>27</c:v>
                </c:pt>
                <c:pt idx="24">
                  <c:v>25</c:v>
                </c:pt>
                <c:pt idx="25">
                  <c:v>19</c:v>
                </c:pt>
                <c:pt idx="26">
                  <c:v>18</c:v>
                </c:pt>
                <c:pt idx="27">
                  <c:v>20</c:v>
                </c:pt>
                <c:pt idx="28">
                  <c:v>22</c:v>
                </c:pt>
                <c:pt idx="29">
                  <c:v>6</c:v>
                </c:pt>
                <c:pt idx="30">
                  <c:v>11</c:v>
                </c:pt>
                <c:pt idx="31">
                  <c:v>8</c:v>
                </c:pt>
                <c:pt idx="32">
                  <c:v>15</c:v>
                </c:pt>
                <c:pt idx="33">
                  <c:v>5</c:v>
                </c:pt>
                <c:pt idx="34">
                  <c:v>8</c:v>
                </c:pt>
                <c:pt idx="35">
                  <c:v>10</c:v>
                </c:pt>
                <c:pt idx="36">
                  <c:v>7</c:v>
                </c:pt>
                <c:pt idx="37">
                  <c:v>6</c:v>
                </c:pt>
                <c:pt idx="3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C-4D99-A538-235AF412D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52288"/>
        <c:axId val="135050752"/>
      </c:scatterChart>
      <c:valAx>
        <c:axId val="13505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50752"/>
        <c:crosses val="autoZero"/>
        <c:crossBetween val="midCat"/>
      </c:valAx>
      <c:valAx>
        <c:axId val="1350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5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23</xdr:row>
      <xdr:rowOff>66674</xdr:rowOff>
    </xdr:from>
    <xdr:to>
      <xdr:col>10</xdr:col>
      <xdr:colOff>390525</xdr:colOff>
      <xdr:row>37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866775</xdr:colOff>
      <xdr:row>8</xdr:row>
      <xdr:rowOff>95250</xdr:rowOff>
    </xdr:from>
    <xdr:to>
      <xdr:col>9</xdr:col>
      <xdr:colOff>514350</xdr:colOff>
      <xdr:row>19</xdr:row>
      <xdr:rowOff>219075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</xdr:row>
      <xdr:rowOff>69849</xdr:rowOff>
    </xdr:from>
    <xdr:to>
      <xdr:col>21</xdr:col>
      <xdr:colOff>254000</xdr:colOff>
      <xdr:row>19</xdr:row>
      <xdr:rowOff>3174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"/>
    </sheetView>
  </sheetViews>
  <sheetFormatPr defaultRowHeight="15"/>
  <cols>
    <col min="2" max="2" width="23.5703125" customWidth="1"/>
    <col min="3" max="3" width="21.28515625" customWidth="1"/>
  </cols>
  <sheetData>
    <row r="1" spans="1:3" ht="37.5">
      <c r="A1" s="1" t="s">
        <v>0</v>
      </c>
      <c r="B1" s="1" t="s">
        <v>1</v>
      </c>
      <c r="C1" s="1" t="s">
        <v>2</v>
      </c>
    </row>
    <row r="2" spans="1:3" ht="18.75">
      <c r="A2" s="1" t="s">
        <v>3</v>
      </c>
      <c r="B2" s="1">
        <v>32009</v>
      </c>
      <c r="C2" s="1">
        <v>199</v>
      </c>
    </row>
    <row r="3" spans="1:3" ht="18.75">
      <c r="A3" s="1" t="s">
        <v>4</v>
      </c>
      <c r="B3" s="1">
        <v>96028</v>
      </c>
      <c r="C3" s="1">
        <v>194</v>
      </c>
    </row>
    <row r="4" spans="1:3" ht="18.75">
      <c r="A4" s="1" t="s">
        <v>5</v>
      </c>
      <c r="B4" s="1">
        <v>11021</v>
      </c>
      <c r="C4" s="1">
        <v>200</v>
      </c>
    </row>
    <row r="5" spans="1:3" ht="18.75">
      <c r="A5" s="1" t="s">
        <v>6</v>
      </c>
      <c r="B5" s="1">
        <v>11042</v>
      </c>
      <c r="C5" s="1">
        <v>200</v>
      </c>
    </row>
    <row r="6" spans="1:3" ht="18.75">
      <c r="A6" s="1" t="s">
        <v>7</v>
      </c>
      <c r="B6" s="1">
        <v>12035</v>
      </c>
      <c r="C6" s="1">
        <v>202</v>
      </c>
    </row>
    <row r="7" spans="1:3" ht="18.75">
      <c r="A7" s="1" t="s">
        <v>8</v>
      </c>
      <c r="B7" s="1">
        <v>12099</v>
      </c>
      <c r="C7" s="1">
        <v>200</v>
      </c>
    </row>
    <row r="8" spans="1:3" ht="18.75">
      <c r="A8" s="1" t="s">
        <v>9</v>
      </c>
      <c r="B8" s="1">
        <v>96047</v>
      </c>
      <c r="C8" s="1">
        <v>196</v>
      </c>
    </row>
    <row r="9" spans="1:3" ht="18.75">
      <c r="A9" s="1" t="s">
        <v>10</v>
      </c>
      <c r="B9" s="1">
        <v>96027</v>
      </c>
      <c r="C9" s="1">
        <v>208</v>
      </c>
    </row>
    <row r="10" spans="1:3" ht="18.75">
      <c r="A10" s="1" t="s">
        <v>11</v>
      </c>
      <c r="B10" s="1">
        <v>12089</v>
      </c>
      <c r="C10" s="1">
        <v>195</v>
      </c>
    </row>
    <row r="11" spans="1:3" ht="18.75">
      <c r="A11" s="1" t="s">
        <v>12</v>
      </c>
      <c r="B11" s="1">
        <v>12048</v>
      </c>
      <c r="C11" s="1">
        <v>212</v>
      </c>
    </row>
    <row r="12" spans="1:3" ht="18.75">
      <c r="A12" s="1" t="s">
        <v>13</v>
      </c>
      <c r="B12" s="1">
        <v>96036</v>
      </c>
      <c r="C12" s="1">
        <v>212</v>
      </c>
    </row>
    <row r="13" spans="1:3" ht="18.75">
      <c r="A13" s="1" t="s">
        <v>14</v>
      </c>
      <c r="B13" s="1">
        <v>96007</v>
      </c>
      <c r="C13" s="1">
        <v>244</v>
      </c>
    </row>
    <row r="14" spans="1:3" ht="18.75">
      <c r="A14" s="1" t="s">
        <v>15</v>
      </c>
      <c r="B14" s="1">
        <v>95013</v>
      </c>
      <c r="C14" s="1">
        <v>194</v>
      </c>
    </row>
    <row r="15" spans="1:3" ht="18.75">
      <c r="A15" s="1" t="s">
        <v>16</v>
      </c>
      <c r="B15" s="1">
        <v>96018</v>
      </c>
      <c r="C15" s="1">
        <v>181</v>
      </c>
    </row>
    <row r="16" spans="1:3" ht="18.75">
      <c r="A16" s="1" t="s">
        <v>17</v>
      </c>
      <c r="B16" s="1">
        <v>96024</v>
      </c>
      <c r="C16" s="1">
        <v>180</v>
      </c>
    </row>
    <row r="17" spans="1:3" ht="18.75">
      <c r="A17" s="1" t="s">
        <v>18</v>
      </c>
      <c r="B17" s="1">
        <v>95052</v>
      </c>
      <c r="C17" s="1">
        <v>166</v>
      </c>
    </row>
    <row r="18" spans="1:3" ht="18.75">
      <c r="A18" s="1" t="s">
        <v>19</v>
      </c>
      <c r="B18" s="1">
        <v>14063</v>
      </c>
      <c r="C18" s="1">
        <v>191</v>
      </c>
    </row>
    <row r="19" spans="1:3" ht="18.75">
      <c r="A19" s="1" t="s">
        <v>20</v>
      </c>
      <c r="B19" s="1">
        <v>96011</v>
      </c>
      <c r="C19" s="1">
        <v>202</v>
      </c>
    </row>
    <row r="20" spans="1:3" ht="18.75">
      <c r="A20" s="1" t="s">
        <v>21</v>
      </c>
      <c r="B20" s="1">
        <v>96045</v>
      </c>
      <c r="C20" s="1">
        <v>195</v>
      </c>
    </row>
    <row r="21" spans="1:3" ht="18.75">
      <c r="A21" s="1" t="s">
        <v>22</v>
      </c>
      <c r="B21" s="1">
        <v>74003</v>
      </c>
      <c r="C21" s="1">
        <v>193</v>
      </c>
    </row>
    <row r="22" spans="1:3" ht="18.75">
      <c r="A22" s="1" t="s">
        <v>23</v>
      </c>
      <c r="B22" s="1">
        <v>96019</v>
      </c>
      <c r="C22" s="1">
        <v>164</v>
      </c>
    </row>
    <row r="23" spans="1:3" ht="18.75">
      <c r="A23" s="1" t="s">
        <v>24</v>
      </c>
      <c r="B23" s="1">
        <v>12020</v>
      </c>
      <c r="C23" s="1">
        <v>177</v>
      </c>
    </row>
    <row r="24" spans="1:3" ht="18.75">
      <c r="A24" s="1" t="s">
        <v>25</v>
      </c>
      <c r="B24" s="1">
        <v>96006</v>
      </c>
      <c r="C24" s="1">
        <v>186</v>
      </c>
    </row>
    <row r="25" spans="1:3" ht="18.75">
      <c r="A25" s="1" t="s">
        <v>26</v>
      </c>
      <c r="B25" s="1">
        <v>96005</v>
      </c>
      <c r="C25" s="1">
        <v>179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C1" workbookViewId="0">
      <selection activeCell="L9" sqref="L9"/>
    </sheetView>
  </sheetViews>
  <sheetFormatPr defaultRowHeight="15"/>
  <cols>
    <col min="1" max="1" width="15.28515625" customWidth="1"/>
    <col min="3" max="3" width="10.42578125" customWidth="1"/>
    <col min="4" max="4" width="13.42578125" customWidth="1"/>
    <col min="5" max="5" width="20" customWidth="1"/>
    <col min="7" max="7" width="12" customWidth="1"/>
    <col min="8" max="8" width="13.85546875" customWidth="1"/>
    <col min="9" max="10" width="13.28515625" customWidth="1"/>
    <col min="11" max="11" width="36.5703125" customWidth="1"/>
  </cols>
  <sheetData>
    <row r="1" spans="1:12" ht="35.25" customHeight="1">
      <c r="A1" s="3" t="s">
        <v>2</v>
      </c>
      <c r="C1" s="4" t="s">
        <v>27</v>
      </c>
      <c r="D1" s="4" t="s">
        <v>28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10" t="s">
        <v>29</v>
      </c>
      <c r="L1" s="3">
        <f>SUM(D2:D19)</f>
        <v>24</v>
      </c>
    </row>
    <row r="2" spans="1:12" ht="18.75">
      <c r="A2" s="2">
        <v>199</v>
      </c>
      <c r="C2" s="5">
        <v>164</v>
      </c>
      <c r="D2" s="3">
        <f>COUNTIF(A:A,C2)</f>
        <v>1</v>
      </c>
      <c r="E2" s="3">
        <f>D2</f>
        <v>1</v>
      </c>
      <c r="F2" s="3">
        <f>C2*D2</f>
        <v>164</v>
      </c>
      <c r="G2" s="3">
        <f>(C2-$L$5)*D2</f>
        <v>-30.583333333333343</v>
      </c>
      <c r="H2" s="3">
        <f>(C2-$L$5)^2*D2</f>
        <v>935.3402777777784</v>
      </c>
      <c r="I2" s="3">
        <f>(C2-$L$5)^3*D2</f>
        <v>-28605.823495370398</v>
      </c>
      <c r="J2" s="3">
        <f>(C2-$L$5)^4*D2</f>
        <v>874861.43523341161</v>
      </c>
      <c r="K2" s="10" t="s">
        <v>37</v>
      </c>
      <c r="L2" s="3">
        <f>MIN(C2:C19)</f>
        <v>164</v>
      </c>
    </row>
    <row r="3" spans="1:12" ht="18.75">
      <c r="A3" s="1">
        <v>194</v>
      </c>
      <c r="C3" s="5">
        <v>166</v>
      </c>
      <c r="D3" s="3">
        <f t="shared" ref="D3:D19" si="0">COUNTIF(A:A,C3)</f>
        <v>1</v>
      </c>
      <c r="E3" s="3">
        <f>E2+D3</f>
        <v>2</v>
      </c>
      <c r="F3" s="3">
        <f t="shared" ref="F3:F19" si="1">C3*D3</f>
        <v>166</v>
      </c>
      <c r="G3" s="3">
        <f t="shared" ref="G3:G19" si="2">(C3-$L$5)*D3</f>
        <v>-28.583333333333343</v>
      </c>
      <c r="H3" s="3">
        <f>(C3-$L$5)^2*D3</f>
        <v>817.00694444444503</v>
      </c>
      <c r="I3" s="3">
        <f t="shared" ref="I3:I19" si="3">(C3-$L$5)^3*D3</f>
        <v>-23352.78182870373</v>
      </c>
      <c r="J3" s="3">
        <f t="shared" ref="J3:J19" si="4">(C3-$L$5)^4*D3</f>
        <v>667500.34727044846</v>
      </c>
      <c r="K3" s="10" t="s">
        <v>38</v>
      </c>
      <c r="L3" s="3">
        <f>MAX(C2:C19)</f>
        <v>244</v>
      </c>
    </row>
    <row r="4" spans="1:12" ht="18.75">
      <c r="A4" s="1">
        <v>200</v>
      </c>
      <c r="C4" s="6">
        <v>177</v>
      </c>
      <c r="D4" s="3">
        <f t="shared" si="0"/>
        <v>1</v>
      </c>
      <c r="E4" s="3">
        <f t="shared" ref="E4:E19" si="5">E3+D4</f>
        <v>3</v>
      </c>
      <c r="F4" s="3">
        <f t="shared" si="1"/>
        <v>177</v>
      </c>
      <c r="G4" s="3">
        <f t="shared" si="2"/>
        <v>-17.583333333333343</v>
      </c>
      <c r="H4" s="3">
        <f t="shared" ref="H4:H19" si="6">(C4-$L$5)^2*D4</f>
        <v>309.17361111111143</v>
      </c>
      <c r="I4" s="3">
        <f t="shared" si="3"/>
        <v>-5436.3026620370456</v>
      </c>
      <c r="J4" s="3">
        <f t="shared" si="4"/>
        <v>95588.321807484768</v>
      </c>
      <c r="K4" s="10" t="s">
        <v>43</v>
      </c>
      <c r="L4" s="3">
        <f>L3-L2</f>
        <v>80</v>
      </c>
    </row>
    <row r="5" spans="1:12" ht="18.75">
      <c r="A5" s="1">
        <v>200</v>
      </c>
      <c r="C5" s="7">
        <v>179</v>
      </c>
      <c r="D5" s="3">
        <f t="shared" si="0"/>
        <v>1</v>
      </c>
      <c r="E5" s="3">
        <f t="shared" si="5"/>
        <v>4</v>
      </c>
      <c r="F5" s="3">
        <f t="shared" si="1"/>
        <v>179</v>
      </c>
      <c r="G5" s="3">
        <f t="shared" si="2"/>
        <v>-15.583333333333343</v>
      </c>
      <c r="H5" s="3">
        <f t="shared" si="6"/>
        <v>242.84027777777808</v>
      </c>
      <c r="I5" s="3">
        <f t="shared" si="3"/>
        <v>-3784.2609953703773</v>
      </c>
      <c r="J5" s="3">
        <f t="shared" si="4"/>
        <v>58971.400511188418</v>
      </c>
      <c r="K5" s="10" t="s">
        <v>44</v>
      </c>
      <c r="L5" s="3">
        <f>SUM(F:F)/L1</f>
        <v>194.58333333333334</v>
      </c>
    </row>
    <row r="6" spans="1:12" ht="18.75">
      <c r="A6" s="1">
        <v>202</v>
      </c>
      <c r="C6" s="7">
        <v>180</v>
      </c>
      <c r="D6" s="3">
        <f t="shared" si="0"/>
        <v>1</v>
      </c>
      <c r="E6" s="3">
        <f t="shared" si="5"/>
        <v>5</v>
      </c>
      <c r="F6" s="3">
        <f t="shared" si="1"/>
        <v>180</v>
      </c>
      <c r="G6" s="3">
        <f t="shared" si="2"/>
        <v>-14.583333333333343</v>
      </c>
      <c r="H6" s="3">
        <f t="shared" si="6"/>
        <v>212.6736111111114</v>
      </c>
      <c r="I6" s="3">
        <f t="shared" si="3"/>
        <v>-3101.4901620370433</v>
      </c>
      <c r="J6" s="3">
        <f t="shared" si="4"/>
        <v>45230.064863040243</v>
      </c>
      <c r="K6" s="10" t="s">
        <v>45</v>
      </c>
      <c r="L6" s="3">
        <f>SUM(H:H)/L1</f>
        <v>259.9930555555556</v>
      </c>
    </row>
    <row r="7" spans="1:12" ht="18.75">
      <c r="A7" s="1">
        <v>200</v>
      </c>
      <c r="C7" s="7">
        <v>181</v>
      </c>
      <c r="D7" s="3">
        <f t="shared" si="0"/>
        <v>1</v>
      </c>
      <c r="E7" s="3">
        <f t="shared" si="5"/>
        <v>6</v>
      </c>
      <c r="F7" s="3">
        <f t="shared" si="1"/>
        <v>181</v>
      </c>
      <c r="G7" s="3">
        <f t="shared" si="2"/>
        <v>-13.583333333333343</v>
      </c>
      <c r="H7" s="3">
        <f t="shared" si="6"/>
        <v>184.50694444444471</v>
      </c>
      <c r="I7" s="3">
        <f t="shared" si="3"/>
        <v>-2506.2193287037089</v>
      </c>
      <c r="J7" s="3">
        <f t="shared" si="4"/>
        <v>34042.812548225411</v>
      </c>
      <c r="K7" s="10" t="s">
        <v>46</v>
      </c>
      <c r="L7" s="3">
        <f>SQRT(L6)</f>
        <v>16.124300157078309</v>
      </c>
    </row>
    <row r="8" spans="1:12" ht="18.75">
      <c r="A8" s="1">
        <v>196</v>
      </c>
      <c r="C8" s="7">
        <v>186</v>
      </c>
      <c r="D8" s="3">
        <f t="shared" si="0"/>
        <v>1</v>
      </c>
      <c r="E8" s="3">
        <f t="shared" si="5"/>
        <v>7</v>
      </c>
      <c r="F8" s="3">
        <f t="shared" si="1"/>
        <v>186</v>
      </c>
      <c r="G8" s="3">
        <f t="shared" si="2"/>
        <v>-8.5833333333333428</v>
      </c>
      <c r="H8" s="3">
        <f t="shared" si="6"/>
        <v>73.673611111111271</v>
      </c>
      <c r="I8" s="3">
        <f t="shared" si="3"/>
        <v>-632.36516203703911</v>
      </c>
      <c r="J8" s="3">
        <f t="shared" si="4"/>
        <v>5427.8009741512578</v>
      </c>
      <c r="K8" s="10" t="s">
        <v>47</v>
      </c>
      <c r="L8" s="3">
        <v>200</v>
      </c>
    </row>
    <row r="9" spans="1:12" ht="18.75">
      <c r="A9" s="1">
        <v>208</v>
      </c>
      <c r="C9" s="7">
        <v>191</v>
      </c>
      <c r="D9" s="3">
        <f t="shared" si="0"/>
        <v>1</v>
      </c>
      <c r="E9" s="3">
        <f t="shared" si="5"/>
        <v>8</v>
      </c>
      <c r="F9" s="3">
        <f t="shared" si="1"/>
        <v>191</v>
      </c>
      <c r="G9" s="3">
        <f t="shared" si="2"/>
        <v>-3.5833333333333428</v>
      </c>
      <c r="H9" s="3">
        <f t="shared" si="6"/>
        <v>12.840277777777846</v>
      </c>
      <c r="I9" s="3">
        <f t="shared" si="3"/>
        <v>-46.010995370370736</v>
      </c>
      <c r="J9" s="3">
        <f t="shared" si="4"/>
        <v>164.87273341049558</v>
      </c>
      <c r="K9" s="10" t="s">
        <v>48</v>
      </c>
      <c r="L9" s="3">
        <v>195</v>
      </c>
    </row>
    <row r="10" spans="1:12" ht="18.75">
      <c r="A10" s="1">
        <v>195</v>
      </c>
      <c r="C10" s="7">
        <v>193</v>
      </c>
      <c r="D10" s="3">
        <f t="shared" si="0"/>
        <v>1</v>
      </c>
      <c r="E10" s="3">
        <f t="shared" si="5"/>
        <v>9</v>
      </c>
      <c r="F10" s="3">
        <f t="shared" si="1"/>
        <v>193</v>
      </c>
      <c r="G10" s="3">
        <f t="shared" si="2"/>
        <v>-1.5833333333333428</v>
      </c>
      <c r="H10" s="3">
        <f t="shared" si="6"/>
        <v>2.5069444444444744</v>
      </c>
      <c r="I10" s="3">
        <f t="shared" si="3"/>
        <v>-3.9693287037037748</v>
      </c>
      <c r="J10" s="3">
        <f t="shared" si="4"/>
        <v>6.284770447531014</v>
      </c>
      <c r="K10" s="10" t="s">
        <v>49</v>
      </c>
      <c r="L10" s="3">
        <f>SUM(I:I)/(L1*L7^3)</f>
        <v>0.67157886469751149</v>
      </c>
    </row>
    <row r="11" spans="1:12" ht="18.75">
      <c r="A11" s="1">
        <v>212</v>
      </c>
      <c r="C11" s="7">
        <v>194</v>
      </c>
      <c r="D11" s="3">
        <f t="shared" si="0"/>
        <v>2</v>
      </c>
      <c r="E11" s="3">
        <f t="shared" si="5"/>
        <v>11</v>
      </c>
      <c r="F11" s="3">
        <f t="shared" si="1"/>
        <v>388</v>
      </c>
      <c r="G11" s="3">
        <f t="shared" si="2"/>
        <v>-1.1666666666666856</v>
      </c>
      <c r="H11" s="3">
        <f t="shared" si="6"/>
        <v>0.68055555555557767</v>
      </c>
      <c r="I11" s="3">
        <f t="shared" si="3"/>
        <v>-0.39699074074076007</v>
      </c>
      <c r="J11" s="3">
        <f t="shared" si="4"/>
        <v>0.2315779320987805</v>
      </c>
      <c r="K11" s="10" t="s">
        <v>50</v>
      </c>
      <c r="L11" s="3">
        <f>SUM(J:J)/(L1*L7^4)-3</f>
        <v>1.9131343251660846</v>
      </c>
    </row>
    <row r="12" spans="1:12" ht="18.75">
      <c r="A12" s="1">
        <v>212</v>
      </c>
      <c r="C12" s="13">
        <v>195</v>
      </c>
      <c r="D12" s="3">
        <f t="shared" si="0"/>
        <v>2</v>
      </c>
      <c r="E12" s="12">
        <f t="shared" si="5"/>
        <v>13</v>
      </c>
      <c r="F12" s="3">
        <f t="shared" si="1"/>
        <v>390</v>
      </c>
      <c r="G12" s="3">
        <f t="shared" si="2"/>
        <v>0.83333333333331439</v>
      </c>
      <c r="H12" s="3">
        <f t="shared" si="6"/>
        <v>0.34722222222220644</v>
      </c>
      <c r="I12" s="3">
        <f t="shared" si="3"/>
        <v>0.14467592592591605</v>
      </c>
      <c r="J12" s="3">
        <f t="shared" si="4"/>
        <v>6.0281635802463658E-2</v>
      </c>
      <c r="K12" s="10" t="s">
        <v>51</v>
      </c>
      <c r="L12" s="3">
        <f>CONFIDENCE(0.05,L7,L1)</f>
        <v>6.4509450747645829</v>
      </c>
    </row>
    <row r="13" spans="1:12" ht="18.75">
      <c r="A13" s="1">
        <v>244</v>
      </c>
      <c r="C13" s="7">
        <v>196</v>
      </c>
      <c r="D13" s="3">
        <f t="shared" si="0"/>
        <v>1</v>
      </c>
      <c r="E13" s="3">
        <f t="shared" si="5"/>
        <v>14</v>
      </c>
      <c r="F13" s="3">
        <f t="shared" si="1"/>
        <v>196</v>
      </c>
      <c r="G13" s="3">
        <f t="shared" si="2"/>
        <v>1.4166666666666572</v>
      </c>
      <c r="H13" s="3">
        <f t="shared" si="6"/>
        <v>2.0069444444444176</v>
      </c>
      <c r="I13" s="3">
        <f t="shared" si="3"/>
        <v>2.843171296296239</v>
      </c>
      <c r="J13" s="3">
        <f t="shared" si="4"/>
        <v>4.0278260030863118</v>
      </c>
      <c r="K13" s="11" t="s">
        <v>58</v>
      </c>
      <c r="L13" s="3">
        <f>MAX(D:D)</f>
        <v>3</v>
      </c>
    </row>
    <row r="14" spans="1:12" ht="18.75">
      <c r="A14" s="1">
        <v>194</v>
      </c>
      <c r="C14" s="7">
        <v>199</v>
      </c>
      <c r="D14" s="3">
        <f t="shared" si="0"/>
        <v>1</v>
      </c>
      <c r="E14" s="3">
        <f t="shared" si="5"/>
        <v>15</v>
      </c>
      <c r="F14" s="3">
        <f t="shared" si="1"/>
        <v>199</v>
      </c>
      <c r="G14" s="3">
        <f t="shared" si="2"/>
        <v>4.4166666666666572</v>
      </c>
      <c r="H14" s="3">
        <f t="shared" si="6"/>
        <v>19.506944444444361</v>
      </c>
      <c r="I14" s="3">
        <f t="shared" si="3"/>
        <v>86.15567129629575</v>
      </c>
      <c r="J14" s="3">
        <f t="shared" si="4"/>
        <v>380.52088155863873</v>
      </c>
    </row>
    <row r="15" spans="1:12" ht="18.75">
      <c r="A15" s="1">
        <v>181</v>
      </c>
      <c r="C15" s="7">
        <v>200</v>
      </c>
      <c r="D15" s="3">
        <f t="shared" si="0"/>
        <v>3</v>
      </c>
      <c r="E15" s="3">
        <f t="shared" si="5"/>
        <v>18</v>
      </c>
      <c r="F15" s="3">
        <f t="shared" si="1"/>
        <v>600</v>
      </c>
      <c r="G15" s="3">
        <f t="shared" si="2"/>
        <v>16.249999999999972</v>
      </c>
      <c r="H15" s="3">
        <f t="shared" si="6"/>
        <v>88.02083333333303</v>
      </c>
      <c r="I15" s="3">
        <f t="shared" si="3"/>
        <v>476.77951388888641</v>
      </c>
      <c r="J15" s="3">
        <f t="shared" si="4"/>
        <v>2582.5557002314636</v>
      </c>
    </row>
    <row r="16" spans="1:12" ht="18.75">
      <c r="A16" s="1">
        <v>180</v>
      </c>
      <c r="C16" s="7">
        <v>202</v>
      </c>
      <c r="D16" s="3">
        <f t="shared" si="0"/>
        <v>2</v>
      </c>
      <c r="E16" s="3">
        <f t="shared" si="5"/>
        <v>20</v>
      </c>
      <c r="F16" s="3">
        <f t="shared" si="1"/>
        <v>404</v>
      </c>
      <c r="G16" s="3">
        <f t="shared" si="2"/>
        <v>14.833333333333314</v>
      </c>
      <c r="H16" s="3">
        <f t="shared" si="6"/>
        <v>110.0138888888886</v>
      </c>
      <c r="I16" s="3">
        <f t="shared" si="3"/>
        <v>815.93634259258943</v>
      </c>
      <c r="J16" s="3">
        <f t="shared" si="4"/>
        <v>6051.5278742283635</v>
      </c>
    </row>
    <row r="17" spans="1:10" ht="18.75">
      <c r="A17" s="1">
        <v>166</v>
      </c>
      <c r="C17" s="7">
        <v>208</v>
      </c>
      <c r="D17" s="3">
        <f t="shared" si="0"/>
        <v>1</v>
      </c>
      <c r="E17" s="3">
        <f t="shared" si="5"/>
        <v>21</v>
      </c>
      <c r="F17" s="3">
        <f t="shared" si="1"/>
        <v>208</v>
      </c>
      <c r="G17" s="3">
        <f t="shared" si="2"/>
        <v>13.416666666666657</v>
      </c>
      <c r="H17" s="3">
        <f t="shared" si="6"/>
        <v>180.0069444444442</v>
      </c>
      <c r="I17" s="3">
        <f t="shared" si="3"/>
        <v>2415.0931712962915</v>
      </c>
      <c r="J17" s="3">
        <f t="shared" si="4"/>
        <v>32402.500048225222</v>
      </c>
    </row>
    <row r="18" spans="1:10" ht="18.75">
      <c r="A18" s="1">
        <v>191</v>
      </c>
      <c r="C18" s="7">
        <v>212</v>
      </c>
      <c r="D18" s="3">
        <f t="shared" si="0"/>
        <v>2</v>
      </c>
      <c r="E18" s="3">
        <f t="shared" si="5"/>
        <v>23</v>
      </c>
      <c r="F18" s="3">
        <f t="shared" si="1"/>
        <v>424</v>
      </c>
      <c r="G18" s="3">
        <f t="shared" si="2"/>
        <v>34.833333333333314</v>
      </c>
      <c r="H18" s="3">
        <f t="shared" si="6"/>
        <v>606.68055555555486</v>
      </c>
      <c r="I18" s="3">
        <f t="shared" si="3"/>
        <v>10566.353009259241</v>
      </c>
      <c r="J18" s="3">
        <f t="shared" si="4"/>
        <v>184030.64824459836</v>
      </c>
    </row>
    <row r="19" spans="1:10" ht="18.75">
      <c r="A19" s="1">
        <v>202</v>
      </c>
      <c r="C19" s="7">
        <v>244</v>
      </c>
      <c r="D19" s="3">
        <f t="shared" si="0"/>
        <v>1</v>
      </c>
      <c r="E19" s="3">
        <f t="shared" si="5"/>
        <v>24</v>
      </c>
      <c r="F19" s="3">
        <f t="shared" si="1"/>
        <v>244</v>
      </c>
      <c r="G19" s="3">
        <f t="shared" si="2"/>
        <v>49.416666666666657</v>
      </c>
      <c r="H19" s="3">
        <f t="shared" si="6"/>
        <v>2442.0069444444434</v>
      </c>
      <c r="I19" s="3">
        <f t="shared" si="3"/>
        <v>120675.84317129622</v>
      </c>
      <c r="J19" s="3">
        <f t="shared" si="4"/>
        <v>5963397.9167148871</v>
      </c>
    </row>
    <row r="20" spans="1:10" ht="18.75">
      <c r="A20" s="1">
        <v>195</v>
      </c>
    </row>
    <row r="21" spans="1:10" ht="18.75">
      <c r="A21" s="1">
        <v>193</v>
      </c>
      <c r="G21" s="14">
        <f>SUM(G2:G19)</f>
        <v>-2.2737367544323206E-13</v>
      </c>
    </row>
    <row r="22" spans="1:10" ht="18.75">
      <c r="A22" s="1">
        <v>164</v>
      </c>
    </row>
    <row r="23" spans="1:10" ht="18.75">
      <c r="A23" s="1">
        <v>177</v>
      </c>
    </row>
    <row r="24" spans="1:10" ht="18.75">
      <c r="A24" s="1">
        <v>186</v>
      </c>
    </row>
    <row r="25" spans="1:10" ht="18.75">
      <c r="A25" s="1">
        <v>179</v>
      </c>
    </row>
  </sheetData>
  <sortState ref="C2:C19">
    <sortCondition ref="C2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11" sqref="D11"/>
    </sheetView>
  </sheetViews>
  <sheetFormatPr defaultRowHeight="15"/>
  <cols>
    <col min="1" max="1" width="21" customWidth="1"/>
    <col min="2" max="2" width="20.7109375" customWidth="1"/>
    <col min="3" max="3" width="12.85546875" customWidth="1"/>
    <col min="4" max="4" width="14.7109375" customWidth="1"/>
    <col min="5" max="5" width="15.85546875" customWidth="1"/>
    <col min="6" max="6" width="11.7109375" customWidth="1"/>
    <col min="7" max="7" width="24.28515625" customWidth="1"/>
    <col min="9" max="9" width="12.85546875" customWidth="1"/>
    <col min="10" max="10" width="13" customWidth="1"/>
    <col min="11" max="11" width="13.140625" customWidth="1"/>
    <col min="12" max="12" width="12.7109375" customWidth="1"/>
    <col min="13" max="13" width="35.28515625" customWidth="1"/>
  </cols>
  <sheetData>
    <row r="1" spans="1:14" ht="25.5" customHeight="1">
      <c r="A1" s="1" t="s">
        <v>2</v>
      </c>
      <c r="B1" s="7" t="s">
        <v>29</v>
      </c>
      <c r="C1" s="8">
        <f>COUNT(A:A)</f>
        <v>24</v>
      </c>
      <c r="D1" s="3" t="s">
        <v>34</v>
      </c>
      <c r="E1" s="3" t="s">
        <v>35</v>
      </c>
      <c r="F1" s="9" t="s">
        <v>59</v>
      </c>
      <c r="G1" s="11" t="s">
        <v>60</v>
      </c>
      <c r="H1" s="11" t="s">
        <v>53</v>
      </c>
      <c r="I1" s="11" t="s">
        <v>61</v>
      </c>
      <c r="J1" s="11" t="s">
        <v>55</v>
      </c>
      <c r="K1" s="11" t="s">
        <v>56</v>
      </c>
      <c r="L1" s="11" t="s">
        <v>57</v>
      </c>
      <c r="M1" s="3" t="s">
        <v>29</v>
      </c>
      <c r="N1" s="3">
        <f>COUNT(A2:A25)</f>
        <v>24</v>
      </c>
    </row>
    <row r="2" spans="1:14" ht="41.25" customHeight="1">
      <c r="A2" s="1">
        <v>199</v>
      </c>
      <c r="B2" s="7" t="s">
        <v>30</v>
      </c>
      <c r="C2" s="8">
        <f>MIN(A:A)</f>
        <v>164</v>
      </c>
      <c r="D2" s="3">
        <f>C2</f>
        <v>164</v>
      </c>
      <c r="E2" s="3">
        <f>D2+$C$5</f>
        <v>179</v>
      </c>
      <c r="F2" s="8">
        <f t="array" ref="F2:F7">FREQUENCY(A:A,E2:E7)</f>
        <v>4</v>
      </c>
      <c r="G2" s="3">
        <f>AVERAGE(D2,E2)</f>
        <v>171.5</v>
      </c>
      <c r="H2" s="3">
        <f>G2*F2</f>
        <v>686</v>
      </c>
      <c r="I2" s="3">
        <f>(G2-$N$5)*F2</f>
        <v>-95</v>
      </c>
      <c r="J2" s="3">
        <f>(G2-$N$5)^2*F2</f>
        <v>2256.25</v>
      </c>
      <c r="K2" s="3">
        <f>(G2-$N$5)^3*F2</f>
        <v>-53585.9375</v>
      </c>
      <c r="L2" s="3">
        <f>(G2-$N$5)^4*F2</f>
        <v>1272666.015625</v>
      </c>
      <c r="M2" s="3" t="s">
        <v>37</v>
      </c>
      <c r="N2" s="3">
        <f>MIN(A2:A25)</f>
        <v>164</v>
      </c>
    </row>
    <row r="3" spans="1:14" ht="37.5">
      <c r="A3" s="1">
        <v>194</v>
      </c>
      <c r="B3" s="7" t="s">
        <v>31</v>
      </c>
      <c r="C3" s="8">
        <f>MAX(A:A)</f>
        <v>244</v>
      </c>
      <c r="D3" s="3">
        <f>E2</f>
        <v>179</v>
      </c>
      <c r="E3" s="3">
        <f>D3+$C$5</f>
        <v>194</v>
      </c>
      <c r="F3" s="8">
        <v>7</v>
      </c>
      <c r="G3" s="3">
        <f t="shared" ref="G3:G7" si="0">AVERAGE(D3,E3)</f>
        <v>186.5</v>
      </c>
      <c r="H3" s="3">
        <f t="shared" ref="H3:H7" si="1">G3*F3</f>
        <v>1305.5</v>
      </c>
      <c r="I3" s="3">
        <f t="shared" ref="I3:I7" si="2">(G3-$N$5)*F3</f>
        <v>-61.25</v>
      </c>
      <c r="J3" s="3">
        <f t="shared" ref="J3:J7" si="3">(G3-$N$5)^2*F3</f>
        <v>535.9375</v>
      </c>
      <c r="K3" s="3">
        <f t="shared" ref="K3:K7" si="4">(G3-$N$5)^3*F3</f>
        <v>-4689.453125</v>
      </c>
      <c r="L3" s="3">
        <f t="shared" ref="L3:L7" si="5">(G3-$N$5)^4*F3</f>
        <v>41032.71484375</v>
      </c>
      <c r="M3" s="3" t="s">
        <v>38</v>
      </c>
      <c r="N3" s="3">
        <f>MAX(A2:A25)</f>
        <v>244</v>
      </c>
    </row>
    <row r="4" spans="1:14" ht="42" customHeight="1">
      <c r="A4" s="1">
        <v>200</v>
      </c>
      <c r="B4" s="7" t="s">
        <v>32</v>
      </c>
      <c r="C4" s="8">
        <f>1+3.32*LOG(C1)</f>
        <v>5.5823013224825315</v>
      </c>
      <c r="D4" s="3">
        <f>E3</f>
        <v>194</v>
      </c>
      <c r="E4" s="3">
        <f>D4+$C$5</f>
        <v>209</v>
      </c>
      <c r="F4" s="8">
        <v>10</v>
      </c>
      <c r="G4" s="3">
        <f t="shared" si="0"/>
        <v>201.5</v>
      </c>
      <c r="H4" s="3">
        <f t="shared" si="1"/>
        <v>2015</v>
      </c>
      <c r="I4" s="3">
        <f t="shared" si="2"/>
        <v>62.5</v>
      </c>
      <c r="J4" s="3">
        <f t="shared" si="3"/>
        <v>390.625</v>
      </c>
      <c r="K4" s="3">
        <f t="shared" si="4"/>
        <v>2441.40625</v>
      </c>
      <c r="L4" s="3">
        <f t="shared" si="5"/>
        <v>15258.7890625</v>
      </c>
      <c r="M4" s="3" t="s">
        <v>43</v>
      </c>
      <c r="N4" s="3">
        <f>N3-N2</f>
        <v>80</v>
      </c>
    </row>
    <row r="5" spans="1:14" ht="23.25" customHeight="1">
      <c r="A5" s="1">
        <v>200</v>
      </c>
      <c r="B5" s="7" t="s">
        <v>33</v>
      </c>
      <c r="C5" s="8">
        <f>INT((C3-C2)/C4)+1</f>
        <v>15</v>
      </c>
      <c r="D5" s="3">
        <f>E4</f>
        <v>209</v>
      </c>
      <c r="E5" s="3">
        <f t="shared" ref="E5:E7" si="6">D5+$C$5</f>
        <v>224</v>
      </c>
      <c r="F5" s="8">
        <v>2</v>
      </c>
      <c r="G5" s="3">
        <f t="shared" si="0"/>
        <v>216.5</v>
      </c>
      <c r="H5" s="3">
        <f t="shared" si="1"/>
        <v>433</v>
      </c>
      <c r="I5" s="3">
        <f t="shared" si="2"/>
        <v>42.5</v>
      </c>
      <c r="J5" s="3">
        <f t="shared" si="3"/>
        <v>903.125</v>
      </c>
      <c r="K5" s="3">
        <f t="shared" si="4"/>
        <v>19191.40625</v>
      </c>
      <c r="L5" s="3">
        <f t="shared" si="5"/>
        <v>407817.3828125</v>
      </c>
      <c r="M5" s="3" t="s">
        <v>44</v>
      </c>
      <c r="N5" s="3">
        <f>SUM(H2:H7)/N1</f>
        <v>195.25</v>
      </c>
    </row>
    <row r="6" spans="1:14" ht="18.75">
      <c r="A6" s="1">
        <v>202</v>
      </c>
      <c r="B6" s="1"/>
      <c r="D6" s="3">
        <f t="shared" ref="D6:D7" si="7">E5</f>
        <v>224</v>
      </c>
      <c r="E6" s="3">
        <f t="shared" si="6"/>
        <v>239</v>
      </c>
      <c r="F6" s="8">
        <v>0</v>
      </c>
      <c r="G6" s="3">
        <f t="shared" si="0"/>
        <v>231.5</v>
      </c>
      <c r="H6" s="3">
        <f t="shared" si="1"/>
        <v>0</v>
      </c>
      <c r="I6" s="3">
        <f t="shared" si="2"/>
        <v>0</v>
      </c>
      <c r="J6" s="3">
        <f t="shared" si="3"/>
        <v>0</v>
      </c>
      <c r="K6" s="3">
        <f t="shared" si="4"/>
        <v>0</v>
      </c>
      <c r="L6" s="3">
        <f t="shared" si="5"/>
        <v>0</v>
      </c>
      <c r="M6" s="3" t="s">
        <v>45</v>
      </c>
      <c r="N6" s="3">
        <f>SUM(J2:J7)/N1</f>
        <v>279.6875</v>
      </c>
    </row>
    <row r="7" spans="1:14" ht="18.75">
      <c r="A7" s="1">
        <v>200</v>
      </c>
      <c r="B7" s="1"/>
      <c r="D7" s="3">
        <f t="shared" si="7"/>
        <v>239</v>
      </c>
      <c r="E7" s="3">
        <f t="shared" si="6"/>
        <v>254</v>
      </c>
      <c r="F7" s="8">
        <v>1</v>
      </c>
      <c r="G7" s="3">
        <f t="shared" si="0"/>
        <v>246.5</v>
      </c>
      <c r="H7" s="3">
        <f t="shared" si="1"/>
        <v>246.5</v>
      </c>
      <c r="I7" s="3">
        <f t="shared" si="2"/>
        <v>51.25</v>
      </c>
      <c r="J7" s="3">
        <f t="shared" si="3"/>
        <v>2626.5625</v>
      </c>
      <c r="K7" s="3">
        <f t="shared" si="4"/>
        <v>134611.328125</v>
      </c>
      <c r="L7" s="3">
        <f t="shared" si="5"/>
        <v>6898830.56640625</v>
      </c>
      <c r="M7" s="3" t="s">
        <v>46</v>
      </c>
      <c r="N7" s="3">
        <f>SQRT(N6)</f>
        <v>16.723860200324566</v>
      </c>
    </row>
    <row r="8" spans="1:14" ht="18.75">
      <c r="A8" s="1">
        <v>196</v>
      </c>
      <c r="B8" s="1"/>
      <c r="M8" s="3" t="s">
        <v>47</v>
      </c>
      <c r="N8" s="3" t="s">
        <v>62</v>
      </c>
    </row>
    <row r="9" spans="1:14" ht="18.75">
      <c r="A9" s="1">
        <v>208</v>
      </c>
      <c r="B9" s="1"/>
      <c r="I9">
        <f>SUM(I2:I7)</f>
        <v>0</v>
      </c>
      <c r="M9" s="3" t="s">
        <v>48</v>
      </c>
      <c r="N9" s="3" t="s">
        <v>62</v>
      </c>
    </row>
    <row r="10" spans="1:14" ht="18.75">
      <c r="A10" s="1">
        <v>195</v>
      </c>
      <c r="B10" s="1"/>
      <c r="M10" s="3" t="s">
        <v>49</v>
      </c>
      <c r="N10" s="3">
        <f>SUM(K2:K7)/(N1*N7^3)</f>
        <v>0.87270354405114281</v>
      </c>
    </row>
    <row r="11" spans="1:14" ht="18.75">
      <c r="A11" s="1">
        <v>212</v>
      </c>
      <c r="B11" s="1"/>
      <c r="M11" s="3" t="s">
        <v>50</v>
      </c>
      <c r="N11" s="3">
        <f>SUM(L2:L7)/(N1*N7^4)-3</f>
        <v>1.5997628039074918</v>
      </c>
    </row>
    <row r="12" spans="1:14" ht="18.75">
      <c r="A12" s="1">
        <v>212</v>
      </c>
      <c r="B12" s="1"/>
      <c r="M12" s="3" t="s">
        <v>51</v>
      </c>
      <c r="N12" s="3">
        <f>CONFIDENCE(0.05,N7,N1)</f>
        <v>6.6908146424560035</v>
      </c>
    </row>
    <row r="13" spans="1:14" ht="18.75">
      <c r="A13" s="1">
        <v>244</v>
      </c>
      <c r="B13" s="1"/>
    </row>
    <row r="14" spans="1:14" ht="18.75">
      <c r="A14" s="1">
        <v>194</v>
      </c>
      <c r="B14" s="1"/>
    </row>
    <row r="15" spans="1:14" ht="18.75">
      <c r="A15" s="1">
        <v>181</v>
      </c>
      <c r="B15" s="1"/>
    </row>
    <row r="16" spans="1:14" ht="18.75">
      <c r="A16" s="1">
        <v>180</v>
      </c>
      <c r="B16" s="1"/>
    </row>
    <row r="17" spans="1:2" ht="18.75">
      <c r="A17" s="1">
        <v>166</v>
      </c>
      <c r="B17" s="1"/>
    </row>
    <row r="18" spans="1:2" ht="18.75">
      <c r="A18" s="1">
        <v>191</v>
      </c>
      <c r="B18" s="1"/>
    </row>
    <row r="19" spans="1:2" ht="18.75">
      <c r="A19" s="1">
        <v>202</v>
      </c>
      <c r="B19" s="1"/>
    </row>
    <row r="20" spans="1:2" ht="18.75">
      <c r="A20" s="1">
        <v>195</v>
      </c>
      <c r="B20" s="1"/>
    </row>
    <row r="21" spans="1:2" ht="18.75">
      <c r="A21" s="1">
        <v>193</v>
      </c>
      <c r="B21" s="1"/>
    </row>
    <row r="22" spans="1:2" ht="18.75">
      <c r="A22" s="1">
        <v>164</v>
      </c>
      <c r="B22" s="1"/>
    </row>
    <row r="23" spans="1:2" ht="18.75">
      <c r="A23" s="1">
        <v>177</v>
      </c>
      <c r="B23" s="1"/>
    </row>
    <row r="24" spans="1:2" ht="18.75">
      <c r="A24" s="1">
        <v>186</v>
      </c>
      <c r="B24" s="1"/>
    </row>
    <row r="25" spans="1:2" ht="18.75">
      <c r="A25" s="1">
        <v>179</v>
      </c>
      <c r="B25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8" sqref="E28"/>
    </sheetView>
  </sheetViews>
  <sheetFormatPr defaultRowHeight="15"/>
  <cols>
    <col min="1" max="1" width="17.28515625" customWidth="1"/>
    <col min="2" max="2" width="23.85546875" customWidth="1"/>
    <col min="3" max="3" width="24.28515625" customWidth="1"/>
    <col min="5" max="5" width="13.85546875" customWidth="1"/>
    <col min="6" max="6" width="14.85546875" customWidth="1"/>
    <col min="7" max="7" width="19.85546875" customWidth="1"/>
  </cols>
  <sheetData>
    <row r="1" spans="1:8">
      <c r="A1" s="3" t="s">
        <v>27</v>
      </c>
      <c r="B1" s="3" t="s">
        <v>28</v>
      </c>
      <c r="C1" s="3" t="s">
        <v>36</v>
      </c>
      <c r="D1" s="3">
        <f>SUM(B:B)</f>
        <v>24</v>
      </c>
      <c r="E1" s="3" t="s">
        <v>39</v>
      </c>
      <c r="F1" s="3" t="s">
        <v>40</v>
      </c>
      <c r="G1" s="3" t="s">
        <v>41</v>
      </c>
      <c r="H1" s="3" t="s">
        <v>42</v>
      </c>
    </row>
    <row r="2" spans="1:8">
      <c r="A2" s="3">
        <v>164</v>
      </c>
      <c r="B2" s="3">
        <v>1</v>
      </c>
      <c r="C2" s="3" t="s">
        <v>37</v>
      </c>
      <c r="D2" s="3">
        <f>MIN(A:A)</f>
        <v>164</v>
      </c>
      <c r="E2" s="3">
        <f>D2</f>
        <v>164</v>
      </c>
      <c r="F2" s="3">
        <f>E2+$D$5</f>
        <v>179</v>
      </c>
      <c r="G2" s="3">
        <f>SUMIF(A:A,"&lt;="&amp;F2,B:B)</f>
        <v>4</v>
      </c>
      <c r="H2" s="3">
        <f>G2</f>
        <v>4</v>
      </c>
    </row>
    <row r="3" spans="1:8">
      <c r="A3" s="3">
        <v>166</v>
      </c>
      <c r="B3" s="3">
        <v>1</v>
      </c>
      <c r="C3" s="3" t="s">
        <v>38</v>
      </c>
      <c r="D3" s="3">
        <f>MAX(A:A)</f>
        <v>244</v>
      </c>
      <c r="E3" s="3">
        <f>F2</f>
        <v>179</v>
      </c>
      <c r="F3" s="3">
        <f t="shared" ref="F3:F7" si="0">E3+$D$5</f>
        <v>194</v>
      </c>
      <c r="G3" s="3">
        <f t="shared" ref="G3:G7" si="1">SUMIF(A:A,"&lt;="&amp;F3,B:B)</f>
        <v>11</v>
      </c>
      <c r="H3" s="3">
        <f>G3-G2</f>
        <v>7</v>
      </c>
    </row>
    <row r="4" spans="1:8">
      <c r="A4" s="3">
        <v>177</v>
      </c>
      <c r="B4" s="3">
        <v>1</v>
      </c>
      <c r="C4" s="3" t="s">
        <v>32</v>
      </c>
      <c r="D4" s="3">
        <f>1+3.32*LOG(D1)</f>
        <v>5.5823013224825315</v>
      </c>
      <c r="E4" s="3">
        <f t="shared" ref="E4:E7" si="2">F3</f>
        <v>194</v>
      </c>
      <c r="F4" s="3">
        <f t="shared" si="0"/>
        <v>209</v>
      </c>
      <c r="G4" s="3">
        <f t="shared" si="1"/>
        <v>21</v>
      </c>
      <c r="H4" s="3">
        <f t="shared" ref="H4:H7" si="3">G4-G3</f>
        <v>10</v>
      </c>
    </row>
    <row r="5" spans="1:8">
      <c r="A5" s="3">
        <v>179</v>
      </c>
      <c r="B5" s="3">
        <v>1</v>
      </c>
      <c r="C5" s="3" t="s">
        <v>33</v>
      </c>
      <c r="D5" s="3">
        <f>INT((D3-D2)/D4)+1</f>
        <v>15</v>
      </c>
      <c r="E5" s="3">
        <f t="shared" si="2"/>
        <v>209</v>
      </c>
      <c r="F5" s="3">
        <f t="shared" si="0"/>
        <v>224</v>
      </c>
      <c r="G5" s="3">
        <f t="shared" si="1"/>
        <v>23</v>
      </c>
      <c r="H5" s="3">
        <f t="shared" si="3"/>
        <v>2</v>
      </c>
    </row>
    <row r="6" spans="1:8">
      <c r="A6" s="3">
        <v>180</v>
      </c>
      <c r="B6" s="3">
        <v>1</v>
      </c>
      <c r="E6" s="3">
        <f t="shared" si="2"/>
        <v>224</v>
      </c>
      <c r="F6" s="3">
        <f t="shared" si="0"/>
        <v>239</v>
      </c>
      <c r="G6" s="3">
        <f t="shared" si="1"/>
        <v>23</v>
      </c>
      <c r="H6" s="3">
        <f t="shared" si="3"/>
        <v>0</v>
      </c>
    </row>
    <row r="7" spans="1:8">
      <c r="A7" s="3">
        <v>181</v>
      </c>
      <c r="B7" s="3">
        <v>1</v>
      </c>
      <c r="E7" s="3">
        <f t="shared" si="2"/>
        <v>239</v>
      </c>
      <c r="F7" s="3">
        <f t="shared" si="0"/>
        <v>254</v>
      </c>
      <c r="G7" s="3">
        <f t="shared" si="1"/>
        <v>24</v>
      </c>
      <c r="H7" s="3">
        <f t="shared" si="3"/>
        <v>1</v>
      </c>
    </row>
    <row r="8" spans="1:8">
      <c r="A8" s="3">
        <v>186</v>
      </c>
      <c r="B8" s="3">
        <v>1</v>
      </c>
    </row>
    <row r="9" spans="1:8">
      <c r="A9" s="3">
        <v>191</v>
      </c>
      <c r="B9" s="3">
        <v>1</v>
      </c>
    </row>
    <row r="10" spans="1:8">
      <c r="A10" s="3">
        <v>193</v>
      </c>
      <c r="B10" s="3">
        <v>1</v>
      </c>
    </row>
    <row r="11" spans="1:8">
      <c r="A11" s="3">
        <v>194</v>
      </c>
      <c r="B11" s="3">
        <v>2</v>
      </c>
    </row>
    <row r="12" spans="1:8">
      <c r="A12" s="3">
        <v>195</v>
      </c>
      <c r="B12" s="3">
        <v>2</v>
      </c>
    </row>
    <row r="13" spans="1:8">
      <c r="A13" s="3">
        <v>196</v>
      </c>
      <c r="B13" s="3">
        <v>1</v>
      </c>
    </row>
    <row r="14" spans="1:8">
      <c r="A14" s="3">
        <v>199</v>
      </c>
      <c r="B14" s="3">
        <v>1</v>
      </c>
    </row>
    <row r="15" spans="1:8">
      <c r="A15" s="3">
        <v>200</v>
      </c>
      <c r="B15" s="3">
        <v>3</v>
      </c>
    </row>
    <row r="16" spans="1:8">
      <c r="A16" s="3">
        <v>202</v>
      </c>
      <c r="B16" s="3">
        <v>2</v>
      </c>
    </row>
    <row r="17" spans="1:2">
      <c r="A17" s="3">
        <v>208</v>
      </c>
      <c r="B17" s="3">
        <v>1</v>
      </c>
    </row>
    <row r="18" spans="1:2">
      <c r="A18" s="3">
        <v>212</v>
      </c>
      <c r="B18" s="3">
        <v>2</v>
      </c>
    </row>
    <row r="19" spans="1:2">
      <c r="A19" s="3">
        <v>244</v>
      </c>
      <c r="B1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/>
  <cols>
    <col min="1" max="1" width="10.42578125" customWidth="1"/>
    <col min="3" max="3" width="35.28515625" customWidth="1"/>
    <col min="4" max="4" width="9.140625" customWidth="1"/>
  </cols>
  <sheetData>
    <row r="1" spans="1:4" ht="38.25" customHeight="1">
      <c r="A1" s="1" t="s">
        <v>2</v>
      </c>
      <c r="C1" s="3" t="s">
        <v>29</v>
      </c>
      <c r="D1" s="3">
        <f>COUNT(A:A)</f>
        <v>24</v>
      </c>
    </row>
    <row r="2" spans="1:4" ht="18.75">
      <c r="A2" s="1">
        <v>199</v>
      </c>
      <c r="C2" s="3" t="s">
        <v>37</v>
      </c>
      <c r="D2" s="3">
        <f>MIN(A:A)</f>
        <v>164</v>
      </c>
    </row>
    <row r="3" spans="1:4" ht="18.75">
      <c r="A3" s="1">
        <v>194</v>
      </c>
      <c r="C3" s="3" t="s">
        <v>38</v>
      </c>
      <c r="D3" s="3">
        <f>MAX(A:A)</f>
        <v>244</v>
      </c>
    </row>
    <row r="4" spans="1:4" ht="18.75">
      <c r="A4" s="1">
        <v>200</v>
      </c>
      <c r="C4" s="3" t="s">
        <v>43</v>
      </c>
      <c r="D4" s="3">
        <f>D3-D2</f>
        <v>80</v>
      </c>
    </row>
    <row r="5" spans="1:4" ht="18.75">
      <c r="A5" s="1">
        <v>200</v>
      </c>
      <c r="C5" s="3" t="s">
        <v>44</v>
      </c>
      <c r="D5" s="3">
        <f>AVERAGE(A:A)</f>
        <v>194.58333333333334</v>
      </c>
    </row>
    <row r="6" spans="1:4" ht="18.75">
      <c r="A6" s="1">
        <v>202</v>
      </c>
      <c r="C6" s="3" t="s">
        <v>45</v>
      </c>
      <c r="D6" s="3">
        <f>VARP(A:A)</f>
        <v>259.9930555555556</v>
      </c>
    </row>
    <row r="7" spans="1:4" ht="18.75">
      <c r="A7" s="1">
        <v>200</v>
      </c>
      <c r="C7" s="3" t="s">
        <v>46</v>
      </c>
      <c r="D7" s="3">
        <f>SQRT(D6)</f>
        <v>16.124300157078309</v>
      </c>
    </row>
    <row r="8" spans="1:4" ht="18.75">
      <c r="A8" s="1">
        <v>196</v>
      </c>
      <c r="C8" s="3" t="s">
        <v>47</v>
      </c>
      <c r="D8" s="3">
        <f>MODE(A:A)</f>
        <v>200</v>
      </c>
    </row>
    <row r="9" spans="1:4" ht="18.75">
      <c r="A9" s="1">
        <v>208</v>
      </c>
      <c r="C9" s="3" t="s">
        <v>48</v>
      </c>
      <c r="D9" s="3">
        <f>MEDIAN(A:A)</f>
        <v>195</v>
      </c>
    </row>
    <row r="10" spans="1:4" ht="18.75">
      <c r="A10" s="1">
        <v>195</v>
      </c>
      <c r="C10" s="3" t="s">
        <v>49</v>
      </c>
      <c r="D10" s="3">
        <f>SKEW(A:A)</f>
        <v>0.7172059403643255</v>
      </c>
    </row>
    <row r="11" spans="1:4" ht="18.75">
      <c r="A11" s="1">
        <v>212</v>
      </c>
      <c r="C11" s="3" t="s">
        <v>50</v>
      </c>
      <c r="D11" s="3">
        <f>KURT(A:A)</f>
        <v>2.6797667466893942</v>
      </c>
    </row>
    <row r="12" spans="1:4" ht="18.75">
      <c r="A12" s="1">
        <v>212</v>
      </c>
      <c r="C12" s="3" t="s">
        <v>51</v>
      </c>
      <c r="D12" s="3">
        <f>CONFIDENCE(0.05,D7,D1)</f>
        <v>6.4509450747645829</v>
      </c>
    </row>
    <row r="13" spans="1:4" ht="18.75">
      <c r="A13" s="1">
        <v>244</v>
      </c>
    </row>
    <row r="14" spans="1:4" ht="18.75">
      <c r="A14" s="1">
        <v>194</v>
      </c>
    </row>
    <row r="15" spans="1:4" ht="18.75">
      <c r="A15" s="1">
        <v>181</v>
      </c>
    </row>
    <row r="16" spans="1:4" ht="18.75">
      <c r="A16" s="1">
        <v>180</v>
      </c>
    </row>
    <row r="17" spans="1:1" ht="18.75">
      <c r="A17" s="1">
        <v>166</v>
      </c>
    </row>
    <row r="18" spans="1:1" ht="18.75">
      <c r="A18" s="1">
        <v>191</v>
      </c>
    </row>
    <row r="19" spans="1:1" ht="18.75">
      <c r="A19" s="1">
        <v>202</v>
      </c>
    </row>
    <row r="20" spans="1:1" ht="18.75">
      <c r="A20" s="1">
        <v>195</v>
      </c>
    </row>
    <row r="21" spans="1:1" ht="18.75">
      <c r="A21" s="1">
        <v>193</v>
      </c>
    </row>
    <row r="22" spans="1:1" ht="18.75">
      <c r="A22" s="1">
        <v>164</v>
      </c>
    </row>
    <row r="23" spans="1:1" ht="18.75">
      <c r="A23" s="1">
        <v>177</v>
      </c>
    </row>
    <row r="24" spans="1:1" ht="18.75">
      <c r="A24" s="1">
        <v>186</v>
      </c>
    </row>
    <row r="25" spans="1:1" ht="18.75">
      <c r="A25" s="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60" zoomScaleNormal="60" workbookViewId="0">
      <selection activeCell="I23" sqref="I23"/>
    </sheetView>
  </sheetViews>
  <sheetFormatPr defaultRowHeight="15"/>
  <cols>
    <col min="1" max="1" width="21.140625" customWidth="1"/>
    <col min="2" max="2" width="20.42578125" customWidth="1"/>
    <col min="3" max="3" width="20.7109375" customWidth="1"/>
    <col min="5" max="5" width="11" customWidth="1"/>
    <col min="6" max="6" width="12.7109375" customWidth="1"/>
    <col min="7" max="7" width="13.28515625" customWidth="1"/>
    <col min="8" max="8" width="13" customWidth="1"/>
    <col min="9" max="9" width="35.7109375" customWidth="1"/>
  </cols>
  <sheetData>
    <row r="1" spans="1:10">
      <c r="A1" s="3" t="s">
        <v>63</v>
      </c>
      <c r="B1" s="3" t="s">
        <v>64</v>
      </c>
      <c r="C1" s="3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36</v>
      </c>
      <c r="J1" s="3">
        <f>SUM(B2:B47)</f>
        <v>1127</v>
      </c>
    </row>
    <row r="2" spans="1:10">
      <c r="A2" s="16">
        <v>0</v>
      </c>
      <c r="B2" s="16">
        <v>1</v>
      </c>
      <c r="C2" s="3">
        <f>B2</f>
        <v>1</v>
      </c>
      <c r="D2" s="3">
        <f>A2*B2</f>
        <v>0</v>
      </c>
      <c r="E2" s="3">
        <f>(A2-$J$5)*B2</f>
        <v>-47.341614906832298</v>
      </c>
      <c r="F2" s="3">
        <f>(A2-$J$5)^2*B2</f>
        <v>2241.2285019868059</v>
      </c>
      <c r="G2" s="3">
        <f>(A2-$J$5)^3*B2</f>
        <v>-106103.37665927599</v>
      </c>
      <c r="H2" s="3">
        <f>(A2-$J$5)^4*B2</f>
        <v>5023105.1981180217</v>
      </c>
      <c r="I2" s="3" t="s">
        <v>30</v>
      </c>
      <c r="J2" s="3">
        <f>MIN(A:A)</f>
        <v>0</v>
      </c>
    </row>
    <row r="3" spans="1:10">
      <c r="A3" s="16">
        <v>17</v>
      </c>
      <c r="B3" s="16">
        <v>4</v>
      </c>
      <c r="C3" s="3">
        <f>C2+B3</f>
        <v>5</v>
      </c>
      <c r="D3" s="3">
        <f t="shared" ref="D3:D48" si="0">A3*B3</f>
        <v>68</v>
      </c>
      <c r="E3" s="3">
        <f t="shared" ref="E3:E47" si="1">(A3-$J$5)*B3</f>
        <v>-121.36645962732919</v>
      </c>
      <c r="F3" s="3">
        <f t="shared" ref="F3:F47" si="2">(A3-$J$5)^2*B3</f>
        <v>3682.4543806180318</v>
      </c>
      <c r="G3" s="3">
        <f t="shared" ref="G3:G47" si="3">(A3-$J$5)^3*B3</f>
        <v>-111731.61272868997</v>
      </c>
      <c r="H3" s="3">
        <f t="shared" ref="H3:H47" si="4">(A3-$J$5)^4*B3</f>
        <v>3390117.5663332329</v>
      </c>
      <c r="I3" s="3" t="s">
        <v>31</v>
      </c>
      <c r="J3" s="3">
        <f>MAX(A:A)</f>
        <v>98</v>
      </c>
    </row>
    <row r="4" spans="1:10">
      <c r="A4" s="16">
        <v>20</v>
      </c>
      <c r="B4" s="16">
        <v>6</v>
      </c>
      <c r="C4" s="3">
        <f t="shared" ref="C4:C47" si="5">C3+B4</f>
        <v>11</v>
      </c>
      <c r="D4" s="3">
        <f t="shared" si="0"/>
        <v>120</v>
      </c>
      <c r="E4" s="3">
        <f t="shared" si="1"/>
        <v>-164.0496894409938</v>
      </c>
      <c r="F4" s="3">
        <f t="shared" si="2"/>
        <v>4485.3834342810851</v>
      </c>
      <c r="G4" s="3">
        <f t="shared" si="3"/>
        <v>-122637.62656959836</v>
      </c>
      <c r="H4" s="3">
        <f t="shared" si="4"/>
        <v>3353110.7587538632</v>
      </c>
      <c r="I4" s="3" t="s">
        <v>43</v>
      </c>
      <c r="J4" s="3">
        <f>J3-J2</f>
        <v>98</v>
      </c>
    </row>
    <row r="5" spans="1:10">
      <c r="A5" s="16">
        <v>23</v>
      </c>
      <c r="B5" s="16">
        <v>15</v>
      </c>
      <c r="C5" s="3">
        <f t="shared" si="5"/>
        <v>26</v>
      </c>
      <c r="D5" s="3">
        <f t="shared" si="0"/>
        <v>345</v>
      </c>
      <c r="E5" s="3">
        <f t="shared" si="1"/>
        <v>-365.12422360248445</v>
      </c>
      <c r="F5" s="3">
        <f t="shared" si="2"/>
        <v>8887.7132440878049</v>
      </c>
      <c r="G5" s="3">
        <f t="shared" si="3"/>
        <v>-216341.29318993856</v>
      </c>
      <c r="H5" s="3">
        <f t="shared" si="4"/>
        <v>5266096.4472755846</v>
      </c>
      <c r="I5" s="15" t="s">
        <v>44</v>
      </c>
      <c r="J5" s="3">
        <f>SUM(D:D)/J1</f>
        <v>47.341614906832298</v>
      </c>
    </row>
    <row r="6" spans="1:10">
      <c r="A6" s="16">
        <v>26</v>
      </c>
      <c r="B6" s="16">
        <v>16</v>
      </c>
      <c r="C6" s="3">
        <f t="shared" si="5"/>
        <v>42</v>
      </c>
      <c r="D6" s="3">
        <f t="shared" si="0"/>
        <v>416</v>
      </c>
      <c r="E6" s="3">
        <f t="shared" si="1"/>
        <v>-341.46583850931677</v>
      </c>
      <c r="F6" s="3">
        <f t="shared" si="2"/>
        <v>7287.4324293044247</v>
      </c>
      <c r="G6" s="3">
        <f t="shared" si="3"/>
        <v>-155525.57656577643</v>
      </c>
      <c r="H6" s="3">
        <f t="shared" si="4"/>
        <v>3319166.9632298616</v>
      </c>
      <c r="I6" s="3" t="s">
        <v>65</v>
      </c>
      <c r="J6" s="3">
        <f>SUM(F2:F47)/J1</f>
        <v>136.36688399367307</v>
      </c>
    </row>
    <row r="7" spans="1:10">
      <c r="A7" s="16">
        <v>30</v>
      </c>
      <c r="B7" s="16">
        <v>27</v>
      </c>
      <c r="C7" s="3">
        <f t="shared" si="5"/>
        <v>69</v>
      </c>
      <c r="D7" s="3">
        <f t="shared" si="0"/>
        <v>810</v>
      </c>
      <c r="E7" s="3">
        <f t="shared" si="1"/>
        <v>-468.22360248447205</v>
      </c>
      <c r="F7" s="3">
        <f t="shared" si="2"/>
        <v>8119.7534045754401</v>
      </c>
      <c r="G7" s="3">
        <f t="shared" si="3"/>
        <v>-140809.63668058775</v>
      </c>
      <c r="H7" s="3">
        <f t="shared" si="4"/>
        <v>2441866.4944857205</v>
      </c>
      <c r="I7" s="3" t="s">
        <v>46</v>
      </c>
      <c r="J7" s="3">
        <f>SQRT(J6)</f>
        <v>11.677623216805424</v>
      </c>
    </row>
    <row r="8" spans="1:10">
      <c r="A8" s="16">
        <v>33</v>
      </c>
      <c r="B8" s="16">
        <v>38</v>
      </c>
      <c r="C8" s="3">
        <f t="shared" si="5"/>
        <v>107</v>
      </c>
      <c r="D8" s="3">
        <f t="shared" si="0"/>
        <v>1254</v>
      </c>
      <c r="E8" s="3">
        <f t="shared" si="1"/>
        <v>-544.98136645962734</v>
      </c>
      <c r="F8" s="3">
        <f t="shared" si="2"/>
        <v>7815.9128891632263</v>
      </c>
      <c r="G8" s="3">
        <f t="shared" si="3"/>
        <v>-112092.81280172602</v>
      </c>
      <c r="H8" s="3">
        <f t="shared" si="4"/>
        <v>1607591.9550259961</v>
      </c>
      <c r="I8" s="12" t="s">
        <v>47</v>
      </c>
      <c r="J8" s="12">
        <v>44</v>
      </c>
    </row>
    <row r="9" spans="1:10">
      <c r="A9" s="16">
        <v>36</v>
      </c>
      <c r="B9" s="16">
        <v>63</v>
      </c>
      <c r="C9" s="3">
        <f t="shared" si="5"/>
        <v>170</v>
      </c>
      <c r="D9" s="3">
        <f t="shared" si="0"/>
        <v>2268</v>
      </c>
      <c r="E9" s="3">
        <f t="shared" si="1"/>
        <v>-714.52173913043475</v>
      </c>
      <c r="F9" s="3">
        <f t="shared" si="2"/>
        <v>8103.8304077774783</v>
      </c>
      <c r="G9" s="3">
        <f t="shared" si="3"/>
        <v>-91910.523755289905</v>
      </c>
      <c r="H9" s="3">
        <f t="shared" si="4"/>
        <v>1042413.7663177602</v>
      </c>
      <c r="I9" s="20" t="s">
        <v>48</v>
      </c>
      <c r="J9" s="20">
        <v>55.5</v>
      </c>
    </row>
    <row r="10" spans="1:10">
      <c r="A10" s="16">
        <v>39</v>
      </c>
      <c r="B10" s="16">
        <v>67</v>
      </c>
      <c r="C10" s="3">
        <f t="shared" si="5"/>
        <v>237</v>
      </c>
      <c r="D10" s="3">
        <f t="shared" si="0"/>
        <v>2613</v>
      </c>
      <c r="E10" s="3">
        <f t="shared" si="1"/>
        <v>-558.88819875776392</v>
      </c>
      <c r="F10" s="3">
        <f t="shared" si="2"/>
        <v>4662.0301300104165</v>
      </c>
      <c r="G10" s="3">
        <f t="shared" si="3"/>
        <v>-38888.860028596202</v>
      </c>
      <c r="H10" s="3">
        <f t="shared" si="4"/>
        <v>324395.8945242528</v>
      </c>
      <c r="I10" s="3" t="s">
        <v>49</v>
      </c>
      <c r="J10" s="3">
        <f>SUM(G:G)/(J1*J7^3)</f>
        <v>0.73489508111955837</v>
      </c>
    </row>
    <row r="11" spans="1:10">
      <c r="A11" s="16">
        <v>41</v>
      </c>
      <c r="B11" s="16">
        <v>63</v>
      </c>
      <c r="C11" s="3">
        <f t="shared" si="5"/>
        <v>300</v>
      </c>
      <c r="D11" s="3">
        <f t="shared" si="0"/>
        <v>2583</v>
      </c>
      <c r="E11" s="3">
        <f t="shared" si="1"/>
        <v>-399.52173913043475</v>
      </c>
      <c r="F11" s="3">
        <f t="shared" si="2"/>
        <v>2533.6130164731298</v>
      </c>
      <c r="G11" s="3">
        <f t="shared" si="3"/>
        <v>-16067.198073410345</v>
      </c>
      <c r="H11" s="3">
        <f t="shared" si="4"/>
        <v>101891.98281336622</v>
      </c>
      <c r="I11" s="3" t="s">
        <v>50</v>
      </c>
      <c r="J11" s="3">
        <f>SUM(H:H)/(J1*J7^4)-3</f>
        <v>2.0113310008226266</v>
      </c>
    </row>
    <row r="12" spans="1:10">
      <c r="A12" s="16">
        <v>42</v>
      </c>
      <c r="B12" s="16">
        <v>73</v>
      </c>
      <c r="C12" s="3">
        <f t="shared" si="5"/>
        <v>373</v>
      </c>
      <c r="D12" s="3">
        <f t="shared" si="0"/>
        <v>3066</v>
      </c>
      <c r="E12" s="3">
        <f t="shared" si="1"/>
        <v>-389.93788819875778</v>
      </c>
      <c r="F12" s="3">
        <f t="shared" si="2"/>
        <v>2082.8980363411906</v>
      </c>
      <c r="G12" s="3">
        <f t="shared" si="3"/>
        <v>-11126.039200331823</v>
      </c>
      <c r="H12" s="3">
        <f t="shared" si="4"/>
        <v>59431.016846492974</v>
      </c>
      <c r="I12" s="3" t="s">
        <v>51</v>
      </c>
      <c r="J12" s="3">
        <f>CONFIDENCE(0.05,J7,J1)</f>
        <v>0.68177424554485677</v>
      </c>
    </row>
    <row r="13" spans="1:10">
      <c r="A13" s="16">
        <v>43</v>
      </c>
      <c r="B13" s="16">
        <v>52</v>
      </c>
      <c r="C13" s="3">
        <f t="shared" si="5"/>
        <v>425</v>
      </c>
      <c r="D13" s="3">
        <f t="shared" si="0"/>
        <v>2236</v>
      </c>
      <c r="E13" s="3">
        <f t="shared" si="1"/>
        <v>-225.7639751552795</v>
      </c>
      <c r="F13" s="3">
        <f t="shared" si="2"/>
        <v>980.18023995987801</v>
      </c>
      <c r="G13" s="3">
        <f t="shared" si="3"/>
        <v>-4255.5651411922654</v>
      </c>
      <c r="H13" s="3">
        <f t="shared" si="4"/>
        <v>18476.025053996233</v>
      </c>
      <c r="I13" s="3" t="s">
        <v>66</v>
      </c>
      <c r="J13" s="3">
        <f>MAX(B2:B47)</f>
        <v>76</v>
      </c>
    </row>
    <row r="14" spans="1:10">
      <c r="A14" s="18">
        <v>44</v>
      </c>
      <c r="B14" s="18">
        <v>76</v>
      </c>
      <c r="C14" s="3">
        <f t="shared" si="5"/>
        <v>501</v>
      </c>
      <c r="D14" s="3">
        <f t="shared" si="0"/>
        <v>3344</v>
      </c>
      <c r="E14" s="3">
        <f t="shared" si="1"/>
        <v>-253.96273291925465</v>
      </c>
      <c r="F14" s="3">
        <f t="shared" si="2"/>
        <v>848.64565410285081</v>
      </c>
      <c r="G14" s="3">
        <f t="shared" si="3"/>
        <v>-2835.8469683685325</v>
      </c>
      <c r="H14" s="3">
        <f t="shared" si="4"/>
        <v>9476.3085029954691</v>
      </c>
    </row>
    <row r="15" spans="1:10">
      <c r="A15" s="16">
        <v>45</v>
      </c>
      <c r="B15" s="16">
        <v>43</v>
      </c>
      <c r="C15" s="3">
        <f t="shared" si="5"/>
        <v>544</v>
      </c>
      <c r="D15" s="3">
        <f t="shared" si="0"/>
        <v>1935</v>
      </c>
      <c r="E15" s="3">
        <f t="shared" si="1"/>
        <v>-100.68944099378882</v>
      </c>
      <c r="F15" s="3">
        <f t="shared" si="2"/>
        <v>235.77589599166694</v>
      </c>
      <c r="G15" s="3">
        <f t="shared" si="3"/>
        <v>-552.09635272582875</v>
      </c>
      <c r="H15" s="3">
        <f t="shared" si="4"/>
        <v>1292.7970495505431</v>
      </c>
    </row>
    <row r="16" spans="1:10">
      <c r="A16" s="16">
        <v>46</v>
      </c>
      <c r="B16" s="16">
        <v>55</v>
      </c>
      <c r="C16" s="3">
        <f t="shared" si="5"/>
        <v>599</v>
      </c>
      <c r="D16" s="3">
        <f t="shared" si="0"/>
        <v>2530</v>
      </c>
      <c r="E16" s="3">
        <f t="shared" si="1"/>
        <v>-73.788819875776397</v>
      </c>
      <c r="F16" s="3">
        <f t="shared" si="2"/>
        <v>98.996180702904965</v>
      </c>
      <c r="G16" s="3">
        <f t="shared" si="3"/>
        <v>-132.81475175048118</v>
      </c>
      <c r="H16" s="3">
        <f t="shared" si="4"/>
        <v>178.18625079567659</v>
      </c>
    </row>
    <row r="17" spans="1:8">
      <c r="A17" s="16">
        <v>47</v>
      </c>
      <c r="B17" s="16">
        <v>52</v>
      </c>
      <c r="C17" s="3">
        <f t="shared" si="5"/>
        <v>651</v>
      </c>
      <c r="D17" s="3">
        <f t="shared" si="0"/>
        <v>2444</v>
      </c>
      <c r="E17" s="3">
        <f t="shared" si="1"/>
        <v>-17.763975155279496</v>
      </c>
      <c r="F17" s="3">
        <f t="shared" si="2"/>
        <v>6.0684387176420618</v>
      </c>
      <c r="G17" s="3">
        <f t="shared" si="3"/>
        <v>-2.073069127144803</v>
      </c>
      <c r="H17" s="3">
        <f t="shared" si="4"/>
        <v>0.70819131672648516</v>
      </c>
    </row>
    <row r="18" spans="1:8">
      <c r="A18" s="16">
        <v>48</v>
      </c>
      <c r="B18" s="16">
        <v>48</v>
      </c>
      <c r="C18" s="3">
        <f t="shared" si="5"/>
        <v>699</v>
      </c>
      <c r="D18" s="3">
        <f t="shared" si="0"/>
        <v>2304</v>
      </c>
      <c r="E18" s="3">
        <f t="shared" si="1"/>
        <v>31.602484472049696</v>
      </c>
      <c r="F18" s="3">
        <f t="shared" si="2"/>
        <v>20.806604683461295</v>
      </c>
      <c r="G18" s="3">
        <f t="shared" si="3"/>
        <v>13.69875836302421</v>
      </c>
      <c r="H18" s="3">
        <f t="shared" si="4"/>
        <v>9.0190583011215306</v>
      </c>
    </row>
    <row r="19" spans="1:8">
      <c r="A19" s="16">
        <v>49</v>
      </c>
      <c r="B19" s="16">
        <v>58</v>
      </c>
      <c r="C19" s="3">
        <f t="shared" si="5"/>
        <v>757</v>
      </c>
      <c r="D19" s="3">
        <f t="shared" si="0"/>
        <v>2842</v>
      </c>
      <c r="E19" s="3">
        <f t="shared" si="1"/>
        <v>96.186335403726716</v>
      </c>
      <c r="F19" s="3">
        <f t="shared" si="2"/>
        <v>159.51398479996917</v>
      </c>
      <c r="G19" s="3">
        <f t="shared" si="3"/>
        <v>264.53561454404826</v>
      </c>
      <c r="H19" s="3">
        <f t="shared" si="4"/>
        <v>438.70191977180673</v>
      </c>
    </row>
    <row r="20" spans="1:8">
      <c r="A20" s="16">
        <v>50</v>
      </c>
      <c r="B20" s="16">
        <v>36</v>
      </c>
      <c r="C20" s="3">
        <f t="shared" si="5"/>
        <v>793</v>
      </c>
      <c r="D20" s="3">
        <f t="shared" si="0"/>
        <v>1800</v>
      </c>
      <c r="E20" s="3">
        <f t="shared" si="1"/>
        <v>95.701863354037272</v>
      </c>
      <c r="F20" s="3">
        <f t="shared" si="2"/>
        <v>254.41240692874504</v>
      </c>
      <c r="G20" s="3">
        <f t="shared" si="3"/>
        <v>676.32615009629126</v>
      </c>
      <c r="H20" s="3">
        <f t="shared" si="4"/>
        <v>1797.9353555354821</v>
      </c>
    </row>
    <row r="21" spans="1:8">
      <c r="A21" s="16">
        <v>52</v>
      </c>
      <c r="B21" s="16">
        <v>26</v>
      </c>
      <c r="C21" s="3">
        <f t="shared" si="5"/>
        <v>819</v>
      </c>
      <c r="D21" s="3">
        <f t="shared" si="0"/>
        <v>1352</v>
      </c>
      <c r="E21" s="3">
        <f t="shared" si="1"/>
        <v>121.11801242236025</v>
      </c>
      <c r="F21" s="3">
        <f t="shared" si="2"/>
        <v>564.21434358242357</v>
      </c>
      <c r="G21" s="3">
        <f t="shared" si="3"/>
        <v>2628.3276874957619</v>
      </c>
      <c r="H21" s="3">
        <f t="shared" si="4"/>
        <v>12243.762519390195</v>
      </c>
    </row>
    <row r="22" spans="1:8">
      <c r="A22" s="16">
        <v>53</v>
      </c>
      <c r="B22" s="16">
        <v>29</v>
      </c>
      <c r="C22" s="3">
        <f t="shared" si="5"/>
        <v>848</v>
      </c>
      <c r="D22" s="3">
        <f t="shared" si="0"/>
        <v>1537</v>
      </c>
      <c r="E22" s="3">
        <f t="shared" si="1"/>
        <v>164.09316770186336</v>
      </c>
      <c r="F22" s="3">
        <f t="shared" si="2"/>
        <v>928.5023340148914</v>
      </c>
      <c r="G22" s="3">
        <f t="shared" si="3"/>
        <v>5253.8237657612808</v>
      </c>
      <c r="H22" s="3">
        <f t="shared" si="4"/>
        <v>29728.158078313827</v>
      </c>
    </row>
    <row r="23" spans="1:8">
      <c r="A23" s="16">
        <v>54</v>
      </c>
      <c r="B23" s="16">
        <v>29</v>
      </c>
      <c r="C23" s="3">
        <f t="shared" si="5"/>
        <v>877</v>
      </c>
      <c r="D23" s="3">
        <f t="shared" si="0"/>
        <v>1566</v>
      </c>
      <c r="E23" s="3">
        <f t="shared" si="1"/>
        <v>193.09316770186336</v>
      </c>
      <c r="F23" s="3">
        <f t="shared" si="2"/>
        <v>1285.6886694186182</v>
      </c>
      <c r="G23" s="3">
        <f t="shared" si="3"/>
        <v>8560.6102709115439</v>
      </c>
      <c r="H23" s="3">
        <f t="shared" si="4"/>
        <v>56999.83981625575</v>
      </c>
    </row>
    <row r="24" spans="1:8">
      <c r="A24" s="19">
        <v>55</v>
      </c>
      <c r="B24" s="19">
        <v>26</v>
      </c>
      <c r="C24" s="3">
        <f t="shared" si="5"/>
        <v>903</v>
      </c>
      <c r="D24" s="3">
        <f t="shared" si="0"/>
        <v>1430</v>
      </c>
      <c r="E24" s="3">
        <f t="shared" si="1"/>
        <v>199.11801242236027</v>
      </c>
      <c r="F24" s="3">
        <f t="shared" si="2"/>
        <v>1524.922418116585</v>
      </c>
      <c r="G24" s="3">
        <f t="shared" si="3"/>
        <v>11678.443115141301</v>
      </c>
      <c r="H24" s="3">
        <f t="shared" si="4"/>
        <v>89438.014664405127</v>
      </c>
    </row>
    <row r="25" spans="1:8">
      <c r="A25" s="19">
        <v>56</v>
      </c>
      <c r="B25" s="19">
        <v>27</v>
      </c>
      <c r="C25" s="3">
        <f>C24+B25</f>
        <v>930</v>
      </c>
      <c r="D25" s="3">
        <f t="shared" si="0"/>
        <v>1512</v>
      </c>
      <c r="E25" s="3">
        <f t="shared" si="1"/>
        <v>233.77639751552795</v>
      </c>
      <c r="F25" s="3">
        <f t="shared" si="2"/>
        <v>2024.1260753828942</v>
      </c>
      <c r="G25" s="3">
        <f t="shared" si="3"/>
        <v>17525.663037787297</v>
      </c>
      <c r="H25" s="3">
        <f t="shared" si="4"/>
        <v>151743.93959425771</v>
      </c>
    </row>
    <row r="26" spans="1:8">
      <c r="A26" s="16">
        <v>57</v>
      </c>
      <c r="B26" s="16">
        <v>25</v>
      </c>
      <c r="C26" s="3">
        <f t="shared" si="5"/>
        <v>955</v>
      </c>
      <c r="D26" s="3">
        <f t="shared" si="0"/>
        <v>1425</v>
      </c>
      <c r="E26" s="3">
        <f t="shared" si="1"/>
        <v>241.45962732919256</v>
      </c>
      <c r="F26" s="3">
        <f t="shared" si="2"/>
        <v>2332.1100651981019</v>
      </c>
      <c r="G26" s="3">
        <f t="shared" si="3"/>
        <v>22524.417089335704</v>
      </c>
      <c r="H26" s="3">
        <f t="shared" si="4"/>
        <v>217549.49424793181</v>
      </c>
    </row>
    <row r="27" spans="1:8">
      <c r="A27" s="16">
        <v>58</v>
      </c>
      <c r="B27" s="16">
        <v>19</v>
      </c>
      <c r="C27" s="3">
        <f t="shared" si="5"/>
        <v>974</v>
      </c>
      <c r="D27" s="3">
        <f t="shared" si="0"/>
        <v>1102</v>
      </c>
      <c r="E27" s="3">
        <f t="shared" si="1"/>
        <v>202.50931677018633</v>
      </c>
      <c r="F27" s="3">
        <f t="shared" si="2"/>
        <v>2158.4222830909303</v>
      </c>
      <c r="G27" s="3">
        <f t="shared" si="3"/>
        <v>23005.29588685737</v>
      </c>
      <c r="H27" s="3">
        <f t="shared" si="4"/>
        <v>245199.3027443928</v>
      </c>
    </row>
    <row r="28" spans="1:8">
      <c r="A28" s="16">
        <v>59</v>
      </c>
      <c r="B28" s="16">
        <v>18</v>
      </c>
      <c r="C28" s="3">
        <f t="shared" si="5"/>
        <v>992</v>
      </c>
      <c r="D28" s="3">
        <f t="shared" si="0"/>
        <v>1062</v>
      </c>
      <c r="E28" s="3">
        <f t="shared" si="1"/>
        <v>209.85093167701865</v>
      </c>
      <c r="F28" s="3">
        <f t="shared" si="2"/>
        <v>2446.5229736507081</v>
      </c>
      <c r="G28" s="3">
        <f t="shared" si="3"/>
        <v>28522.506966101733</v>
      </c>
      <c r="H28" s="3">
        <f t="shared" si="4"/>
        <v>332526.37003337237</v>
      </c>
    </row>
    <row r="29" spans="1:8">
      <c r="A29" s="16">
        <v>60</v>
      </c>
      <c r="B29" s="16">
        <v>20</v>
      </c>
      <c r="C29" s="3">
        <f t="shared" si="5"/>
        <v>1012</v>
      </c>
      <c r="D29" s="3">
        <f t="shared" si="0"/>
        <v>1200</v>
      </c>
      <c r="E29" s="3">
        <f t="shared" si="1"/>
        <v>253.16770186335404</v>
      </c>
      <c r="F29" s="3">
        <f t="shared" si="2"/>
        <v>3204.6942633386061</v>
      </c>
      <c r="G29" s="3">
        <f t="shared" si="3"/>
        <v>40566.254091205461</v>
      </c>
      <c r="H29" s="3">
        <f t="shared" si="4"/>
        <v>513503.26607376855</v>
      </c>
    </row>
    <row r="30" spans="1:8">
      <c r="A30" s="16">
        <v>61</v>
      </c>
      <c r="B30" s="16">
        <v>22</v>
      </c>
      <c r="C30" s="3">
        <f t="shared" si="5"/>
        <v>1034</v>
      </c>
      <c r="D30" s="3">
        <f t="shared" si="0"/>
        <v>1342</v>
      </c>
      <c r="E30" s="3">
        <f t="shared" si="1"/>
        <v>300.48447204968943</v>
      </c>
      <c r="F30" s="3">
        <f t="shared" si="2"/>
        <v>4104.1326337718456</v>
      </c>
      <c r="G30" s="3">
        <f t="shared" si="3"/>
        <v>56055.823985492476</v>
      </c>
      <c r="H30" s="3">
        <f t="shared" si="4"/>
        <v>765632.03070868284</v>
      </c>
    </row>
    <row r="31" spans="1:8">
      <c r="A31" s="16">
        <v>62</v>
      </c>
      <c r="B31" s="16">
        <v>6</v>
      </c>
      <c r="C31" s="3">
        <f t="shared" si="5"/>
        <v>1040</v>
      </c>
      <c r="D31" s="3">
        <f t="shared" si="0"/>
        <v>372</v>
      </c>
      <c r="E31" s="3">
        <f t="shared" si="1"/>
        <v>87.950310559006212</v>
      </c>
      <c r="F31" s="3">
        <f t="shared" si="2"/>
        <v>1289.2095212376066</v>
      </c>
      <c r="G31" s="3">
        <f t="shared" si="3"/>
        <v>18897.729628079203</v>
      </c>
      <c r="H31" s="3">
        <f t="shared" si="4"/>
        <v>277010.19827494986</v>
      </c>
    </row>
    <row r="32" spans="1:8">
      <c r="A32" s="16">
        <v>65</v>
      </c>
      <c r="B32" s="16">
        <v>11</v>
      </c>
      <c r="C32" s="3">
        <f t="shared" si="5"/>
        <v>1051</v>
      </c>
      <c r="D32" s="3">
        <f t="shared" si="0"/>
        <v>715</v>
      </c>
      <c r="E32" s="3">
        <f t="shared" si="1"/>
        <v>194.24223602484471</v>
      </c>
      <c r="F32" s="3">
        <f t="shared" si="2"/>
        <v>3430.0042050846805</v>
      </c>
      <c r="G32" s="3">
        <f t="shared" si="3"/>
        <v>60568.335124569858</v>
      </c>
      <c r="H32" s="3">
        <f t="shared" si="4"/>
        <v>1069538.9860816901</v>
      </c>
    </row>
    <row r="33" spans="1:8">
      <c r="A33" s="16">
        <v>67</v>
      </c>
      <c r="B33" s="16">
        <v>8</v>
      </c>
      <c r="C33" s="3">
        <f t="shared" si="5"/>
        <v>1059</v>
      </c>
      <c r="D33" s="3">
        <f t="shared" si="0"/>
        <v>536</v>
      </c>
      <c r="E33" s="3">
        <f t="shared" si="1"/>
        <v>157.26708074534162</v>
      </c>
      <c r="F33" s="3">
        <f t="shared" si="2"/>
        <v>3091.616835770225</v>
      </c>
      <c r="G33" s="3">
        <f t="shared" si="3"/>
        <v>60776.194318091693</v>
      </c>
      <c r="H33" s="3">
        <f t="shared" si="4"/>
        <v>1194761.8324022372</v>
      </c>
    </row>
    <row r="34" spans="1:8">
      <c r="A34" s="16">
        <v>69</v>
      </c>
      <c r="B34" s="16">
        <v>15</v>
      </c>
      <c r="C34" s="3">
        <f t="shared" si="5"/>
        <v>1074</v>
      </c>
      <c r="D34" s="3">
        <f t="shared" si="0"/>
        <v>1035</v>
      </c>
      <c r="E34" s="3">
        <f t="shared" si="1"/>
        <v>324.87577639751555</v>
      </c>
      <c r="F34" s="3">
        <f t="shared" si="2"/>
        <v>7036.2846726592343</v>
      </c>
      <c r="G34" s="3">
        <f t="shared" si="3"/>
        <v>152394.56306560716</v>
      </c>
      <c r="H34" s="3">
        <f t="shared" si="4"/>
        <v>3300620.1329799513</v>
      </c>
    </row>
    <row r="35" spans="1:8">
      <c r="A35" s="16">
        <v>71</v>
      </c>
      <c r="B35" s="16">
        <v>5</v>
      </c>
      <c r="C35" s="3">
        <f t="shared" si="5"/>
        <v>1079</v>
      </c>
      <c r="D35" s="3">
        <f t="shared" si="0"/>
        <v>355</v>
      </c>
      <c r="E35" s="3">
        <f t="shared" si="1"/>
        <v>118.29192546583852</v>
      </c>
      <c r="F35" s="3">
        <f t="shared" si="2"/>
        <v>2798.5959260830987</v>
      </c>
      <c r="G35" s="3">
        <f t="shared" si="3"/>
        <v>66210.260139444246</v>
      </c>
      <c r="H35" s="3">
        <f t="shared" si="4"/>
        <v>1566427.8314977835</v>
      </c>
    </row>
    <row r="36" spans="1:8">
      <c r="A36" s="16">
        <v>73</v>
      </c>
      <c r="B36" s="16">
        <v>8</v>
      </c>
      <c r="C36" s="3">
        <f t="shared" si="5"/>
        <v>1087</v>
      </c>
      <c r="D36" s="3">
        <f t="shared" si="0"/>
        <v>584</v>
      </c>
      <c r="E36" s="3">
        <f t="shared" si="1"/>
        <v>205.26708074534162</v>
      </c>
      <c r="F36" s="3">
        <f t="shared" si="2"/>
        <v>5266.8218047143246</v>
      </c>
      <c r="G36" s="3">
        <f t="shared" si="3"/>
        <v>135138.14208245263</v>
      </c>
      <c r="H36" s="3">
        <f t="shared" si="4"/>
        <v>3467426.4903267818</v>
      </c>
    </row>
    <row r="37" spans="1:8">
      <c r="A37" s="16">
        <v>75</v>
      </c>
      <c r="B37" s="16">
        <v>10</v>
      </c>
      <c r="C37" s="3">
        <f t="shared" si="5"/>
        <v>1097</v>
      </c>
      <c r="D37" s="3">
        <f t="shared" si="0"/>
        <v>750</v>
      </c>
      <c r="E37" s="3">
        <f t="shared" si="1"/>
        <v>276.58385093167703</v>
      </c>
      <c r="F37" s="3">
        <f t="shared" si="2"/>
        <v>7649.8626596196136</v>
      </c>
      <c r="G37" s="3">
        <f t="shared" si="3"/>
        <v>211582.84734960337</v>
      </c>
      <c r="H37" s="3">
        <f t="shared" si="4"/>
        <v>5852039.8711042479</v>
      </c>
    </row>
    <row r="38" spans="1:8">
      <c r="A38" s="16">
        <v>77</v>
      </c>
      <c r="B38" s="16">
        <v>7</v>
      </c>
      <c r="C38" s="3">
        <f t="shared" si="5"/>
        <v>1104</v>
      </c>
      <c r="D38" s="3">
        <f t="shared" si="0"/>
        <v>539</v>
      </c>
      <c r="E38" s="3">
        <f t="shared" si="1"/>
        <v>207.60869565217391</v>
      </c>
      <c r="F38" s="3">
        <f t="shared" si="2"/>
        <v>6157.3386443424251</v>
      </c>
      <c r="G38" s="3">
        <f t="shared" si="3"/>
        <v>182616.7206629508</v>
      </c>
      <c r="H38" s="3">
        <f t="shared" si="4"/>
        <v>5416117.0258732308</v>
      </c>
    </row>
    <row r="39" spans="1:8">
      <c r="A39" s="16">
        <v>79</v>
      </c>
      <c r="B39" s="16">
        <v>6</v>
      </c>
      <c r="C39" s="3">
        <f t="shared" si="5"/>
        <v>1110</v>
      </c>
      <c r="D39" s="3">
        <f t="shared" si="0"/>
        <v>474</v>
      </c>
      <c r="E39" s="3">
        <f t="shared" si="1"/>
        <v>189.9503105590062</v>
      </c>
      <c r="F39" s="3">
        <f t="shared" si="2"/>
        <v>6013.5200802438176</v>
      </c>
      <c r="G39" s="3">
        <f t="shared" si="3"/>
        <v>190378.3344658555</v>
      </c>
      <c r="H39" s="3">
        <f t="shared" si="4"/>
        <v>6027070.6259159353</v>
      </c>
    </row>
    <row r="40" spans="1:8">
      <c r="A40" s="16">
        <v>81</v>
      </c>
      <c r="B40" s="16">
        <v>4</v>
      </c>
      <c r="C40" s="3">
        <f t="shared" si="5"/>
        <v>1114</v>
      </c>
      <c r="D40" s="3">
        <f t="shared" si="0"/>
        <v>324</v>
      </c>
      <c r="E40" s="3">
        <f t="shared" si="1"/>
        <v>134.63354037267081</v>
      </c>
      <c r="F40" s="3">
        <f t="shared" si="2"/>
        <v>4531.5475483198952</v>
      </c>
      <c r="G40" s="3">
        <f t="shared" si="3"/>
        <v>152524.57244935102</v>
      </c>
      <c r="H40" s="3">
        <f t="shared" si="4"/>
        <v>5133730.7956710132</v>
      </c>
    </row>
    <row r="41" spans="1:8">
      <c r="A41" s="16">
        <v>84</v>
      </c>
      <c r="B41" s="16">
        <v>2</v>
      </c>
      <c r="C41" s="3">
        <f t="shared" si="5"/>
        <v>1116</v>
      </c>
      <c r="D41" s="3">
        <f t="shared" si="0"/>
        <v>168</v>
      </c>
      <c r="E41" s="3">
        <f t="shared" si="1"/>
        <v>73.316770186335404</v>
      </c>
      <c r="F41" s="3">
        <f t="shared" si="2"/>
        <v>2687.6743952779598</v>
      </c>
      <c r="G41" s="3">
        <f t="shared" si="3"/>
        <v>98525.802987146075</v>
      </c>
      <c r="H41" s="3">
        <f t="shared" si="4"/>
        <v>3611796.8275163732</v>
      </c>
    </row>
    <row r="42" spans="1:8">
      <c r="A42" s="16">
        <v>86</v>
      </c>
      <c r="B42" s="16">
        <v>1</v>
      </c>
      <c r="C42" s="3">
        <f t="shared" si="5"/>
        <v>1117</v>
      </c>
      <c r="D42" s="3">
        <f t="shared" si="0"/>
        <v>86</v>
      </c>
      <c r="E42" s="3">
        <f t="shared" si="1"/>
        <v>38.658385093167702</v>
      </c>
      <c r="F42" s="3">
        <f t="shared" si="2"/>
        <v>1494.4707380116508</v>
      </c>
      <c r="G42" s="3">
        <f t="shared" si="3"/>
        <v>57773.825300524935</v>
      </c>
      <c r="H42" s="3">
        <f t="shared" si="4"/>
        <v>2233442.7867730884</v>
      </c>
    </row>
    <row r="43" spans="1:8">
      <c r="A43" s="16">
        <v>88</v>
      </c>
      <c r="B43" s="16">
        <v>4</v>
      </c>
      <c r="C43" s="3">
        <f t="shared" si="5"/>
        <v>1121</v>
      </c>
      <c r="D43" s="3">
        <f t="shared" si="0"/>
        <v>352</v>
      </c>
      <c r="E43" s="3">
        <f t="shared" si="1"/>
        <v>162.63354037267081</v>
      </c>
      <c r="F43" s="3">
        <f t="shared" si="2"/>
        <v>6612.4171135372862</v>
      </c>
      <c r="G43" s="3">
        <f t="shared" si="3"/>
        <v>268850.20139885141</v>
      </c>
      <c r="H43" s="3">
        <f t="shared" si="4"/>
        <v>10931015.020850195</v>
      </c>
    </row>
    <row r="44" spans="1:8">
      <c r="A44" s="16">
        <v>90</v>
      </c>
      <c r="B44" s="16">
        <v>1</v>
      </c>
      <c r="C44" s="3">
        <f t="shared" si="5"/>
        <v>1122</v>
      </c>
      <c r="D44" s="3">
        <f t="shared" si="0"/>
        <v>90</v>
      </c>
      <c r="E44" s="3">
        <f t="shared" si="1"/>
        <v>42.658385093167702</v>
      </c>
      <c r="F44" s="3">
        <f t="shared" si="2"/>
        <v>1819.7378187569925</v>
      </c>
      <c r="G44" s="3">
        <f t="shared" si="3"/>
        <v>77627.076641136795</v>
      </c>
      <c r="H44" s="3">
        <f t="shared" si="4"/>
        <v>3311445.7290144567</v>
      </c>
    </row>
    <row r="45" spans="1:8">
      <c r="A45" s="16">
        <v>92</v>
      </c>
      <c r="B45" s="16">
        <v>3</v>
      </c>
      <c r="C45" s="3">
        <f t="shared" si="5"/>
        <v>1125</v>
      </c>
      <c r="D45" s="3">
        <f t="shared" si="0"/>
        <v>276</v>
      </c>
      <c r="E45" s="3">
        <f t="shared" si="1"/>
        <v>133.9751552795031</v>
      </c>
      <c r="F45" s="3">
        <f t="shared" si="2"/>
        <v>5983.1140773889892</v>
      </c>
      <c r="G45" s="3">
        <f t="shared" si="3"/>
        <v>267196.21252439026</v>
      </c>
      <c r="H45" s="3">
        <f t="shared" si="4"/>
        <v>11932551.354350101</v>
      </c>
    </row>
    <row r="46" spans="1:8">
      <c r="A46" s="16">
        <v>94</v>
      </c>
      <c r="B46" s="16">
        <v>1</v>
      </c>
      <c r="C46" s="3">
        <f t="shared" si="5"/>
        <v>1126</v>
      </c>
      <c r="D46" s="3">
        <f t="shared" si="0"/>
        <v>94</v>
      </c>
      <c r="E46" s="3">
        <f t="shared" si="1"/>
        <v>46.658385093167702</v>
      </c>
      <c r="F46" s="3">
        <f t="shared" si="2"/>
        <v>2177.004899502334</v>
      </c>
      <c r="G46" s="3">
        <f t="shared" si="3"/>
        <v>101575.53295069275</v>
      </c>
      <c r="H46" s="3">
        <f t="shared" si="4"/>
        <v>4739350.3324571671</v>
      </c>
    </row>
    <row r="47" spans="1:8">
      <c r="A47" s="16">
        <v>98</v>
      </c>
      <c r="B47" s="16">
        <v>1</v>
      </c>
      <c r="C47" s="3">
        <f t="shared" si="5"/>
        <v>1127</v>
      </c>
      <c r="D47" s="3">
        <f t="shared" si="0"/>
        <v>98</v>
      </c>
      <c r="E47" s="3">
        <f t="shared" si="1"/>
        <v>50.658385093167702</v>
      </c>
      <c r="F47" s="3">
        <f t="shared" si="2"/>
        <v>2566.2719802476759</v>
      </c>
      <c r="G47" s="3">
        <f t="shared" si="3"/>
        <v>130003.19422919283</v>
      </c>
      <c r="H47" s="3">
        <f t="shared" si="4"/>
        <v>6585751.8766043279</v>
      </c>
    </row>
    <row r="48" spans="1:8">
      <c r="B48" s="16"/>
      <c r="D48" s="17"/>
    </row>
    <row r="52" spans="5:5">
      <c r="E52" s="14">
        <f>SUM(E2:E47)</f>
        <v>1.4921397450962104E-12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Исходные данные</vt:lpstr>
      <vt:lpstr>Дискретный ряд</vt:lpstr>
      <vt:lpstr>Интервальный ряд</vt:lpstr>
      <vt:lpstr>Интервальный вариационный ряд</vt:lpstr>
      <vt:lpstr>Первичная обработка результатов</vt:lpstr>
      <vt:lpstr>задание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2020-01-29T08:11:28Z</dcterms:modified>
</cp:coreProperties>
</file>