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eheen\Desktop\materials_project\"/>
    </mc:Choice>
  </mc:AlternateContent>
  <xr:revisionPtr revIDLastSave="0" documentId="13_ncr:1_{1436EE56-0061-4F9F-AF4E-9E5D71DA531B}" xr6:coauthVersionLast="36" xr6:coauthVersionMax="45" xr10:uidLastSave="{00000000-0000-0000-0000-000000000000}"/>
  <bookViews>
    <workbookView xWindow="0" yWindow="0" windowWidth="25605" windowHeight="16005" firstSheet="2" activeTab="9" xr2:uid="{A4A5F5A1-0C63-45A1-9EB4-51F055D8EA08}"/>
  </bookViews>
  <sheets>
    <sheet name="reduced_properties" sheetId="3" r:id="rId1"/>
    <sheet name="oxide_properties" sheetId="2" r:id="rId2"/>
    <sheet name="oxide_pairs" sheetId="1" r:id="rId3"/>
    <sheet name="oxide_correlation" sheetId="4" r:id="rId4"/>
    <sheet name="bulk_vacancy" sheetId="5" r:id="rId5"/>
    <sheet name="goxide_mp" sheetId="7" r:id="rId6"/>
    <sheet name="surface_formation_energy" sheetId="6" r:id="rId7"/>
    <sheet name="formation_energy_corr" sheetId="8" r:id="rId8"/>
    <sheet name="oxides_caviness" sheetId="9" r:id="rId9"/>
    <sheet name="final_list" sheetId="10" r:id="rId10"/>
  </sheets>
  <definedNames>
    <definedName name="_xlnm._FilterDatabase" localSheetId="2" hidden="1">oxide_pairs!$A$1:$X$298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7" i="2" l="1"/>
  <c r="AD26" i="2"/>
  <c r="AE26" i="2"/>
  <c r="AF26" i="2"/>
  <c r="AG26" i="2"/>
  <c r="AH26" i="2"/>
  <c r="AI26" i="2"/>
  <c r="AJ26" i="2"/>
  <c r="AK26" i="2"/>
  <c r="AM26" i="2"/>
  <c r="AN26" i="2"/>
  <c r="AO26" i="2"/>
  <c r="AP26" i="2"/>
  <c r="AQ26" i="2"/>
  <c r="AD23" i="2"/>
  <c r="AE23" i="2"/>
  <c r="AF23" i="2"/>
  <c r="AG23" i="2"/>
  <c r="AH23" i="2"/>
  <c r="AI23" i="2"/>
  <c r="AJ23" i="2"/>
  <c r="AK23" i="2"/>
  <c r="AM23" i="2"/>
  <c r="AN23" i="2"/>
  <c r="AO23" i="2"/>
  <c r="AP23" i="2"/>
  <c r="AQ23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D25" i="2"/>
  <c r="AE25" i="2"/>
  <c r="AF25" i="2"/>
  <c r="AG25" i="2"/>
  <c r="AH25" i="2"/>
  <c r="AI25" i="2"/>
  <c r="AJ25" i="2"/>
  <c r="AK25" i="2"/>
  <c r="AM25" i="2"/>
  <c r="AN25" i="2"/>
  <c r="AO25" i="2"/>
  <c r="AP25" i="2"/>
  <c r="AQ25" i="2"/>
  <c r="AD21" i="2"/>
  <c r="AE21" i="2"/>
  <c r="AF21" i="2"/>
  <c r="AG21" i="2"/>
  <c r="AH21" i="2"/>
  <c r="AI21" i="2"/>
  <c r="AJ21" i="2"/>
  <c r="AK21" i="2"/>
  <c r="AM21" i="2"/>
  <c r="AN21" i="2"/>
  <c r="AO21" i="2"/>
  <c r="AP21" i="2"/>
  <c r="AQ21" i="2"/>
  <c r="AD22" i="2"/>
  <c r="AE22" i="2"/>
  <c r="AF22" i="2"/>
  <c r="AG22" i="2"/>
  <c r="AH22" i="2"/>
  <c r="AI22" i="2"/>
  <c r="AJ22" i="2"/>
  <c r="AK22" i="2"/>
  <c r="AM22" i="2"/>
  <c r="AN22" i="2"/>
  <c r="AO22" i="2"/>
  <c r="AP22" i="2"/>
  <c r="AQ22" i="2"/>
  <c r="AD20" i="2"/>
  <c r="AE20" i="2"/>
  <c r="AF20" i="2"/>
  <c r="AG20" i="2"/>
  <c r="AH20" i="2"/>
  <c r="AI20" i="2"/>
  <c r="AJ20" i="2"/>
  <c r="AK20" i="2"/>
  <c r="AM20" i="2"/>
  <c r="AN20" i="2"/>
  <c r="AO20" i="2"/>
  <c r="AP20" i="2"/>
  <c r="AQ20" i="2"/>
  <c r="AD3" i="2"/>
  <c r="AE3" i="2"/>
  <c r="AF3" i="2"/>
  <c r="AG3" i="2"/>
  <c r="AH3" i="2"/>
  <c r="AI3" i="2"/>
  <c r="AJ3" i="2"/>
  <c r="AK3" i="2"/>
  <c r="AM3" i="2"/>
  <c r="AN3" i="2"/>
  <c r="AO3" i="2"/>
  <c r="AP3" i="2"/>
  <c r="AQ3" i="2"/>
  <c r="AD4" i="2"/>
  <c r="AE4" i="2"/>
  <c r="AF4" i="2"/>
  <c r="AG4" i="2"/>
  <c r="AH4" i="2"/>
  <c r="AI4" i="2"/>
  <c r="AJ4" i="2"/>
  <c r="AK4" i="2"/>
  <c r="AM4" i="2"/>
  <c r="AN4" i="2"/>
  <c r="AO4" i="2"/>
  <c r="AP4" i="2"/>
  <c r="AQ4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D6" i="2"/>
  <c r="AE6" i="2"/>
  <c r="AF6" i="2"/>
  <c r="AG6" i="2"/>
  <c r="AH6" i="2"/>
  <c r="AI6" i="2"/>
  <c r="AJ6" i="2"/>
  <c r="AK6" i="2"/>
  <c r="AM6" i="2"/>
  <c r="AN6" i="2"/>
  <c r="AO6" i="2"/>
  <c r="AP6" i="2"/>
  <c r="AQ6" i="2"/>
  <c r="AD7" i="2"/>
  <c r="AE7" i="2"/>
  <c r="AF7" i="2"/>
  <c r="AG7" i="2"/>
  <c r="AH7" i="2"/>
  <c r="AI7" i="2"/>
  <c r="AJ7" i="2"/>
  <c r="AK7" i="2"/>
  <c r="AM7" i="2"/>
  <c r="AN7" i="2"/>
  <c r="AO7" i="2"/>
  <c r="AP7" i="2"/>
  <c r="AQ7" i="2"/>
  <c r="AD8" i="2"/>
  <c r="AE8" i="2"/>
  <c r="AF8" i="2"/>
  <c r="AG8" i="2"/>
  <c r="AH8" i="2"/>
  <c r="AI8" i="2"/>
  <c r="AJ8" i="2"/>
  <c r="AK8" i="2"/>
  <c r="AM8" i="2"/>
  <c r="AN8" i="2"/>
  <c r="AO8" i="2"/>
  <c r="AP8" i="2"/>
  <c r="AQ8" i="2"/>
  <c r="AD9" i="2"/>
  <c r="AE9" i="2"/>
  <c r="AF9" i="2"/>
  <c r="AG9" i="2"/>
  <c r="AH9" i="2"/>
  <c r="AI9" i="2"/>
  <c r="AJ9" i="2"/>
  <c r="AK9" i="2"/>
  <c r="AM9" i="2"/>
  <c r="AN9" i="2"/>
  <c r="AO9" i="2"/>
  <c r="AP9" i="2"/>
  <c r="AQ9" i="2"/>
  <c r="AD10" i="2"/>
  <c r="AE10" i="2"/>
  <c r="AF10" i="2"/>
  <c r="AG10" i="2"/>
  <c r="AH10" i="2"/>
  <c r="AI10" i="2"/>
  <c r="AJ10" i="2"/>
  <c r="AK10" i="2"/>
  <c r="AM10" i="2"/>
  <c r="AN10" i="2"/>
  <c r="AO10" i="2"/>
  <c r="AP10" i="2"/>
  <c r="AQ10" i="2"/>
  <c r="AD11" i="2"/>
  <c r="AE11" i="2"/>
  <c r="AF11" i="2"/>
  <c r="AG11" i="2"/>
  <c r="AH11" i="2"/>
  <c r="AI11" i="2"/>
  <c r="AJ11" i="2"/>
  <c r="AK11" i="2"/>
  <c r="AM11" i="2"/>
  <c r="AN11" i="2"/>
  <c r="AO11" i="2"/>
  <c r="AP11" i="2"/>
  <c r="AQ11" i="2"/>
  <c r="AD12" i="2"/>
  <c r="AE12" i="2"/>
  <c r="AF12" i="2"/>
  <c r="AG12" i="2"/>
  <c r="AH12" i="2"/>
  <c r="AI12" i="2"/>
  <c r="AJ12" i="2"/>
  <c r="AK12" i="2"/>
  <c r="AM12" i="2"/>
  <c r="AN12" i="2"/>
  <c r="AO12" i="2"/>
  <c r="AP12" i="2"/>
  <c r="AQ12" i="2"/>
  <c r="AD13" i="2"/>
  <c r="AE13" i="2"/>
  <c r="AF13" i="2"/>
  <c r="AG13" i="2"/>
  <c r="AH13" i="2"/>
  <c r="AI13" i="2"/>
  <c r="AJ13" i="2"/>
  <c r="AK13" i="2"/>
  <c r="AM13" i="2"/>
  <c r="AN13" i="2"/>
  <c r="AO13" i="2"/>
  <c r="AP13" i="2"/>
  <c r="AQ13" i="2"/>
  <c r="AD14" i="2"/>
  <c r="AE14" i="2"/>
  <c r="AF14" i="2"/>
  <c r="AG14" i="2"/>
  <c r="AH14" i="2"/>
  <c r="AI14" i="2"/>
  <c r="AJ14" i="2"/>
  <c r="AK14" i="2"/>
  <c r="AM14" i="2"/>
  <c r="AN14" i="2"/>
  <c r="AO14" i="2"/>
  <c r="AP14" i="2"/>
  <c r="AQ14" i="2"/>
  <c r="AD15" i="2"/>
  <c r="AE15" i="2"/>
  <c r="AF15" i="2"/>
  <c r="AG15" i="2"/>
  <c r="AH15" i="2"/>
  <c r="AI15" i="2"/>
  <c r="AJ15" i="2"/>
  <c r="AK15" i="2"/>
  <c r="AM15" i="2"/>
  <c r="AN15" i="2"/>
  <c r="AO15" i="2"/>
  <c r="AP15" i="2"/>
  <c r="AQ15" i="2"/>
  <c r="AD16" i="2"/>
  <c r="AE16" i="2"/>
  <c r="AF16" i="2"/>
  <c r="AG16" i="2"/>
  <c r="AH16" i="2"/>
  <c r="AI16" i="2"/>
  <c r="AJ16" i="2"/>
  <c r="AK16" i="2"/>
  <c r="AM16" i="2"/>
  <c r="AN16" i="2"/>
  <c r="AO16" i="2"/>
  <c r="AP16" i="2"/>
  <c r="AQ16" i="2"/>
  <c r="AD17" i="2"/>
  <c r="AE17" i="2"/>
  <c r="AF17" i="2"/>
  <c r="AG17" i="2"/>
  <c r="AH17" i="2"/>
  <c r="AI17" i="2"/>
  <c r="AJ17" i="2"/>
  <c r="AK17" i="2"/>
  <c r="AM17" i="2"/>
  <c r="AN17" i="2"/>
  <c r="AO17" i="2"/>
  <c r="AP17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D2" i="2"/>
  <c r="AE2" i="2"/>
  <c r="AF2" i="2"/>
  <c r="AG2" i="2"/>
  <c r="AH2" i="2"/>
  <c r="AI2" i="2"/>
  <c r="AJ2" i="2"/>
  <c r="AK2" i="2"/>
  <c r="AM2" i="2"/>
  <c r="AN2" i="2"/>
  <c r="AO2" i="2"/>
  <c r="AP2" i="2"/>
  <c r="AQ2" i="2"/>
  <c r="J155" i="7" l="1"/>
  <c r="N155" i="7" s="1"/>
  <c r="O155" i="7" s="1"/>
  <c r="G155" i="7"/>
  <c r="F155" i="7"/>
  <c r="J154" i="7"/>
  <c r="F154" i="7"/>
  <c r="G154" i="7" s="1"/>
  <c r="N154" i="7" s="1"/>
  <c r="O154" i="7" s="1"/>
  <c r="J153" i="7"/>
  <c r="F153" i="7"/>
  <c r="G153" i="7" s="1"/>
  <c r="N153" i="7" s="1"/>
  <c r="O153" i="7" s="1"/>
  <c r="J152" i="7"/>
  <c r="F152" i="7"/>
  <c r="G152" i="7" s="1"/>
  <c r="N152" i="7" s="1"/>
  <c r="O152" i="7" s="1"/>
  <c r="J151" i="7"/>
  <c r="G151" i="7"/>
  <c r="N151" i="7" s="1"/>
  <c r="O151" i="7" s="1"/>
  <c r="F151" i="7"/>
  <c r="J150" i="7"/>
  <c r="F150" i="7"/>
  <c r="G150" i="7" s="1"/>
  <c r="N150" i="7" s="1"/>
  <c r="O150" i="7" s="1"/>
  <c r="J149" i="7"/>
  <c r="G149" i="7"/>
  <c r="N149" i="7" s="1"/>
  <c r="O149" i="7" s="1"/>
  <c r="F149" i="7"/>
  <c r="J148" i="7"/>
  <c r="F148" i="7"/>
  <c r="G148" i="7" s="1"/>
  <c r="N148" i="7" s="1"/>
  <c r="O148" i="7" s="1"/>
  <c r="J147" i="7"/>
  <c r="F147" i="7"/>
  <c r="G147" i="7" s="1"/>
  <c r="N147" i="7" s="1"/>
  <c r="O147" i="7" s="1"/>
  <c r="J146" i="7"/>
  <c r="F146" i="7"/>
  <c r="G146" i="7" s="1"/>
  <c r="N146" i="7" s="1"/>
  <c r="O146" i="7" s="1"/>
  <c r="J145" i="7"/>
  <c r="G145" i="7"/>
  <c r="N145" i="7" s="1"/>
  <c r="O145" i="7" s="1"/>
  <c r="F145" i="7"/>
  <c r="J144" i="7"/>
  <c r="F144" i="7"/>
  <c r="G144" i="7" s="1"/>
  <c r="N144" i="7" s="1"/>
  <c r="O144" i="7" s="1"/>
  <c r="J143" i="7"/>
  <c r="N143" i="7" s="1"/>
  <c r="O143" i="7" s="1"/>
  <c r="G143" i="7"/>
  <c r="F143" i="7"/>
  <c r="J142" i="7"/>
  <c r="F142" i="7"/>
  <c r="G142" i="7" s="1"/>
  <c r="N142" i="7" s="1"/>
  <c r="O142" i="7" s="1"/>
  <c r="J141" i="7"/>
  <c r="F141" i="7"/>
  <c r="G141" i="7" s="1"/>
  <c r="N141" i="7" s="1"/>
  <c r="O141" i="7" s="1"/>
  <c r="J140" i="7"/>
  <c r="F140" i="7"/>
  <c r="G140" i="7" s="1"/>
  <c r="N140" i="7" s="1"/>
  <c r="O140" i="7" s="1"/>
  <c r="J139" i="7"/>
  <c r="G139" i="7"/>
  <c r="N139" i="7" s="1"/>
  <c r="O139" i="7" s="1"/>
  <c r="F139" i="7"/>
  <c r="J138" i="7"/>
  <c r="F138" i="7"/>
  <c r="G138" i="7" s="1"/>
  <c r="N138" i="7" s="1"/>
  <c r="O138" i="7" s="1"/>
  <c r="J137" i="7"/>
  <c r="N137" i="7" s="1"/>
  <c r="O137" i="7" s="1"/>
  <c r="G137" i="7"/>
  <c r="F137" i="7"/>
  <c r="J136" i="7"/>
  <c r="F136" i="7"/>
  <c r="G136" i="7" s="1"/>
  <c r="N136" i="7" s="1"/>
  <c r="O136" i="7" s="1"/>
  <c r="J135" i="7"/>
  <c r="F135" i="7"/>
  <c r="G135" i="7" s="1"/>
  <c r="N135" i="7" s="1"/>
  <c r="O135" i="7" s="1"/>
  <c r="J134" i="7"/>
  <c r="F134" i="7"/>
  <c r="G134" i="7" s="1"/>
  <c r="N134" i="7" s="1"/>
  <c r="O134" i="7" s="1"/>
  <c r="J133" i="7"/>
  <c r="G133" i="7"/>
  <c r="N133" i="7" s="1"/>
  <c r="O133" i="7" s="1"/>
  <c r="F133" i="7"/>
  <c r="J132" i="7"/>
  <c r="F132" i="7"/>
  <c r="G132" i="7" s="1"/>
  <c r="N132" i="7" s="1"/>
  <c r="O132" i="7" s="1"/>
  <c r="J131" i="7"/>
  <c r="G131" i="7"/>
  <c r="N131" i="7" s="1"/>
  <c r="O131" i="7" s="1"/>
  <c r="F131" i="7"/>
  <c r="J130" i="7"/>
  <c r="F130" i="7"/>
  <c r="G130" i="7" s="1"/>
  <c r="N130" i="7" s="1"/>
  <c r="O130" i="7" s="1"/>
  <c r="J129" i="7"/>
  <c r="F129" i="7"/>
  <c r="G129" i="7" s="1"/>
  <c r="N129" i="7" s="1"/>
  <c r="O129" i="7" s="1"/>
  <c r="J128" i="7"/>
  <c r="F128" i="7"/>
  <c r="G128" i="7" s="1"/>
  <c r="N128" i="7" s="1"/>
  <c r="O128" i="7" s="1"/>
  <c r="J127" i="7"/>
  <c r="G127" i="7"/>
  <c r="N127" i="7" s="1"/>
  <c r="O127" i="7" s="1"/>
  <c r="F127" i="7"/>
  <c r="J126" i="7"/>
  <c r="F126" i="7"/>
  <c r="G126" i="7" s="1"/>
  <c r="N126" i="7" s="1"/>
  <c r="O126" i="7" s="1"/>
  <c r="J125" i="7"/>
  <c r="G125" i="7"/>
  <c r="N125" i="7" s="1"/>
  <c r="O125" i="7" s="1"/>
  <c r="F125" i="7"/>
  <c r="J124" i="7"/>
  <c r="F124" i="7"/>
  <c r="G124" i="7" s="1"/>
  <c r="N124" i="7" s="1"/>
  <c r="O124" i="7" s="1"/>
  <c r="J123" i="7"/>
  <c r="F123" i="7"/>
  <c r="G123" i="7" s="1"/>
  <c r="N123" i="7" s="1"/>
  <c r="O123" i="7" s="1"/>
  <c r="J122" i="7"/>
  <c r="F122" i="7"/>
  <c r="G122" i="7" s="1"/>
  <c r="N122" i="7" s="1"/>
  <c r="O122" i="7" s="1"/>
  <c r="J121" i="7"/>
  <c r="G121" i="7"/>
  <c r="N121" i="7" s="1"/>
  <c r="O121" i="7" s="1"/>
  <c r="F121" i="7"/>
  <c r="J120" i="7"/>
  <c r="F120" i="7"/>
  <c r="G120" i="7" s="1"/>
  <c r="N120" i="7" s="1"/>
  <c r="O120" i="7" s="1"/>
  <c r="J119" i="7"/>
  <c r="G119" i="7"/>
  <c r="N119" i="7" s="1"/>
  <c r="O119" i="7" s="1"/>
  <c r="F119" i="7"/>
  <c r="J118" i="7"/>
  <c r="F118" i="7"/>
  <c r="G118" i="7" s="1"/>
  <c r="N118" i="7" s="1"/>
  <c r="O118" i="7" s="1"/>
  <c r="J117" i="7"/>
  <c r="F117" i="7"/>
  <c r="G117" i="7" s="1"/>
  <c r="N117" i="7" s="1"/>
  <c r="O117" i="7" s="1"/>
  <c r="J116" i="7"/>
  <c r="F116" i="7"/>
  <c r="G116" i="7" s="1"/>
  <c r="N116" i="7" s="1"/>
  <c r="O116" i="7" s="1"/>
  <c r="J115" i="7"/>
  <c r="G115" i="7"/>
  <c r="N115" i="7" s="1"/>
  <c r="O115" i="7" s="1"/>
  <c r="F115" i="7"/>
  <c r="J114" i="7"/>
  <c r="F114" i="7"/>
  <c r="G114" i="7" s="1"/>
  <c r="N114" i="7" s="1"/>
  <c r="O114" i="7" s="1"/>
  <c r="J113" i="7"/>
  <c r="G113" i="7"/>
  <c r="N113" i="7" s="1"/>
  <c r="O113" i="7" s="1"/>
  <c r="F113" i="7"/>
  <c r="J112" i="7"/>
  <c r="F112" i="7"/>
  <c r="G112" i="7" s="1"/>
  <c r="N112" i="7" s="1"/>
  <c r="O112" i="7" s="1"/>
  <c r="J111" i="7"/>
  <c r="F111" i="7"/>
  <c r="G111" i="7" s="1"/>
  <c r="N111" i="7" s="1"/>
  <c r="O111" i="7" s="1"/>
  <c r="J110" i="7"/>
  <c r="F110" i="7"/>
  <c r="G110" i="7" s="1"/>
  <c r="N110" i="7" s="1"/>
  <c r="O110" i="7" s="1"/>
  <c r="J109" i="7"/>
  <c r="G109" i="7"/>
  <c r="N109" i="7" s="1"/>
  <c r="O109" i="7" s="1"/>
  <c r="F109" i="7"/>
  <c r="J108" i="7"/>
  <c r="F108" i="7"/>
  <c r="G108" i="7" s="1"/>
  <c r="N108" i="7" s="1"/>
  <c r="O108" i="7" s="1"/>
  <c r="J107" i="7"/>
  <c r="G107" i="7"/>
  <c r="N107" i="7" s="1"/>
  <c r="O107" i="7" s="1"/>
  <c r="F107" i="7"/>
  <c r="J106" i="7"/>
  <c r="F106" i="7"/>
  <c r="G106" i="7" s="1"/>
  <c r="N106" i="7" s="1"/>
  <c r="O106" i="7" s="1"/>
  <c r="J105" i="7"/>
  <c r="F105" i="7"/>
  <c r="G105" i="7" s="1"/>
  <c r="N105" i="7" s="1"/>
  <c r="O105" i="7" s="1"/>
  <c r="J104" i="7"/>
  <c r="F104" i="7"/>
  <c r="G104" i="7" s="1"/>
  <c r="N104" i="7" s="1"/>
  <c r="O104" i="7" s="1"/>
  <c r="J103" i="7"/>
  <c r="G103" i="7"/>
  <c r="N103" i="7" s="1"/>
  <c r="O103" i="7" s="1"/>
  <c r="F103" i="7"/>
  <c r="J102" i="7"/>
  <c r="F102" i="7"/>
  <c r="G102" i="7" s="1"/>
  <c r="N102" i="7" s="1"/>
  <c r="O102" i="7" s="1"/>
  <c r="J101" i="7"/>
  <c r="G101" i="7"/>
  <c r="N101" i="7" s="1"/>
  <c r="O101" i="7" s="1"/>
  <c r="F101" i="7"/>
  <c r="J100" i="7"/>
  <c r="F100" i="7"/>
  <c r="G100" i="7" s="1"/>
  <c r="N100" i="7" s="1"/>
  <c r="O100" i="7" s="1"/>
  <c r="J99" i="7"/>
  <c r="F99" i="7"/>
  <c r="G99" i="7" s="1"/>
  <c r="N99" i="7" s="1"/>
  <c r="O99" i="7" s="1"/>
  <c r="J98" i="7"/>
  <c r="F98" i="7"/>
  <c r="G98" i="7" s="1"/>
  <c r="N98" i="7" s="1"/>
  <c r="O98" i="7" s="1"/>
  <c r="J97" i="7"/>
  <c r="G97" i="7"/>
  <c r="N97" i="7" s="1"/>
  <c r="O97" i="7" s="1"/>
  <c r="F97" i="7"/>
  <c r="J96" i="7"/>
  <c r="F96" i="7"/>
  <c r="G96" i="7" s="1"/>
  <c r="N96" i="7" s="1"/>
  <c r="O96" i="7" s="1"/>
  <c r="J95" i="7"/>
  <c r="G95" i="7"/>
  <c r="N95" i="7" s="1"/>
  <c r="O95" i="7" s="1"/>
  <c r="F95" i="7"/>
  <c r="J94" i="7"/>
  <c r="F94" i="7"/>
  <c r="G94" i="7" s="1"/>
  <c r="N94" i="7" s="1"/>
  <c r="O94" i="7" s="1"/>
  <c r="J93" i="7"/>
  <c r="F93" i="7"/>
  <c r="G93" i="7" s="1"/>
  <c r="N93" i="7" s="1"/>
  <c r="O93" i="7" s="1"/>
  <c r="J92" i="7"/>
  <c r="F92" i="7"/>
  <c r="G92" i="7" s="1"/>
  <c r="N92" i="7" s="1"/>
  <c r="O92" i="7" s="1"/>
  <c r="J91" i="7"/>
  <c r="G91" i="7"/>
  <c r="N91" i="7" s="1"/>
  <c r="O91" i="7" s="1"/>
  <c r="F91" i="7"/>
  <c r="J90" i="7"/>
  <c r="F90" i="7"/>
  <c r="G90" i="7" s="1"/>
  <c r="N90" i="7" s="1"/>
  <c r="O90" i="7" s="1"/>
  <c r="J89" i="7"/>
  <c r="G89" i="7"/>
  <c r="N89" i="7" s="1"/>
  <c r="O89" i="7" s="1"/>
  <c r="F89" i="7"/>
  <c r="J88" i="7"/>
  <c r="F88" i="7"/>
  <c r="G88" i="7" s="1"/>
  <c r="N88" i="7" s="1"/>
  <c r="O88" i="7" s="1"/>
  <c r="J87" i="7"/>
  <c r="F87" i="7"/>
  <c r="G87" i="7" s="1"/>
  <c r="N87" i="7" s="1"/>
  <c r="O87" i="7" s="1"/>
  <c r="J86" i="7"/>
  <c r="F86" i="7"/>
  <c r="G86" i="7" s="1"/>
  <c r="J85" i="7"/>
  <c r="G85" i="7"/>
  <c r="N85" i="7" s="1"/>
  <c r="O85" i="7" s="1"/>
  <c r="F85" i="7"/>
  <c r="J84" i="7"/>
  <c r="F84" i="7"/>
  <c r="G84" i="7" s="1"/>
  <c r="N84" i="7" s="1"/>
  <c r="O84" i="7" s="1"/>
  <c r="J83" i="7"/>
  <c r="G83" i="7"/>
  <c r="N83" i="7" s="1"/>
  <c r="O83" i="7" s="1"/>
  <c r="F83" i="7"/>
  <c r="J82" i="7"/>
  <c r="F82" i="7"/>
  <c r="G82" i="7" s="1"/>
  <c r="N82" i="7" s="1"/>
  <c r="O82" i="7" s="1"/>
  <c r="J81" i="7"/>
  <c r="F81" i="7"/>
  <c r="G81" i="7" s="1"/>
  <c r="N81" i="7" s="1"/>
  <c r="O81" i="7" s="1"/>
  <c r="J80" i="7"/>
  <c r="F80" i="7"/>
  <c r="G80" i="7" s="1"/>
  <c r="N80" i="7" s="1"/>
  <c r="O80" i="7" s="1"/>
  <c r="J79" i="7"/>
  <c r="G79" i="7"/>
  <c r="N79" i="7" s="1"/>
  <c r="O79" i="7" s="1"/>
  <c r="F79" i="7"/>
  <c r="J78" i="7"/>
  <c r="F78" i="7"/>
  <c r="G78" i="7" s="1"/>
  <c r="N78" i="7" s="1"/>
  <c r="O78" i="7" s="1"/>
  <c r="J77" i="7"/>
  <c r="G77" i="7"/>
  <c r="N77" i="7" s="1"/>
  <c r="O77" i="7" s="1"/>
  <c r="F77" i="7"/>
  <c r="O76" i="7"/>
  <c r="J76" i="7"/>
  <c r="F76" i="7"/>
  <c r="G76" i="7" s="1"/>
  <c r="N76" i="7" s="1"/>
  <c r="N75" i="7"/>
  <c r="O75" i="7" s="1"/>
  <c r="J75" i="7"/>
  <c r="F75" i="7"/>
  <c r="G75" i="7" s="1"/>
  <c r="J74" i="7"/>
  <c r="F74" i="7"/>
  <c r="G74" i="7" s="1"/>
  <c r="N74" i="7" s="1"/>
  <c r="O74" i="7" s="1"/>
  <c r="J73" i="7"/>
  <c r="G73" i="7"/>
  <c r="N73" i="7" s="1"/>
  <c r="O73" i="7" s="1"/>
  <c r="F73" i="7"/>
  <c r="J72" i="7"/>
  <c r="F72" i="7"/>
  <c r="G72" i="7" s="1"/>
  <c r="N72" i="7" s="1"/>
  <c r="O72" i="7" s="1"/>
  <c r="J71" i="7"/>
  <c r="G71" i="7"/>
  <c r="N71" i="7" s="1"/>
  <c r="O71" i="7" s="1"/>
  <c r="F71" i="7"/>
  <c r="O70" i="7"/>
  <c r="J70" i="7"/>
  <c r="F70" i="7"/>
  <c r="G70" i="7" s="1"/>
  <c r="N70" i="7" s="1"/>
  <c r="N69" i="7"/>
  <c r="O69" i="7" s="1"/>
  <c r="J69" i="7"/>
  <c r="F69" i="7"/>
  <c r="G69" i="7" s="1"/>
  <c r="J68" i="7"/>
  <c r="F68" i="7"/>
  <c r="G68" i="7" s="1"/>
  <c r="J67" i="7"/>
  <c r="G67" i="7"/>
  <c r="N67" i="7" s="1"/>
  <c r="O67" i="7" s="1"/>
  <c r="F67" i="7"/>
  <c r="J66" i="7"/>
  <c r="F66" i="7"/>
  <c r="G66" i="7" s="1"/>
  <c r="N66" i="7" s="1"/>
  <c r="O66" i="7" s="1"/>
  <c r="J65" i="7"/>
  <c r="G65" i="7"/>
  <c r="N65" i="7" s="1"/>
  <c r="O65" i="7" s="1"/>
  <c r="F65" i="7"/>
  <c r="J64" i="7"/>
  <c r="F64" i="7"/>
  <c r="G64" i="7" s="1"/>
  <c r="N64" i="7" s="1"/>
  <c r="O64" i="7" s="1"/>
  <c r="J63" i="7"/>
  <c r="F63" i="7"/>
  <c r="G63" i="7" s="1"/>
  <c r="N63" i="7" s="1"/>
  <c r="O63" i="7" s="1"/>
  <c r="J62" i="7"/>
  <c r="F62" i="7"/>
  <c r="G62" i="7" s="1"/>
  <c r="N62" i="7" s="1"/>
  <c r="O62" i="7" s="1"/>
  <c r="J61" i="7"/>
  <c r="G61" i="7"/>
  <c r="N61" i="7" s="1"/>
  <c r="O61" i="7" s="1"/>
  <c r="F61" i="7"/>
  <c r="J60" i="7"/>
  <c r="F60" i="7"/>
  <c r="G60" i="7" s="1"/>
  <c r="N60" i="7" s="1"/>
  <c r="O60" i="7" s="1"/>
  <c r="J59" i="7"/>
  <c r="G59" i="7"/>
  <c r="N59" i="7" s="1"/>
  <c r="O59" i="7" s="1"/>
  <c r="F59" i="7"/>
  <c r="O58" i="7"/>
  <c r="J58" i="7"/>
  <c r="F58" i="7"/>
  <c r="G58" i="7" s="1"/>
  <c r="N58" i="7" s="1"/>
  <c r="N57" i="7"/>
  <c r="O57" i="7" s="1"/>
  <c r="J57" i="7"/>
  <c r="F57" i="7"/>
  <c r="G57" i="7" s="1"/>
  <c r="J56" i="7"/>
  <c r="F56" i="7"/>
  <c r="G56" i="7" s="1"/>
  <c r="J55" i="7"/>
  <c r="G55" i="7"/>
  <c r="N55" i="7" s="1"/>
  <c r="O55" i="7" s="1"/>
  <c r="F55" i="7"/>
  <c r="J54" i="7"/>
  <c r="F54" i="7"/>
  <c r="G54" i="7" s="1"/>
  <c r="N54" i="7" s="1"/>
  <c r="O54" i="7" s="1"/>
  <c r="J53" i="7"/>
  <c r="G53" i="7"/>
  <c r="N53" i="7" s="1"/>
  <c r="O53" i="7" s="1"/>
  <c r="F53" i="7"/>
  <c r="O52" i="7"/>
  <c r="J52" i="7"/>
  <c r="F52" i="7"/>
  <c r="G52" i="7" s="1"/>
  <c r="N52" i="7" s="1"/>
  <c r="N51" i="7"/>
  <c r="O51" i="7" s="1"/>
  <c r="J51" i="7"/>
  <c r="F51" i="7"/>
  <c r="G51" i="7" s="1"/>
  <c r="J50" i="7"/>
  <c r="F50" i="7"/>
  <c r="G50" i="7" s="1"/>
  <c r="J49" i="7"/>
  <c r="G49" i="7"/>
  <c r="N49" i="7" s="1"/>
  <c r="O49" i="7" s="1"/>
  <c r="F49" i="7"/>
  <c r="J48" i="7"/>
  <c r="F48" i="7"/>
  <c r="G48" i="7" s="1"/>
  <c r="N48" i="7" s="1"/>
  <c r="O48" i="7" s="1"/>
  <c r="J47" i="7"/>
  <c r="G47" i="7"/>
  <c r="N47" i="7" s="1"/>
  <c r="O47" i="7" s="1"/>
  <c r="F47" i="7"/>
  <c r="J46" i="7"/>
  <c r="F46" i="7"/>
  <c r="G46" i="7" s="1"/>
  <c r="N46" i="7" s="1"/>
  <c r="O46" i="7" s="1"/>
  <c r="J45" i="7"/>
  <c r="F45" i="7"/>
  <c r="G45" i="7" s="1"/>
  <c r="N45" i="7" s="1"/>
  <c r="O45" i="7" s="1"/>
  <c r="J44" i="7"/>
  <c r="F44" i="7"/>
  <c r="G44" i="7" s="1"/>
  <c r="N44" i="7" s="1"/>
  <c r="O44" i="7" s="1"/>
  <c r="J43" i="7"/>
  <c r="G43" i="7"/>
  <c r="N43" i="7" s="1"/>
  <c r="O43" i="7" s="1"/>
  <c r="F43" i="7"/>
  <c r="J42" i="7"/>
  <c r="F42" i="7"/>
  <c r="G42" i="7" s="1"/>
  <c r="N42" i="7" s="1"/>
  <c r="O42" i="7" s="1"/>
  <c r="J41" i="7"/>
  <c r="G41" i="7"/>
  <c r="N41" i="7" s="1"/>
  <c r="O41" i="7" s="1"/>
  <c r="F41" i="7"/>
  <c r="O40" i="7"/>
  <c r="J40" i="7"/>
  <c r="F40" i="7"/>
  <c r="G40" i="7" s="1"/>
  <c r="N40" i="7" s="1"/>
  <c r="N39" i="7"/>
  <c r="O39" i="7" s="1"/>
  <c r="J39" i="7"/>
  <c r="F39" i="7"/>
  <c r="G39" i="7" s="1"/>
  <c r="J38" i="7"/>
  <c r="F38" i="7"/>
  <c r="G38" i="7" s="1"/>
  <c r="J37" i="7"/>
  <c r="G37" i="7"/>
  <c r="N37" i="7" s="1"/>
  <c r="O37" i="7" s="1"/>
  <c r="F37" i="7"/>
  <c r="J36" i="7"/>
  <c r="F36" i="7"/>
  <c r="G36" i="7" s="1"/>
  <c r="N36" i="7" s="1"/>
  <c r="O36" i="7" s="1"/>
  <c r="J35" i="7"/>
  <c r="G35" i="7"/>
  <c r="N35" i="7" s="1"/>
  <c r="O35" i="7" s="1"/>
  <c r="F35" i="7"/>
  <c r="O34" i="7"/>
  <c r="J34" i="7"/>
  <c r="F34" i="7"/>
  <c r="G34" i="7" s="1"/>
  <c r="N34" i="7" s="1"/>
  <c r="N33" i="7"/>
  <c r="O33" i="7" s="1"/>
  <c r="J33" i="7"/>
  <c r="F33" i="7"/>
  <c r="G33" i="7" s="1"/>
  <c r="J32" i="7"/>
  <c r="F32" i="7"/>
  <c r="G32" i="7" s="1"/>
  <c r="J31" i="7"/>
  <c r="G31" i="7"/>
  <c r="N31" i="7" s="1"/>
  <c r="O31" i="7" s="1"/>
  <c r="F31" i="7"/>
  <c r="J30" i="7"/>
  <c r="F30" i="7"/>
  <c r="G30" i="7" s="1"/>
  <c r="N30" i="7" s="1"/>
  <c r="O30" i="7" s="1"/>
  <c r="J29" i="7"/>
  <c r="G29" i="7"/>
  <c r="N29" i="7" s="1"/>
  <c r="O29" i="7" s="1"/>
  <c r="F29" i="7"/>
  <c r="J28" i="7"/>
  <c r="F28" i="7"/>
  <c r="G28" i="7" s="1"/>
  <c r="N28" i="7" s="1"/>
  <c r="O28" i="7" s="1"/>
  <c r="J27" i="7"/>
  <c r="F27" i="7"/>
  <c r="G27" i="7" s="1"/>
  <c r="N27" i="7" s="1"/>
  <c r="O27" i="7" s="1"/>
  <c r="J26" i="7"/>
  <c r="F26" i="7"/>
  <c r="G26" i="7" s="1"/>
  <c r="N26" i="7" s="1"/>
  <c r="O26" i="7" s="1"/>
  <c r="J25" i="7"/>
  <c r="G25" i="7"/>
  <c r="N25" i="7" s="1"/>
  <c r="O25" i="7" s="1"/>
  <c r="F25" i="7"/>
  <c r="J24" i="7"/>
  <c r="F24" i="7"/>
  <c r="G24" i="7" s="1"/>
  <c r="N24" i="7" s="1"/>
  <c r="O24" i="7" s="1"/>
  <c r="J23" i="7"/>
  <c r="G23" i="7"/>
  <c r="N23" i="7" s="1"/>
  <c r="O23" i="7" s="1"/>
  <c r="F23" i="7"/>
  <c r="O22" i="7"/>
  <c r="J22" i="7"/>
  <c r="F22" i="7"/>
  <c r="G22" i="7" s="1"/>
  <c r="N22" i="7" s="1"/>
  <c r="N21" i="7"/>
  <c r="O21" i="7" s="1"/>
  <c r="J21" i="7"/>
  <c r="F21" i="7"/>
  <c r="G21" i="7" s="1"/>
  <c r="J20" i="7"/>
  <c r="F20" i="7"/>
  <c r="G20" i="7" s="1"/>
  <c r="J19" i="7"/>
  <c r="G19" i="7"/>
  <c r="N19" i="7" s="1"/>
  <c r="O19" i="7" s="1"/>
  <c r="F19" i="7"/>
  <c r="J18" i="7"/>
  <c r="F18" i="7"/>
  <c r="G18" i="7" s="1"/>
  <c r="N18" i="7" s="1"/>
  <c r="O18" i="7" s="1"/>
  <c r="J17" i="7"/>
  <c r="G17" i="7"/>
  <c r="N17" i="7" s="1"/>
  <c r="O17" i="7" s="1"/>
  <c r="F17" i="7"/>
  <c r="O16" i="7"/>
  <c r="J16" i="7"/>
  <c r="F16" i="7"/>
  <c r="G16" i="7" s="1"/>
  <c r="N16" i="7" s="1"/>
  <c r="N15" i="7"/>
  <c r="O15" i="7" s="1"/>
  <c r="J15" i="7"/>
  <c r="F15" i="7"/>
  <c r="G15" i="7" s="1"/>
  <c r="J14" i="7"/>
  <c r="F14" i="7"/>
  <c r="G14" i="7" s="1"/>
  <c r="J13" i="7"/>
  <c r="G13" i="7"/>
  <c r="N13" i="7" s="1"/>
  <c r="O13" i="7" s="1"/>
  <c r="F13" i="7"/>
  <c r="J12" i="7"/>
  <c r="F12" i="7"/>
  <c r="G12" i="7" s="1"/>
  <c r="N12" i="7" s="1"/>
  <c r="O12" i="7" s="1"/>
  <c r="J11" i="7"/>
  <c r="G11" i="7"/>
  <c r="N11" i="7" s="1"/>
  <c r="O11" i="7" s="1"/>
  <c r="F11" i="7"/>
  <c r="J10" i="7"/>
  <c r="G10" i="7"/>
  <c r="N10" i="7" s="1"/>
  <c r="O10" i="7" s="1"/>
  <c r="F10" i="7"/>
  <c r="N9" i="7"/>
  <c r="O9" i="7" s="1"/>
  <c r="J9" i="7"/>
  <c r="F9" i="7"/>
  <c r="G9" i="7" s="1"/>
  <c r="J8" i="7"/>
  <c r="F8" i="7"/>
  <c r="G8" i="7" s="1"/>
  <c r="N8" i="7" s="1"/>
  <c r="O8" i="7" s="1"/>
  <c r="J7" i="7"/>
  <c r="G7" i="7"/>
  <c r="N7" i="7" s="1"/>
  <c r="O7" i="7" s="1"/>
  <c r="F7" i="7"/>
  <c r="J6" i="7"/>
  <c r="F6" i="7"/>
  <c r="G6" i="7" s="1"/>
  <c r="N6" i="7" s="1"/>
  <c r="O6" i="7" s="1"/>
  <c r="J5" i="7"/>
  <c r="G5" i="7"/>
  <c r="N5" i="7" s="1"/>
  <c r="O5" i="7" s="1"/>
  <c r="F5" i="7"/>
  <c r="J4" i="7"/>
  <c r="G4" i="7"/>
  <c r="N4" i="7" s="1"/>
  <c r="O4" i="7" s="1"/>
  <c r="F4" i="7"/>
  <c r="J3" i="7"/>
  <c r="F3" i="7"/>
  <c r="G3" i="7" s="1"/>
  <c r="N3" i="7" s="1"/>
  <c r="O3" i="7" s="1"/>
  <c r="J2" i="7"/>
  <c r="F2" i="7"/>
  <c r="G2" i="7" s="1"/>
  <c r="N2" i="7" s="1"/>
  <c r="O2" i="7" s="1"/>
  <c r="N20" i="7" l="1"/>
  <c r="O20" i="7" s="1"/>
  <c r="N38" i="7"/>
  <c r="O38" i="7" s="1"/>
  <c r="N56" i="7"/>
  <c r="O56" i="7" s="1"/>
  <c r="N14" i="7"/>
  <c r="O14" i="7" s="1"/>
  <c r="N32" i="7"/>
  <c r="O32" i="7" s="1"/>
  <c r="N50" i="7"/>
  <c r="O50" i="7" s="1"/>
  <c r="N68" i="7"/>
  <c r="O68" i="7" s="1"/>
  <c r="N86" i="7"/>
  <c r="O86" i="7" s="1"/>
  <c r="L10" i="2" l="1"/>
  <c r="L2" i="2" l="1"/>
  <c r="L109" i="2" l="1"/>
  <c r="AL17" i="2" s="1"/>
  <c r="L107" i="2"/>
  <c r="AL16" i="2" s="1"/>
  <c r="L12" i="2"/>
  <c r="L6" i="2"/>
  <c r="L139" i="2"/>
  <c r="L102" i="2"/>
  <c r="L144" i="2"/>
  <c r="AL23" i="2" s="1"/>
  <c r="L143" i="2"/>
  <c r="AL22" i="2" s="1"/>
  <c r="L131" i="2"/>
  <c r="L120" i="2"/>
  <c r="L108" i="2"/>
  <c r="L106" i="2"/>
  <c r="L87" i="2"/>
  <c r="L83" i="2"/>
  <c r="L150" i="2"/>
  <c r="L149" i="2"/>
  <c r="AL26" i="2" s="1"/>
  <c r="L142" i="2"/>
  <c r="L141" i="2"/>
  <c r="L138" i="2"/>
  <c r="L129" i="2"/>
  <c r="L121" i="2"/>
  <c r="L114" i="2"/>
  <c r="L110" i="2"/>
  <c r="L93" i="2"/>
  <c r="L154" i="2"/>
  <c r="L148" i="2"/>
  <c r="AL25" i="2" s="1"/>
  <c r="L140" i="2"/>
  <c r="L134" i="2"/>
  <c r="L125" i="2"/>
  <c r="AL21" i="2" s="1"/>
  <c r="L113" i="2"/>
  <c r="L112" i="2"/>
  <c r="L99" i="2"/>
  <c r="L101" i="2"/>
  <c r="L152" i="2"/>
  <c r="L89" i="2"/>
  <c r="L135" i="2"/>
  <c r="L133" i="2"/>
  <c r="L118" i="2"/>
  <c r="L116" i="2"/>
  <c r="AL20" i="2" s="1"/>
  <c r="L98" i="2"/>
  <c r="L90" i="2"/>
  <c r="L88" i="2"/>
  <c r="L78" i="2"/>
  <c r="L77" i="2"/>
  <c r="L76" i="2"/>
  <c r="L75" i="2"/>
  <c r="L74" i="2"/>
  <c r="L73" i="2"/>
  <c r="L72" i="2"/>
  <c r="L71" i="2"/>
  <c r="AL15" i="2" s="1"/>
  <c r="L70" i="2"/>
  <c r="AL14" i="2" s="1"/>
  <c r="L68" i="2"/>
  <c r="L67" i="2"/>
  <c r="AL13" i="2" s="1"/>
  <c r="L66" i="2"/>
  <c r="AL12" i="2" s="1"/>
  <c r="L65" i="2"/>
  <c r="AL11" i="2" s="1"/>
  <c r="L64" i="2"/>
  <c r="L63" i="2"/>
  <c r="L62" i="2"/>
  <c r="L61" i="2"/>
  <c r="L60" i="2"/>
  <c r="L59" i="2"/>
  <c r="L58" i="2"/>
  <c r="L57" i="2"/>
  <c r="L55" i="2"/>
  <c r="L54" i="2"/>
  <c r="AL10" i="2" s="1"/>
  <c r="L52" i="2"/>
  <c r="L51" i="2"/>
  <c r="L50" i="2"/>
  <c r="L49" i="2"/>
  <c r="AL9" i="2" s="1"/>
  <c r="L48" i="2"/>
  <c r="L47" i="2"/>
  <c r="L46" i="2"/>
  <c r="AL8" i="2" s="1"/>
  <c r="L45" i="2"/>
  <c r="AL7" i="2" s="1"/>
  <c r="L44" i="2"/>
  <c r="AL6" i="2" s="1"/>
  <c r="L42" i="2"/>
  <c r="L41" i="2"/>
  <c r="L31" i="2"/>
  <c r="L40" i="2"/>
  <c r="L39" i="2"/>
  <c r="L37" i="2"/>
  <c r="L33" i="2"/>
  <c r="L36" i="2"/>
  <c r="L29" i="2"/>
  <c r="L26" i="2"/>
  <c r="AL4" i="2" s="1"/>
  <c r="L21" i="2"/>
  <c r="L18" i="2"/>
  <c r="AL3" i="2" s="1"/>
  <c r="L17" i="2"/>
  <c r="L14" i="2"/>
  <c r="AL2" i="2" s="1"/>
  <c r="L13" i="2"/>
  <c r="L11" i="2" l="1"/>
  <c r="L9" i="2"/>
  <c r="L7" i="2" l="1"/>
  <c r="L3" i="2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4" i="4"/>
  <c r="I45" i="4"/>
  <c r="I46" i="4"/>
  <c r="I47" i="4"/>
  <c r="I48" i="4"/>
  <c r="I49" i="4"/>
  <c r="I50" i="4"/>
  <c r="I51" i="4"/>
  <c r="I52" i="4"/>
  <c r="I53" i="4"/>
  <c r="I54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2" i="4"/>
  <c r="F2" i="5" l="1"/>
  <c r="E3" i="5" s="1"/>
  <c r="E25" i="5" l="1"/>
  <c r="E22" i="5"/>
  <c r="E24" i="5"/>
  <c r="E30" i="5"/>
  <c r="E23" i="5"/>
  <c r="E29" i="5"/>
  <c r="E26" i="5"/>
  <c r="E28" i="5"/>
  <c r="E27" i="5"/>
  <c r="E20" i="5"/>
  <c r="E15" i="5"/>
  <c r="E10" i="5"/>
  <c r="E17" i="5"/>
  <c r="E18" i="5"/>
  <c r="E19" i="5"/>
  <c r="E11" i="5"/>
  <c r="E9" i="5"/>
  <c r="E14" i="5"/>
  <c r="E16" i="5"/>
  <c r="E13" i="5"/>
  <c r="E21" i="5"/>
  <c r="E7" i="5"/>
  <c r="E8" i="5"/>
  <c r="E6" i="5"/>
  <c r="E2" i="5"/>
  <c r="E5" i="5"/>
  <c r="E4" i="5"/>
  <c r="B17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" i="1"/>
  <c r="T1" i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2" i="3"/>
</calcChain>
</file>

<file path=xl/sharedStrings.xml><?xml version="1.0" encoding="utf-8"?>
<sst xmlns="http://schemas.openxmlformats.org/spreadsheetml/2006/main" count="3535" uniqueCount="636">
  <si>
    <t>Ac2O3</t>
  </si>
  <si>
    <t>Ac</t>
  </si>
  <si>
    <t>Ag2O</t>
  </si>
  <si>
    <t>Ag</t>
  </si>
  <si>
    <t>Ag3O4</t>
  </si>
  <si>
    <t>AgO</t>
  </si>
  <si>
    <t>Al2O3</t>
  </si>
  <si>
    <t>Al</t>
  </si>
  <si>
    <t>As2O3</t>
  </si>
  <si>
    <t>As</t>
  </si>
  <si>
    <t>As2O5</t>
  </si>
  <si>
    <t>Au2O3</t>
  </si>
  <si>
    <t>Au</t>
  </si>
  <si>
    <t>B2O3</t>
  </si>
  <si>
    <t>B6O</t>
  </si>
  <si>
    <t>B</t>
  </si>
  <si>
    <t>BaO</t>
  </si>
  <si>
    <t>Ba</t>
  </si>
  <si>
    <t>BaO2</t>
  </si>
  <si>
    <t>BeO</t>
  </si>
  <si>
    <t>Be</t>
  </si>
  <si>
    <t>Bi2O3</t>
  </si>
  <si>
    <t>Bi</t>
  </si>
  <si>
    <t>Bi4O7</t>
  </si>
  <si>
    <t>BiO2</t>
  </si>
  <si>
    <t>CaO</t>
  </si>
  <si>
    <t>Ca</t>
  </si>
  <si>
    <t>CdO</t>
  </si>
  <si>
    <t>Cd</t>
  </si>
  <si>
    <t>Ce11O20</t>
  </si>
  <si>
    <t>Ce5O9</t>
  </si>
  <si>
    <t>Ce2O3</t>
  </si>
  <si>
    <t>CeO</t>
  </si>
  <si>
    <t>Ce7O12</t>
  </si>
  <si>
    <t>Ce</t>
  </si>
  <si>
    <t>Ce17O32</t>
  </si>
  <si>
    <t>CeO2</t>
  </si>
  <si>
    <t>Co3O4</t>
  </si>
  <si>
    <t>CoO</t>
  </si>
  <si>
    <t>Co</t>
  </si>
  <si>
    <t>CoO2</t>
  </si>
  <si>
    <t>Cr2O3</t>
  </si>
  <si>
    <t>Cr</t>
  </si>
  <si>
    <t>Cr5O12</t>
  </si>
  <si>
    <t>CrO2</t>
  </si>
  <si>
    <t>Cs11O3</t>
  </si>
  <si>
    <t>Cs</t>
  </si>
  <si>
    <t>Cs2O</t>
  </si>
  <si>
    <t>Cs3O</t>
  </si>
  <si>
    <t>Cs2O2</t>
  </si>
  <si>
    <t>CsO2</t>
  </si>
  <si>
    <t>Cu2O</t>
  </si>
  <si>
    <t>Cu</t>
  </si>
  <si>
    <t>Cu2O3</t>
  </si>
  <si>
    <t>CuO</t>
  </si>
  <si>
    <t>Dy2O3</t>
  </si>
  <si>
    <t>Dy</t>
  </si>
  <si>
    <t>Er2O3</t>
  </si>
  <si>
    <t>Er</t>
  </si>
  <si>
    <t>Eu2O3</t>
  </si>
  <si>
    <t>EuO</t>
  </si>
  <si>
    <t>Eu</t>
  </si>
  <si>
    <t>Fe2O3</t>
  </si>
  <si>
    <t>Fe3O4</t>
  </si>
  <si>
    <t>FeO</t>
  </si>
  <si>
    <t>Fe</t>
  </si>
  <si>
    <t>Ga2O3</t>
  </si>
  <si>
    <t>Ga</t>
  </si>
  <si>
    <t>Gd2O3</t>
  </si>
  <si>
    <t>Gd</t>
  </si>
  <si>
    <t>GeO2</t>
  </si>
  <si>
    <t>Ge</t>
  </si>
  <si>
    <t>HfO2</t>
  </si>
  <si>
    <t>Hf</t>
  </si>
  <si>
    <t>HgO</t>
  </si>
  <si>
    <t>Hg</t>
  </si>
  <si>
    <t>Ho2O3</t>
  </si>
  <si>
    <t>Ho</t>
  </si>
  <si>
    <t>I2O5</t>
  </si>
  <si>
    <t>I</t>
  </si>
  <si>
    <t>In2O3</t>
  </si>
  <si>
    <t>In</t>
  </si>
  <si>
    <t>IrO2</t>
  </si>
  <si>
    <t>Ir</t>
  </si>
  <si>
    <t>IrO3</t>
  </si>
  <si>
    <t>K2O</t>
  </si>
  <si>
    <t>K</t>
  </si>
  <si>
    <t>K2O2</t>
  </si>
  <si>
    <t>KO2</t>
  </si>
  <si>
    <t>La2O3</t>
  </si>
  <si>
    <t>La</t>
  </si>
  <si>
    <t>Li2O</t>
  </si>
  <si>
    <t>Li</t>
  </si>
  <si>
    <t>Li2O2</t>
  </si>
  <si>
    <t>Lu2O3</t>
  </si>
  <si>
    <t>Lu</t>
  </si>
  <si>
    <t>MgO</t>
  </si>
  <si>
    <t>Mg</t>
  </si>
  <si>
    <t>Mn2O3</t>
  </si>
  <si>
    <t>Mn3O4</t>
  </si>
  <si>
    <t>MnO</t>
  </si>
  <si>
    <t>Mn</t>
  </si>
  <si>
    <t>MnO2</t>
  </si>
  <si>
    <t>Mo8O23</t>
  </si>
  <si>
    <t>MoO2</t>
  </si>
  <si>
    <t>Mo</t>
  </si>
  <si>
    <t>MoO3</t>
  </si>
  <si>
    <t>Na2O</t>
  </si>
  <si>
    <t>Na</t>
  </si>
  <si>
    <t>Na2O2</t>
  </si>
  <si>
    <t>NaO2</t>
  </si>
  <si>
    <t>Nb2O5</t>
  </si>
  <si>
    <t>NbO2</t>
  </si>
  <si>
    <t>NbO</t>
  </si>
  <si>
    <t>Nb</t>
  </si>
  <si>
    <t>Nd2O3</t>
  </si>
  <si>
    <t>Nd</t>
  </si>
  <si>
    <t>Ni3O4</t>
  </si>
  <si>
    <t>NiO</t>
  </si>
  <si>
    <t>Ni</t>
  </si>
  <si>
    <t>NpO2</t>
  </si>
  <si>
    <t>Np</t>
  </si>
  <si>
    <t>OsO2</t>
  </si>
  <si>
    <t>Os</t>
  </si>
  <si>
    <t>OsO4</t>
  </si>
  <si>
    <t>P2O5</t>
  </si>
  <si>
    <t>P</t>
  </si>
  <si>
    <t>PaO2</t>
  </si>
  <si>
    <t>Pa</t>
  </si>
  <si>
    <t>PaO3</t>
  </si>
  <si>
    <t>Pb3O4</t>
  </si>
  <si>
    <t>PbO</t>
  </si>
  <si>
    <t>Pb</t>
  </si>
  <si>
    <t>PbO2</t>
  </si>
  <si>
    <t>PdO</t>
  </si>
  <si>
    <t>Pd</t>
  </si>
  <si>
    <t>PdO2</t>
  </si>
  <si>
    <t>Pm2O3</t>
  </si>
  <si>
    <t>Pm</t>
  </si>
  <si>
    <t>Pr2O3</t>
  </si>
  <si>
    <t>Pr</t>
  </si>
  <si>
    <t>Pt3O4</t>
  </si>
  <si>
    <t>Pt</t>
  </si>
  <si>
    <t>PtO2</t>
  </si>
  <si>
    <t>Pu2O3</t>
  </si>
  <si>
    <t>Pu</t>
  </si>
  <si>
    <t>PuO2</t>
  </si>
  <si>
    <t>Rb2O</t>
  </si>
  <si>
    <t>Rb9O2</t>
  </si>
  <si>
    <t>Rb</t>
  </si>
  <si>
    <t>Rb2O2</t>
  </si>
  <si>
    <t>RbO2</t>
  </si>
  <si>
    <t>Re2O7</t>
  </si>
  <si>
    <t>ReO3</t>
  </si>
  <si>
    <t>Re</t>
  </si>
  <si>
    <t>RhO2</t>
  </si>
  <si>
    <t>Rh</t>
  </si>
  <si>
    <t>RuO2</t>
  </si>
  <si>
    <t>Ru</t>
  </si>
  <si>
    <t>RuO4</t>
  </si>
  <si>
    <t>Sb2O3</t>
  </si>
  <si>
    <t>Sb</t>
  </si>
  <si>
    <t>Sb2O5</t>
  </si>
  <si>
    <t>SbO2</t>
  </si>
  <si>
    <t>Sc2O3</t>
  </si>
  <si>
    <t>Sc</t>
  </si>
  <si>
    <t>Se2O5</t>
  </si>
  <si>
    <t>SeO2</t>
  </si>
  <si>
    <t>Se</t>
  </si>
  <si>
    <t>SiO2</t>
  </si>
  <si>
    <t>Si</t>
  </si>
  <si>
    <t>Sm2O3</t>
  </si>
  <si>
    <t>Sm</t>
  </si>
  <si>
    <t>Sn5O6</t>
  </si>
  <si>
    <t>SnO</t>
  </si>
  <si>
    <t>Sn</t>
  </si>
  <si>
    <t>SnO2</t>
  </si>
  <si>
    <t>SrO</t>
  </si>
  <si>
    <t>Sr</t>
  </si>
  <si>
    <t>SrO2</t>
  </si>
  <si>
    <t>Ta2O5</t>
  </si>
  <si>
    <t>Ta</t>
  </si>
  <si>
    <t>Tb2O3</t>
  </si>
  <si>
    <t>Tb</t>
  </si>
  <si>
    <t>Tc2O7</t>
  </si>
  <si>
    <t>TcO2</t>
  </si>
  <si>
    <t>Tc</t>
  </si>
  <si>
    <t>Te2O5</t>
  </si>
  <si>
    <t>TeO2</t>
  </si>
  <si>
    <t>Te</t>
  </si>
  <si>
    <t>TeO3</t>
  </si>
  <si>
    <t>ThO2</t>
  </si>
  <si>
    <t>Th</t>
  </si>
  <si>
    <t>Ti2O</t>
  </si>
  <si>
    <t>Ti6O</t>
  </si>
  <si>
    <t>Ti3O</t>
  </si>
  <si>
    <t>Ti</t>
  </si>
  <si>
    <t>Ti2O3</t>
  </si>
  <si>
    <t>TiO</t>
  </si>
  <si>
    <t>Ti3O5</t>
  </si>
  <si>
    <t>TiO2</t>
  </si>
  <si>
    <t>Tl2O</t>
  </si>
  <si>
    <t>Tl</t>
  </si>
  <si>
    <t>Tl2O3</t>
  </si>
  <si>
    <t>Tl4O3</t>
  </si>
  <si>
    <t>Tm2O3</t>
  </si>
  <si>
    <t>Tm</t>
  </si>
  <si>
    <t>U3O8</t>
  </si>
  <si>
    <t>UO2</t>
  </si>
  <si>
    <t>U</t>
  </si>
  <si>
    <t>UO3</t>
  </si>
  <si>
    <t>V2O3</t>
  </si>
  <si>
    <t>V</t>
  </si>
  <si>
    <t>V2O5</t>
  </si>
  <si>
    <t>V3O5</t>
  </si>
  <si>
    <t>V3O7</t>
  </si>
  <si>
    <t>VO2</t>
  </si>
  <si>
    <t>W18O49</t>
  </si>
  <si>
    <t>WO2</t>
  </si>
  <si>
    <t>W</t>
  </si>
  <si>
    <t>WO3</t>
  </si>
  <si>
    <t>Y2O3</t>
  </si>
  <si>
    <t>Y</t>
  </si>
  <si>
    <t>YbO</t>
  </si>
  <si>
    <t>Yb</t>
  </si>
  <si>
    <t>ZnO</t>
  </si>
  <si>
    <t>Zn</t>
  </si>
  <si>
    <t>Zr3O</t>
  </si>
  <si>
    <t>Zr</t>
  </si>
  <si>
    <t>ZrO2</t>
  </si>
  <si>
    <t>Index</t>
  </si>
  <si>
    <t>Elemental form</t>
  </si>
  <si>
    <t>Pauling electronegativity, χ</t>
  </si>
  <si>
    <t>Data Dictionary</t>
  </si>
  <si>
    <t>Ionization energy 1, IE1 (eV)</t>
  </si>
  <si>
    <t>Ionization energy 2, IE2  (eV)</t>
  </si>
  <si>
    <t>Ionization energy 3, IE3 (eV)</t>
  </si>
  <si>
    <t>Ionization energy 4, IE4 (eV)</t>
  </si>
  <si>
    <t>Electron affinity, EA (eV)</t>
  </si>
  <si>
    <t>Number of valence electrons, NV</t>
  </si>
  <si>
    <t>Atomic weight, AW</t>
  </si>
  <si>
    <t>Space group, SG</t>
  </si>
  <si>
    <t>Number of valence electrons in s orbital, NVS</t>
  </si>
  <si>
    <t>Number of valence electrons in p orbital, NVP</t>
  </si>
  <si>
    <t>Number of valence electrons in d orbital, NVD</t>
  </si>
  <si>
    <t>Number of valence electrons in f orbital, NVF</t>
  </si>
  <si>
    <t>Number of valence electrons total, NVT</t>
  </si>
  <si>
    <t>Space group type, SGT</t>
  </si>
  <si>
    <t>Periodic table column, PC</t>
  </si>
  <si>
    <t>Periodic table row, PR</t>
  </si>
  <si>
    <t>Covalent radius, CR</t>
  </si>
  <si>
    <t>Highest occupied molecular orbital energy, HOMO (eV)</t>
  </si>
  <si>
    <t>Lowest occupied molecular orbital energy, LUMO (eV)</t>
  </si>
  <si>
    <t>Zunger radii of s orbital, Rs (Å)</t>
  </si>
  <si>
    <r>
      <t>Miedama parameters (electron density)</t>
    </r>
    <r>
      <rPr>
        <vertAlign val="superscript"/>
        <sz val="10"/>
        <color theme="1"/>
        <rFont val="Calibri"/>
        <family val="2"/>
        <scheme val="minor"/>
      </rPr>
      <t>1/3</t>
    </r>
    <r>
      <rPr>
        <sz val="10"/>
        <color theme="1"/>
        <rFont val="Calibri"/>
        <family val="2"/>
        <scheme val="minor"/>
      </rPr>
      <t>, NWS</t>
    </r>
  </si>
  <si>
    <t>Miedama work function, Φ (volt)</t>
  </si>
  <si>
    <t>Atomic number, AN</t>
  </si>
  <si>
    <t>AN</t>
  </si>
  <si>
    <t>χ</t>
  </si>
  <si>
    <t>IE1</t>
  </si>
  <si>
    <t>IE2</t>
  </si>
  <si>
    <t>IE3</t>
  </si>
  <si>
    <t>IE4</t>
  </si>
  <si>
    <t>EA</t>
  </si>
  <si>
    <t>NV</t>
  </si>
  <si>
    <t>AW</t>
  </si>
  <si>
    <t>NVS</t>
  </si>
  <si>
    <t>NVP</t>
  </si>
  <si>
    <t>NVD</t>
  </si>
  <si>
    <t>NVF</t>
  </si>
  <si>
    <t>NVT</t>
  </si>
  <si>
    <t>SG</t>
  </si>
  <si>
    <t>SGT</t>
  </si>
  <si>
    <t>PC</t>
  </si>
  <si>
    <t>PR</t>
  </si>
  <si>
    <t>CR</t>
  </si>
  <si>
    <t>HOMO</t>
  </si>
  <si>
    <t>LUMO</t>
  </si>
  <si>
    <t>Rs</t>
  </si>
  <si>
    <t>Rp</t>
  </si>
  <si>
    <t>Rd</t>
  </si>
  <si>
    <t>NWS</t>
  </si>
  <si>
    <t>Φ</t>
  </si>
  <si>
    <t xml:space="preserve">Elemental Reduced Form </t>
  </si>
  <si>
    <t>N/A</t>
  </si>
  <si>
    <t>Enthalpy of formation, Hf (eV)</t>
  </si>
  <si>
    <t>Heat of sublimation, Hs (eV)</t>
  </si>
  <si>
    <t>Coordination no. of oxygen, CNO</t>
  </si>
  <si>
    <t>Next nearest neighbor (absolute), NNDa</t>
  </si>
  <si>
    <t>Next nearest neighbor (relative), NNDr</t>
  </si>
  <si>
    <t>Bond valence, BV</t>
  </si>
  <si>
    <t>Density, ρ (g/cm3)</t>
  </si>
  <si>
    <t>Packing factor, PF</t>
  </si>
  <si>
    <t>Zunger radii of p orbital, Rp (Å)</t>
  </si>
  <si>
    <t>Zunger radii of d orbital, Rd (Å)</t>
  </si>
  <si>
    <t xml:space="preserve">Dipole polarizability, DP (au) </t>
  </si>
  <si>
    <t>Melting point, MP (K)</t>
  </si>
  <si>
    <t>Boiling point, BP (K)</t>
  </si>
  <si>
    <t>Heat of formation, HF (kj/mole)</t>
  </si>
  <si>
    <t>BP</t>
  </si>
  <si>
    <t>MP</t>
  </si>
  <si>
    <t>DP</t>
  </si>
  <si>
    <t>HF</t>
  </si>
  <si>
    <t>None</t>
  </si>
  <si>
    <t>-</t>
  </si>
  <si>
    <t xml:space="preserve">2.15	</t>
  </si>
  <si>
    <t>1,19</t>
  </si>
  <si>
    <t>Space group</t>
  </si>
  <si>
    <t>Space group type</t>
  </si>
  <si>
    <t>HOMO (eV)</t>
  </si>
  <si>
    <t>LUMO (eV)</t>
  </si>
  <si>
    <t>Coordination no. of metal, CNM</t>
  </si>
  <si>
    <t>deltaG_1</t>
  </si>
  <si>
    <t>deltaG_2</t>
  </si>
  <si>
    <t>deltaG_3</t>
  </si>
  <si>
    <t>ΔG at 300 C, deltaG_1 (eV)</t>
  </si>
  <si>
    <t>ΔG at 500 C, deltaG_2 (eV)</t>
  </si>
  <si>
    <t>ΔG at 700 C, deltaG_3 (eV)</t>
  </si>
  <si>
    <t>pair_names</t>
  </si>
  <si>
    <t>facet</t>
  </si>
  <si>
    <t>sve</t>
  </si>
  <si>
    <t>data_dict</t>
  </si>
  <si>
    <t>data_id</t>
  </si>
  <si>
    <t>Oxygen carrier pairs, pair_names</t>
  </si>
  <si>
    <t>Unique oxide forms, oxide_forms</t>
  </si>
  <si>
    <t>Bulk vacancy formation energy, bve (eV)</t>
  </si>
  <si>
    <t>No</t>
  </si>
  <si>
    <t>Yes</t>
  </si>
  <si>
    <t>unique_oxides</t>
  </si>
  <si>
    <t>oxidized_form</t>
  </si>
  <si>
    <t>reduced_form</t>
  </si>
  <si>
    <t>feasible</t>
  </si>
  <si>
    <t>Feasibility</t>
  </si>
  <si>
    <t>https://doi.org/10.1021/acs.jpclett.5b00710</t>
  </si>
  <si>
    <t>Ref</t>
  </si>
  <si>
    <t>The numbers have been recalculated to reflect vacancy formation with respect to H2O and H2</t>
  </si>
  <si>
    <t>https://doi.org/10.1021/acs.jpcc.8b11279</t>
  </si>
  <si>
    <t>010</t>
  </si>
  <si>
    <t>Surface vacancy formatio energy, sve (eV/atom)</t>
  </si>
  <si>
    <t>001</t>
  </si>
  <si>
    <t>101, 110</t>
  </si>
  <si>
    <t>4.14, 3.15</t>
  </si>
  <si>
    <t>doi.org/10.1139/v64-432</t>
  </si>
  <si>
    <t>95-221</t>
  </si>
  <si>
    <t>DOI: 10.1007/BF02653872</t>
  </si>
  <si>
    <t>550-600</t>
  </si>
  <si>
    <t>t_onset</t>
  </si>
  <si>
    <t>t_range</t>
  </si>
  <si>
    <t>Reduction temperature range, t_range (C)</t>
  </si>
  <si>
    <t>stable_facet</t>
  </si>
  <si>
    <t>t_melt</t>
  </si>
  <si>
    <t>Onset reduction temperature, t_onset (C)</t>
  </si>
  <si>
    <t>Peak reduction temperature, t_peak (C)</t>
  </si>
  <si>
    <t>Melting temperature, t_melt (C )</t>
  </si>
  <si>
    <t>ref_tred</t>
  </si>
  <si>
    <t>ref_tmelt</t>
  </si>
  <si>
    <t>doi.org/10.1006/jssc.1999.8272</t>
  </si>
  <si>
    <t>https://prochemonline.com/product/cadmiumoxide-1360</t>
  </si>
  <si>
    <t>doi.org/10.1016/j.calphad.2015.02.002</t>
  </si>
  <si>
    <t>http://chemister.ru/Database/properties-en.php?dbid=1&amp;id=8249</t>
  </si>
  <si>
    <t>ISBN 978-1-4398-1461-1, p 57</t>
  </si>
  <si>
    <t>ISBN-13: 978-0849304781, p 1112</t>
  </si>
  <si>
    <t>ISBN-13: 978-0849304781, p 1113</t>
  </si>
  <si>
    <t>ISBN-13: 978-0849304781, p 1114</t>
  </si>
  <si>
    <t>ISBN-13: 978-0849304781, p 1115</t>
  </si>
  <si>
    <t>ISBN-13: 978-0849304781, p 1116</t>
  </si>
  <si>
    <t>ISBN-13: 978-0849304781, p 1117</t>
  </si>
  <si>
    <t>ISBN-13: 978-0849304781, p 768</t>
  </si>
  <si>
    <t>ISBN-13: 978-0849304781, p 741</t>
  </si>
  <si>
    <t>ISBN-13: 978-0849304781, p 745</t>
  </si>
  <si>
    <t>ISBN-13: 978-0849304781, p 747</t>
  </si>
  <si>
    <t>ISBN-13: 978-0849304781, p 748</t>
  </si>
  <si>
    <t>ISBN-13: 978-0849304781, p 753</t>
  </si>
  <si>
    <t>Dec to Cr2O3, ISBN-13: 978-0849304781, p 755</t>
  </si>
  <si>
    <t>ISBN-13: 978-0849304781, p 756</t>
  </si>
  <si>
    <t>Dec, ISBN-13: 978-0849304781, p 756</t>
  </si>
  <si>
    <t>ISBN-13: 978-0849304781, p 757</t>
  </si>
  <si>
    <t>ISBN-13: 978-0849304781, p 759</t>
  </si>
  <si>
    <t>ISBN-13: 978-0849304781, p 760</t>
  </si>
  <si>
    <t>ISBN-13: 978-0849304781, p 761</t>
  </si>
  <si>
    <t>Dec, ISBN-13: 978-0849304781, p 761</t>
  </si>
  <si>
    <t>ISBN-13: 978-0849304781, p 762</t>
  </si>
  <si>
    <t>Dec, ISBN-13: 978-0849304781, p 763</t>
  </si>
  <si>
    <t>Dec, ISBN-13: 978-0849304781, p 764</t>
  </si>
  <si>
    <t>ISBN-13: 978-0849304781, p 765</t>
  </si>
  <si>
    <t>ISBN-13: 978-0849304781, p 766</t>
  </si>
  <si>
    <t>ISBN-13: 978-0849304781, p 767</t>
  </si>
  <si>
    <t>Dec, ISBN-13: 978-0849304781, p 767</t>
  </si>
  <si>
    <t>ISBN-13: 978-0849304781, p 771</t>
  </si>
  <si>
    <t>Dec, ISBN-13: 978-0849304781, p 771</t>
  </si>
  <si>
    <t>Dec, ISBN-13: 978-0849304781, p 772</t>
  </si>
  <si>
    <t>ISBN-13: 978-0849304781, p 773</t>
  </si>
  <si>
    <t>ISBN-13: 978-0849304781, p 774</t>
  </si>
  <si>
    <t>Dec, ISBN-13: 978-0849304781, p 775</t>
  </si>
  <si>
    <t>ISBN-13: 978-0849304781, p 777</t>
  </si>
  <si>
    <t>ISBN-13: 978-0849304781, p 778</t>
  </si>
  <si>
    <t>Dec, ISBN-13: 978-0849304781, p 779</t>
  </si>
  <si>
    <t>ISBN-13: 978-0849304781, p 779</t>
  </si>
  <si>
    <t>ISBN-13: 978-0849304781, p 780</t>
  </si>
  <si>
    <t>Dec, ISBN-13: 978-0849304781, p 781</t>
  </si>
  <si>
    <t>Dec, ISBN-13: 978-0849304781, p 782</t>
  </si>
  <si>
    <t>ISBN-13: 978-0849304781, p 782</t>
  </si>
  <si>
    <t>ISBN-13: 978-0849304781, p 783</t>
  </si>
  <si>
    <t>340_tp</t>
  </si>
  <si>
    <t>Dec, ISBN-13: 978-0849304781, p 785</t>
  </si>
  <si>
    <t>ISBN-13: 978-0849304781, p 787</t>
  </si>
  <si>
    <t>ISBN-13: 978-0849304781, p 788</t>
  </si>
  <si>
    <t>Dec, ISBN-13: 978-0849304781, p 789</t>
  </si>
  <si>
    <t>ISBN-13: 978-0849304781, p 790</t>
  </si>
  <si>
    <t>ISBN-13: 978-0849304781, p 791</t>
  </si>
  <si>
    <t>ISBN-13: 978-0849304781, p 792</t>
  </si>
  <si>
    <t>Dec, ISBN-13: 978-0849304781, p 792</t>
  </si>
  <si>
    <t>ISBN-13: 978-0849304781, p 793</t>
  </si>
  <si>
    <t>ISBN-13: 978-0849304781, p 794</t>
  </si>
  <si>
    <t>Dec, ISBN-13: 978-0849304781, p 794</t>
  </si>
  <si>
    <t>ISBN-13: 978-0849304781, p 795</t>
  </si>
  <si>
    <t>https://www.americanelements.com/ruthenium-iv-oxide-12036-10-1</t>
  </si>
  <si>
    <t>Dec, https://www.reade.com/products/antimony-oxide-powder-sb2o3-sb2o5</t>
  </si>
  <si>
    <t>ISBN 978-3-642-11954-5, p 176</t>
  </si>
  <si>
    <t>method</t>
  </si>
  <si>
    <t>t_peak_1</t>
  </si>
  <si>
    <t>t_peak_2</t>
  </si>
  <si>
    <t>doi.org/10.1002/jccs.201800278, p 7</t>
  </si>
  <si>
    <t>TPR</t>
  </si>
  <si>
    <t>TG</t>
  </si>
  <si>
    <t>364-564</t>
  </si>
  <si>
    <t>325-700</t>
  </si>
  <si>
    <t>doi.org/10.1016/j.apcata.2007.03.021, p 19</t>
  </si>
  <si>
    <t>t_peak_3</t>
  </si>
  <si>
    <t>300-850</t>
  </si>
  <si>
    <t>doi.org/10.1016/j.apcata.2007.03.021, p 20</t>
  </si>
  <si>
    <t>380-650</t>
  </si>
  <si>
    <t>285-465</t>
  </si>
  <si>
    <t>doi.org/10.1016/j.ces.2007.09.043, p 571</t>
  </si>
  <si>
    <t>557-627</t>
  </si>
  <si>
    <t>doi.org/10.1021/j100267a021, p 4519</t>
  </si>
  <si>
    <t>327-627</t>
  </si>
  <si>
    <t>200-400</t>
  </si>
  <si>
    <t>doi.org/10.1021/i260026a023, p 287</t>
  </si>
  <si>
    <t>327-600</t>
  </si>
  <si>
    <t>dx.doi.org/10.1021/jp212302y, p 9964, tetr GeO2</t>
  </si>
  <si>
    <t>277-547</t>
  </si>
  <si>
    <t>doi.org/10.1016/j.tca.2018.09.010, p 105</t>
  </si>
  <si>
    <t>327-1127</t>
  </si>
  <si>
    <t>doi.org/10.1006/jcat.2000.2900, p 274</t>
  </si>
  <si>
    <t>197-327</t>
  </si>
  <si>
    <t>doi.org/10.1016/0040-6031(95)98772-Q, p 225</t>
  </si>
  <si>
    <t>200-300</t>
  </si>
  <si>
    <t>150-250</t>
  </si>
  <si>
    <t>doi.org/10.1006/jcat.1994.1257, p 714</t>
  </si>
  <si>
    <t>Ultrapure lead oxide reduction at low temperature: STC Process</t>
  </si>
  <si>
    <t>0038-5735/78/1706-0419S07.50, p 420</t>
  </si>
  <si>
    <t>500-750</t>
  </si>
  <si>
    <t>DOI: 10.2320/matertrans.M2011118, p 1815</t>
  </si>
  <si>
    <t>formation__energy_per_oxygen_ev</t>
  </si>
  <si>
    <t>t_max</t>
  </si>
  <si>
    <t/>
  </si>
  <si>
    <t>dominant_phase</t>
  </si>
  <si>
    <t>alpha</t>
  </si>
  <si>
    <t>select_oxides</t>
  </si>
  <si>
    <t>bi2o3</t>
  </si>
  <si>
    <t>phase</t>
  </si>
  <si>
    <t>bulk</t>
  </si>
  <si>
    <t>vacancy_bulk</t>
  </si>
  <si>
    <t>vacancy_form_energy(eV)</t>
  </si>
  <si>
    <t>1/2 oxygen</t>
  </si>
  <si>
    <t>beta</t>
  </si>
  <si>
    <t>gamma</t>
  </si>
  <si>
    <t>cdo</t>
  </si>
  <si>
    <t>co3o4</t>
  </si>
  <si>
    <t>coo</t>
  </si>
  <si>
    <t>fe2o3</t>
  </si>
  <si>
    <t>fe3o4</t>
  </si>
  <si>
    <t>feo</t>
  </si>
  <si>
    <t>geo2</t>
  </si>
  <si>
    <t>in2o3</t>
  </si>
  <si>
    <t>mn2o3</t>
  </si>
  <si>
    <t>mn3o4</t>
  </si>
  <si>
    <t>mno</t>
  </si>
  <si>
    <t>moo2</t>
  </si>
  <si>
    <t>moo3</t>
  </si>
  <si>
    <t>pb3o4</t>
  </si>
  <si>
    <t>pbo</t>
  </si>
  <si>
    <t>sb2o3</t>
  </si>
  <si>
    <t>sbo2</t>
  </si>
  <si>
    <t>sn5o6</t>
  </si>
  <si>
    <t>sno</t>
  </si>
  <si>
    <t>sno2</t>
  </si>
  <si>
    <t>teo2</t>
  </si>
  <si>
    <t>v2o5</t>
  </si>
  <si>
    <t>v3o5</t>
  </si>
  <si>
    <t>v3o7</t>
  </si>
  <si>
    <t>wo2</t>
  </si>
  <si>
    <t>wo3</t>
  </si>
  <si>
    <t>e_bulk_vacancy</t>
  </si>
  <si>
    <t>KJ/mole to eV</t>
  </si>
  <si>
    <t>oxide_form</t>
  </si>
  <si>
    <t>homo</t>
  </si>
  <si>
    <t>lumo</t>
  </si>
  <si>
    <t>band_center</t>
  </si>
  <si>
    <t>cohesive_energy</t>
  </si>
  <si>
    <t>ox_state</t>
  </si>
  <si>
    <t>shear_mod</t>
  </si>
  <si>
    <t>bulk_mod</t>
  </si>
  <si>
    <t>band_gap</t>
  </si>
  <si>
    <t>heat_sublimation</t>
  </si>
  <si>
    <t>heat_formation</t>
  </si>
  <si>
    <t>coord_no_metal</t>
  </si>
  <si>
    <t>coord_no_oxy</t>
  </si>
  <si>
    <t>next_nearest_rel</t>
  </si>
  <si>
    <t>next_nearest_abs</t>
  </si>
  <si>
    <t>bond_valence</t>
  </si>
  <si>
    <t>density</t>
  </si>
  <si>
    <t>vol_per_atom</t>
  </si>
  <si>
    <t>packing_factor</t>
  </si>
  <si>
    <t>sg_number</t>
  </si>
  <si>
    <t>crystal_system</t>
  </si>
  <si>
    <t>sg_type</t>
  </si>
  <si>
    <t>Band center</t>
  </si>
  <si>
    <t>Oxidation state</t>
  </si>
  <si>
    <t>Cohesive energy(eV)</t>
  </si>
  <si>
    <t>Shear modulus (GPa)</t>
  </si>
  <si>
    <t>Bulk modulus (GPa)</t>
  </si>
  <si>
    <t>Band gap (eV)</t>
  </si>
  <si>
    <t>Volume, Vol (Å³ ) Per atom</t>
  </si>
  <si>
    <t>Crsytal System</t>
  </si>
  <si>
    <t>Melting Temperature, ∘C</t>
  </si>
  <si>
    <t>trigonal</t>
  </si>
  <si>
    <t>cubic</t>
  </si>
  <si>
    <t>monoclinic</t>
  </si>
  <si>
    <t>tetragonal</t>
  </si>
  <si>
    <t>orthorhombic</t>
  </si>
  <si>
    <t>hexagonal</t>
  </si>
  <si>
    <t>triclinic</t>
  </si>
  <si>
    <t>hf - https://doi.org/10.1016/0022-5088(86)90046-9</t>
  </si>
  <si>
    <t>hf - https://doi.org/10.1063/1.4825256</t>
  </si>
  <si>
    <t>missing_ref</t>
  </si>
  <si>
    <t>stable_facets</t>
  </si>
  <si>
    <t>ref</t>
  </si>
  <si>
    <t>https://doi.org/10.1063/1.4788667</t>
  </si>
  <si>
    <t>https://doi.org/10.1016/j.cplett.2010.12.015</t>
  </si>
  <si>
    <t>10.1039/C4CY00582A</t>
  </si>
  <si>
    <t>https://doi.org/10.1088/1361-648X/aac743, DOI: 10.1039/c6cp05313k, https://doi.org/10.1021/acs.jpcc.5b12144</t>
  </si>
  <si>
    <t>DOI: 10.1039/c4cp00529e, https://doi.org/10.1016/S1872-5813(10)60024-2</t>
  </si>
  <si>
    <t>https://doi.org/10.1016/j.powtec.2016.09.017</t>
  </si>
  <si>
    <t>https://doi.org/10.1080/00268976.2017.1307468</t>
  </si>
  <si>
    <t>https://doi.org/10.1021/jp3004773, https://doi.org/10.1016/j.apsusc.2017.11.258</t>
  </si>
  <si>
    <t>https://doi.org/10.1021/acs.jpcc.8b06201</t>
  </si>
  <si>
    <t>https://doi.org/10.1021/acs.jpcc.8b07846</t>
  </si>
  <si>
    <t>DOI:10.1039/C7CP06456J, doi:10.1016/j.apcata.2010.07.041</t>
  </si>
  <si>
    <t>DOI:10.1039/B511044K, https://doi.org/10.1021/jp304122n</t>
  </si>
  <si>
    <t>DOI:10.1039/C4CP00540F</t>
  </si>
  <si>
    <t>DOI 10.1007/s11244-009-9250-0</t>
  </si>
  <si>
    <t>https://doi.org/10.1021/acsami.7b06139</t>
  </si>
  <si>
    <t>100, 111</t>
  </si>
  <si>
    <t>https://doi.org/10.1021/acsami.9b08524</t>
  </si>
  <si>
    <t>220, 002</t>
  </si>
  <si>
    <t>DOI: 10.12693/APhysPolA.133.1178</t>
  </si>
  <si>
    <t>100, 111(mterm, oterm)</t>
  </si>
  <si>
    <t>100 (oct, tetra)</t>
  </si>
  <si>
    <t>100, 111 (meterm, oterm)</t>
  </si>
  <si>
    <t>0001(mterm, oterm)</t>
  </si>
  <si>
    <t>001(fe tetra), 110(fe octa)</t>
  </si>
  <si>
    <t>110, 111 (mterm, oterm)</t>
  </si>
  <si>
    <t>110 (oterm)</t>
  </si>
  <si>
    <t>001(mno term)</t>
  </si>
  <si>
    <t>001(mn2+tetra, mn3+octa)</t>
  </si>
  <si>
    <t>011 (O2 term)</t>
  </si>
  <si>
    <t>https://doi.org/10.1063/1.4958969</t>
  </si>
  <si>
    <t>Oxide</t>
  </si>
  <si>
    <t>Facet and termination</t>
  </si>
  <si>
    <t>Surface formation energy, eV/Å2</t>
  </si>
  <si>
    <t>011</t>
  </si>
  <si>
    <t xml:space="preserve">010      </t>
  </si>
  <si>
    <t xml:space="preserve">001     </t>
  </si>
  <si>
    <t xml:space="preserve">001      </t>
  </si>
  <si>
    <t>111 (metal termination)</t>
  </si>
  <si>
    <t>111 (oxygen termination)</t>
  </si>
  <si>
    <t>100 (octahedral termination)</t>
  </si>
  <si>
    <t>100 (tetrahedral termination)</t>
  </si>
  <si>
    <t>0001 (metal termination)</t>
  </si>
  <si>
    <t xml:space="preserve"> 0001 (oxygen termination)</t>
  </si>
  <si>
    <t>001 (metal termination)</t>
  </si>
  <si>
    <t>110 (octahedral metal termination)</t>
  </si>
  <si>
    <t>110 (oxygen termination)</t>
  </si>
  <si>
    <t>011 (oxygen termination)</t>
  </si>
  <si>
    <t>010  (oxygen termination)</t>
  </si>
  <si>
    <t>001  (oxygen termination)</t>
  </si>
  <si>
    <t>001  (double bonded oxygen termination)</t>
  </si>
  <si>
    <t>001  (single bonded oxygen termination)</t>
  </si>
  <si>
    <t>Vacancy formation energy, eV</t>
  </si>
  <si>
    <t>001 (tetrahedral termination)</t>
  </si>
  <si>
    <t>001 (octahedral termination)</t>
  </si>
  <si>
    <t>Run DFT</t>
  </si>
  <si>
    <t>Toxic</t>
  </si>
  <si>
    <t>Computational prediction is difficult to reduce</t>
  </si>
  <si>
    <t>Experimental reasons</t>
  </si>
  <si>
    <t>Hard to converge computationally</t>
  </si>
  <si>
    <t>Difficult to reduce computationally</t>
  </si>
  <si>
    <t>Hard to converge computatinally/ Experimental reasons</t>
  </si>
  <si>
    <t>Comments</t>
  </si>
  <si>
    <t>Yes (oxygen lean conditions in pulse mode of reducing oxides prefers Co in tetrahedral terminations)</t>
  </si>
  <si>
    <t>Oxidized Form</t>
  </si>
  <si>
    <t>G oxidized form (298 K)</t>
  </si>
  <si>
    <t>eVtokcal</t>
  </si>
  <si>
    <t>G_ox_bulk_kcal</t>
  </si>
  <si>
    <t>G_ox_bulk_ev</t>
  </si>
  <si>
    <t>reduced_metal</t>
  </si>
  <si>
    <t>G_reduced_bulk_kcal</t>
  </si>
  <si>
    <t>G_red_bulk_ev</t>
  </si>
  <si>
    <t>Oxygen_ev</t>
  </si>
  <si>
    <t>no_of_metal</t>
  </si>
  <si>
    <t>no_of_oxygen</t>
  </si>
  <si>
    <t>Bulk_formation_ev</t>
  </si>
  <si>
    <t>formation_per_O</t>
  </si>
  <si>
    <t>oxides</t>
  </si>
  <si>
    <t>formation_energy_per_o_atom (eV)</t>
  </si>
  <si>
    <t>surface_formation_energy( eV/Å2)</t>
  </si>
  <si>
    <t>surface_vacancy_formation_energy (eV)</t>
  </si>
  <si>
    <t>bulk_vacancy_formation_energy (eV)</t>
  </si>
  <si>
    <t>Phase change</t>
  </si>
  <si>
    <t>Fe2O3--&gt; Fe3O4</t>
  </si>
  <si>
    <t>Fe3O4--&gt; Fe</t>
  </si>
  <si>
    <t>Sb2O3--&gt; Sb</t>
  </si>
  <si>
    <t>FeO--&gt; Fe</t>
  </si>
  <si>
    <t>Bi2O3--&gt;Bi</t>
  </si>
  <si>
    <t>Co3O4--&gt; CoO</t>
  </si>
  <si>
    <t>CoO--&gt; Co</t>
  </si>
  <si>
    <t>Sb2O4</t>
  </si>
  <si>
    <t>SnO2--&gt;Sn</t>
  </si>
  <si>
    <t>Unstable in air</t>
  </si>
  <si>
    <t>tpr</t>
  </si>
  <si>
    <t>activation_energy(kj/mole)</t>
  </si>
  <si>
    <r>
      <t>MoO</t>
    </r>
    <r>
      <rPr>
        <vertAlign val="subscript"/>
        <sz val="11"/>
        <color theme="1"/>
        <rFont val="Calibri"/>
        <family val="2"/>
        <scheme val="minor"/>
      </rPr>
      <t>3</t>
    </r>
  </si>
  <si>
    <t>delG_reaction_873K</t>
  </si>
  <si>
    <t>Dec, wiki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</si>
</sst>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1" applyAlignment="1">
      <alignment horizontal="center" vertical="center" wrapText="1"/>
    </xf>
    <xf numFmtId="2" fontId="2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center" vertical="center" wrapText="1"/>
    </xf>
    <xf numFmtId="0" fontId="6" fillId="0" borderId="0" xfId="1" applyAlignment="1">
      <alignment horizontal="center"/>
    </xf>
    <xf numFmtId="0" fontId="6" fillId="0" borderId="0" xfId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7" xfId="0" quotePrefix="1" applyNumberFormat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64" fontId="0" fillId="5" borderId="12" xfId="0" applyNumberFormat="1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164" fontId="0" fillId="6" borderId="12" xfId="0" applyNumberFormat="1" applyFill="1" applyBorder="1" applyAlignment="1">
      <alignment horizontal="center" vertical="center"/>
    </xf>
    <xf numFmtId="2" fontId="0" fillId="6" borderId="12" xfId="0" quotePrefix="1" applyNumberFormat="1" applyFill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4" borderId="12" xfId="0" quotePrefix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164" fontId="0" fillId="8" borderId="12" xfId="0" applyNumberFormat="1" applyFill="1" applyBorder="1" applyAlignment="1">
      <alignment horizontal="center" vertical="center"/>
    </xf>
    <xf numFmtId="2" fontId="0" fillId="8" borderId="12" xfId="0" quotePrefix="1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4" xfId="0" quotePrefix="1" applyFill="1" applyBorder="1" applyAlignment="1">
      <alignment horizontal="center" vertical="center"/>
    </xf>
    <xf numFmtId="164" fontId="0" fillId="5" borderId="14" xfId="0" applyNumberFormat="1" applyFill="1" applyBorder="1" applyAlignment="1">
      <alignment horizontal="center" vertical="center"/>
    </xf>
    <xf numFmtId="0" fontId="0" fillId="6" borderId="7" xfId="0" quotePrefix="1" applyFill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4" xfId="0" quotePrefix="1" applyFill="1" applyBorder="1" applyAlignment="1">
      <alignment horizontal="center" vertical="center"/>
    </xf>
    <xf numFmtId="164" fontId="0" fillId="8" borderId="14" xfId="0" applyNumberFormat="1" applyFill="1" applyBorder="1" applyAlignment="1">
      <alignment horizontal="center" vertical="center"/>
    </xf>
    <xf numFmtId="0" fontId="0" fillId="3" borderId="14" xfId="0" quotePrefix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4" fontId="0" fillId="4" borderId="14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4" xfId="0" quotePrefix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0" fontId="0" fillId="8" borderId="12" xfId="0" quotePrefix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4" xfId="0" quotePrefix="1" applyNumberFormat="1" applyBorder="1" applyAlignment="1">
      <alignment horizontal="center" vertical="center"/>
    </xf>
    <xf numFmtId="2" fontId="0" fillId="0" borderId="3" xfId="0" quotePrefix="1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5" borderId="14" xfId="0" applyNumberFormat="1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2" fontId="0" fillId="8" borderId="14" xfId="0" applyNumberFormat="1" applyFill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6" borderId="14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8" borderId="12" xfId="0" applyNumberForma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0" fontId="0" fillId="9" borderId="7" xfId="0" quotePrefix="1" applyFill="1" applyBorder="1" applyAlignment="1">
      <alignment horizontal="center" vertical="center"/>
    </xf>
    <xf numFmtId="164" fontId="0" fillId="9" borderId="7" xfId="0" applyNumberFormat="1" applyFill="1" applyBorder="1" applyAlignment="1">
      <alignment horizontal="center" vertical="center"/>
    </xf>
    <xf numFmtId="2" fontId="0" fillId="9" borderId="7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64" fontId="0" fillId="7" borderId="12" xfId="0" applyNumberFormat="1" applyFill="1" applyBorder="1" applyAlignment="1">
      <alignment horizontal="center" vertical="center"/>
    </xf>
    <xf numFmtId="2" fontId="0" fillId="7" borderId="12" xfId="0" quotePrefix="1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0" fillId="0" borderId="14" xfId="0" quotePrefix="1" applyNumberFormat="1" applyFill="1" applyBorder="1" applyAlignment="1">
      <alignment horizontal="center" vertical="center"/>
    </xf>
    <xf numFmtId="2" fontId="0" fillId="0" borderId="12" xfId="0" quotePrefix="1" applyNumberFormat="1" applyFill="1" applyBorder="1" applyAlignment="1">
      <alignment horizontal="center" vertical="center"/>
    </xf>
    <xf numFmtId="2" fontId="0" fillId="0" borderId="7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14" xfId="0" quotePrefix="1" applyFill="1" applyBorder="1" applyAlignment="1">
      <alignment horizontal="center" vertical="center"/>
    </xf>
    <xf numFmtId="2" fontId="0" fillId="0" borderId="0" xfId="0" applyNumberFormat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0" xfId="0" quotePrefix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 wrapText="1"/>
    </xf>
    <xf numFmtId="2" fontId="9" fillId="0" borderId="13" xfId="0" applyNumberFormat="1" applyFont="1" applyBorder="1" applyAlignment="1">
      <alignment horizontal="center" vertical="center" wrapText="1"/>
    </xf>
    <xf numFmtId="2" fontId="9" fillId="0" borderId="8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12" xfId="0" quotePrefix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4" xfId="0" quotePrefix="1" applyNumberForma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680710471508517E-2"/>
          <c:y val="0.15202508197782841"/>
          <c:w val="0.86072218476779638"/>
          <c:h val="0.75909396448652466"/>
        </c:manualLayout>
      </c:layout>
      <c:scatterChart>
        <c:scatterStyle val="lineMarker"/>
        <c:varyColors val="0"/>
        <c:ser>
          <c:idx val="0"/>
          <c:order val="0"/>
          <c:tx>
            <c:v>Bismuth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formation_energy_corr!$E$2</c:f>
              <c:numCache>
                <c:formatCode>0.00</c:formatCode>
                <c:ptCount val="1"/>
                <c:pt idx="0">
                  <c:v>3.0308439874054298</c:v>
                </c:pt>
              </c:numCache>
            </c:numRef>
          </c:xVal>
          <c:yVal>
            <c:numRef>
              <c:f>formation_energy_corr!$F$2</c:f>
              <c:numCache>
                <c:formatCode>General</c:formatCode>
                <c:ptCount val="1"/>
                <c:pt idx="0">
                  <c:v>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6-41C7-8A9D-7B842EFBE4FF}"/>
            </c:ext>
          </c:extLst>
        </c:ser>
        <c:ser>
          <c:idx val="1"/>
          <c:order val="1"/>
          <c:tx>
            <c:v>Cobalt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formation_energy_corr!$E$4:$E$5</c:f>
              <c:numCache>
                <c:formatCode>0.00</c:formatCode>
                <c:ptCount val="2"/>
                <c:pt idx="0">
                  <c:v>-3.8362542594540999E-2</c:v>
                </c:pt>
                <c:pt idx="1">
                  <c:v>-0.54624473259457296</c:v>
                </c:pt>
              </c:numCache>
            </c:numRef>
          </c:xVal>
          <c:yVal>
            <c:numRef>
              <c:f>formation_energy_corr!$F$4:$F$5</c:f>
              <c:numCache>
                <c:formatCode>General</c:formatCode>
                <c:ptCount val="2"/>
                <c:pt idx="0">
                  <c:v>300</c:v>
                </c:pt>
                <c:pt idx="1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6-41C7-8A9D-7B842EFBE4FF}"/>
            </c:ext>
          </c:extLst>
        </c:ser>
        <c:ser>
          <c:idx val="2"/>
          <c:order val="2"/>
          <c:tx>
            <c:v>Iron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formation_energy_corr!$E$6:$E$8</c:f>
              <c:numCache>
                <c:formatCode>0.00</c:formatCode>
                <c:ptCount val="3"/>
                <c:pt idx="0">
                  <c:v>-3.2670075425946798</c:v>
                </c:pt>
                <c:pt idx="1">
                  <c:v>1.6800129474054299</c:v>
                </c:pt>
                <c:pt idx="2">
                  <c:v>2.5016611374053901</c:v>
                </c:pt>
              </c:numCache>
            </c:numRef>
          </c:xVal>
          <c:yVal>
            <c:numRef>
              <c:f>formation_energy_corr!$F$6:$F$8</c:f>
              <c:numCache>
                <c:formatCode>General</c:formatCode>
                <c:ptCount val="3"/>
                <c:pt idx="0">
                  <c:v>320</c:v>
                </c:pt>
                <c:pt idx="1">
                  <c:v>475</c:v>
                </c:pt>
                <c:pt idx="2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6-41C7-8A9D-7B842EFBE4FF}"/>
            </c:ext>
          </c:extLst>
        </c:ser>
        <c:ser>
          <c:idx val="3"/>
          <c:order val="3"/>
          <c:tx>
            <c:v>Indium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formation_energy_corr!$E$10</c:f>
              <c:numCache>
                <c:formatCode>0.00</c:formatCode>
                <c:ptCount val="1"/>
                <c:pt idx="0">
                  <c:v>2.1188442974054098</c:v>
                </c:pt>
              </c:numCache>
            </c:numRef>
          </c:xVal>
          <c:yVal>
            <c:numRef>
              <c:f>formation_energy_corr!$F$10</c:f>
              <c:numCache>
                <c:formatCode>General</c:formatCode>
                <c:ptCount val="1"/>
                <c:pt idx="0">
                  <c:v>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06-41C7-8A9D-7B842EFBE4FF}"/>
            </c:ext>
          </c:extLst>
        </c:ser>
        <c:ser>
          <c:idx val="4"/>
          <c:order val="4"/>
          <c:tx>
            <c:v>Manganese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formation_energy_corr!$E$11:$E$13</c:f>
              <c:numCache>
                <c:formatCode>0.00</c:formatCode>
                <c:ptCount val="3"/>
                <c:pt idx="0">
                  <c:v>-0.30614277259456901</c:v>
                </c:pt>
                <c:pt idx="1">
                  <c:v>1.51702027740543</c:v>
                </c:pt>
                <c:pt idx="2">
                  <c:v>4.4432239374053699</c:v>
                </c:pt>
              </c:numCache>
            </c:numRef>
          </c:xVal>
          <c:yVal>
            <c:numRef>
              <c:f>formation_energy_corr!$F$11:$F$13</c:f>
              <c:numCache>
                <c:formatCode>General</c:formatCode>
                <c:ptCount val="3"/>
                <c:pt idx="0">
                  <c:v>300</c:v>
                </c:pt>
                <c:pt idx="1">
                  <c:v>400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06-41C7-8A9D-7B842EFBE4FF}"/>
            </c:ext>
          </c:extLst>
        </c:ser>
        <c:ser>
          <c:idx val="5"/>
          <c:order val="5"/>
          <c:tx>
            <c:v>Molybdenum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formation_energy_corr!$E$14:$E$15</c:f>
              <c:numCache>
                <c:formatCode>0.00</c:formatCode>
                <c:ptCount val="2"/>
                <c:pt idx="0">
                  <c:v>3.54274209740549</c:v>
                </c:pt>
                <c:pt idx="1">
                  <c:v>2.7234189674054501</c:v>
                </c:pt>
              </c:numCache>
            </c:numRef>
          </c:xVal>
          <c:yVal>
            <c:numRef>
              <c:f>formation_energy_corr!$F$14:$F$15</c:f>
              <c:numCache>
                <c:formatCode>General</c:formatCode>
                <c:ptCount val="2"/>
                <c:pt idx="0">
                  <c:v>627</c:v>
                </c:pt>
                <c:pt idx="1">
                  <c:v>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06-41C7-8A9D-7B842EFBE4FF}"/>
            </c:ext>
          </c:extLst>
        </c:ser>
        <c:ser>
          <c:idx val="6"/>
          <c:order val="6"/>
          <c:tx>
            <c:v>Antimony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formation_energy_corr!$E$16:$E$17</c:f>
              <c:numCache>
                <c:formatCode>0.00</c:formatCode>
                <c:ptCount val="2"/>
                <c:pt idx="0">
                  <c:v>1.5824281774054001</c:v>
                </c:pt>
                <c:pt idx="1">
                  <c:v>-1.0979680625945301</c:v>
                </c:pt>
              </c:numCache>
            </c:numRef>
          </c:xVal>
          <c:yVal>
            <c:numRef>
              <c:f>formation_energy_corr!$F$16:$F$17</c:f>
              <c:numCache>
                <c:formatCode>General</c:formatCode>
                <c:ptCount val="2"/>
                <c:pt idx="0">
                  <c:v>550</c:v>
                </c:pt>
                <c:pt idx="1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06-41C7-8A9D-7B842EFBE4FF}"/>
            </c:ext>
          </c:extLst>
        </c:ser>
        <c:ser>
          <c:idx val="7"/>
          <c:order val="7"/>
          <c:tx>
            <c:v>Tin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formation_energy_corr!$E$19</c:f>
              <c:numCache>
                <c:formatCode>0.00</c:formatCode>
                <c:ptCount val="1"/>
                <c:pt idx="0">
                  <c:v>2.33145475740548</c:v>
                </c:pt>
              </c:numCache>
            </c:numRef>
          </c:xVal>
          <c:yVal>
            <c:numRef>
              <c:f>formation_energy_corr!$F$19</c:f>
              <c:numCache>
                <c:formatCode>General</c:formatCode>
                <c:ptCount val="1"/>
                <c:pt idx="0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06-41C7-8A9D-7B842EFBE4FF}"/>
            </c:ext>
          </c:extLst>
        </c:ser>
        <c:ser>
          <c:idx val="8"/>
          <c:order val="8"/>
          <c:tx>
            <c:v>Vanadium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formation_energy_corr!$E$22</c:f>
              <c:numCache>
                <c:formatCode>0.00</c:formatCode>
                <c:ptCount val="1"/>
                <c:pt idx="0">
                  <c:v>1.6440883274053699</c:v>
                </c:pt>
              </c:numCache>
            </c:numRef>
          </c:xVal>
          <c:yVal>
            <c:numRef>
              <c:f>formation_energy_corr!$F$22</c:f>
              <c:numCache>
                <c:formatCode>General</c:formatCode>
                <c:ptCount val="1"/>
                <c:pt idx="0">
                  <c:v>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06-41C7-8A9D-7B842EFBE4FF}"/>
            </c:ext>
          </c:extLst>
        </c:ser>
        <c:ser>
          <c:idx val="9"/>
          <c:order val="9"/>
          <c:tx>
            <c:v>Tungsten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formation_energy_corr!$E$26</c:f>
              <c:numCache>
                <c:formatCode>0.00</c:formatCode>
                <c:ptCount val="1"/>
                <c:pt idx="0">
                  <c:v>4.2852767774054401</c:v>
                </c:pt>
              </c:numCache>
            </c:numRef>
          </c:xVal>
          <c:yVal>
            <c:numRef>
              <c:f>formation_energy_corr!$F$26</c:f>
              <c:numCache>
                <c:formatCode>General</c:formatCode>
                <c:ptCount val="1"/>
                <c:pt idx="0">
                  <c:v>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06-41C7-8A9D-7B842EFBE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572431"/>
        <c:axId val="1012480607"/>
      </c:scatterChart>
      <c:valAx>
        <c:axId val="92057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480607"/>
        <c:crosses val="autoZero"/>
        <c:crossBetween val="midCat"/>
      </c:valAx>
      <c:valAx>
        <c:axId val="10124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72431"/>
        <c:crosses val="autoZero"/>
        <c:crossBetween val="midCat"/>
      </c:valAx>
      <c:spPr>
        <a:noFill/>
        <a:ln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10128040925577372"/>
          <c:y val="1.5958457778984525E-2"/>
          <c:w val="0.83463958094347113"/>
          <c:h val="0.12689338401665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2095500</xdr:colOff>
      <xdr:row>28</xdr:row>
      <xdr:rowOff>152400</xdr:rowOff>
    </xdr:from>
    <xdr:to>
      <xdr:col>8</xdr:col>
      <xdr:colOff>419100</xdr:colOff>
      <xdr:row>49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E62FD5-7F5F-4088-A2B2-878115224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oi.org/10.1016/0022-5088(86)90046-9" TargetMode="External"/><Relationship Id="rId1" Type="http://schemas.openxmlformats.org/officeDocument/2006/relationships/hyperlink" Target="https://doi.org/10.1063/1.482525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acs.jpcc.8b06201" TargetMode="External"/><Relationship Id="rId3" Type="http://schemas.openxmlformats.org/officeDocument/2006/relationships/hyperlink" Target="https://doi.org/10.1088/1361-648X/aac743," TargetMode="External"/><Relationship Id="rId7" Type="http://schemas.openxmlformats.org/officeDocument/2006/relationships/hyperlink" Target="https://doi.org/10.1021/acsami.7b06139" TargetMode="External"/><Relationship Id="rId2" Type="http://schemas.openxmlformats.org/officeDocument/2006/relationships/hyperlink" Target="https://doi.org/10.1016/j.cplett.2010.12.015" TargetMode="External"/><Relationship Id="rId1" Type="http://schemas.openxmlformats.org/officeDocument/2006/relationships/hyperlink" Target="https://doi.org/10.1063/1.4788667" TargetMode="External"/><Relationship Id="rId6" Type="http://schemas.openxmlformats.org/officeDocument/2006/relationships/hyperlink" Target="https://doi.org/10.1021/jp3004773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doi.org/10.1080/00268976.2017.1307468" TargetMode="External"/><Relationship Id="rId10" Type="http://schemas.openxmlformats.org/officeDocument/2006/relationships/hyperlink" Target="https://doi.org/10.1021/acsami.9b08524" TargetMode="External"/><Relationship Id="rId4" Type="http://schemas.openxmlformats.org/officeDocument/2006/relationships/hyperlink" Target="https://doi.org/10.1016/j.powtec.2016.09.017" TargetMode="External"/><Relationship Id="rId9" Type="http://schemas.openxmlformats.org/officeDocument/2006/relationships/hyperlink" Target="https://doi.org/10.1021/acs.jpcc.8b07846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F84C-ECB8-47C3-8489-B05733ABB436}">
  <dimension ref="A1:AG77"/>
  <sheetViews>
    <sheetView topLeftCell="A10" workbookViewId="0">
      <pane xSplit="3" topLeftCell="K1" activePane="topRight" state="frozen"/>
      <selection pane="topRight" activeCell="C2" sqref="C2:C77"/>
    </sheetView>
  </sheetViews>
  <sheetFormatPr defaultColWidth="9.140625" defaultRowHeight="15.75" customHeight="1" x14ac:dyDescent="0.25"/>
  <cols>
    <col min="1" max="1" width="9.140625" style="2"/>
    <col min="2" max="2" width="51.140625" style="2" customWidth="1"/>
    <col min="3" max="3" width="21" style="2" customWidth="1"/>
    <col min="4" max="4" width="9.42578125" style="2" customWidth="1"/>
    <col min="5" max="5" width="9" style="2" customWidth="1"/>
    <col min="6" max="6" width="9.85546875" style="2" customWidth="1"/>
    <col min="7" max="7" width="9.140625" style="2" customWidth="1"/>
    <col min="8" max="8" width="9.7109375" style="2" customWidth="1"/>
    <col min="9" max="10" width="8.85546875" style="2" customWidth="1"/>
    <col min="11" max="12" width="9.42578125" style="2" customWidth="1"/>
    <col min="13" max="16384" width="9.140625" style="2"/>
  </cols>
  <sheetData>
    <row r="1" spans="1:33" s="5" customFormat="1" ht="15.75" customHeight="1" x14ac:dyDescent="0.25">
      <c r="A1" s="5" t="s">
        <v>230</v>
      </c>
      <c r="B1" s="6" t="s">
        <v>233</v>
      </c>
      <c r="C1" s="3" t="s">
        <v>283</v>
      </c>
      <c r="D1" s="5" t="s">
        <v>257</v>
      </c>
      <c r="E1" s="5" t="s">
        <v>258</v>
      </c>
      <c r="F1" s="5" t="s">
        <v>259</v>
      </c>
      <c r="G1" s="5" t="s">
        <v>260</v>
      </c>
      <c r="H1" s="5" t="s">
        <v>261</v>
      </c>
      <c r="I1" s="5" t="s">
        <v>262</v>
      </c>
      <c r="J1" s="5" t="s">
        <v>263</v>
      </c>
      <c r="K1" s="5" t="s">
        <v>264</v>
      </c>
      <c r="L1" s="5" t="s">
        <v>265</v>
      </c>
      <c r="M1" s="5" t="s">
        <v>266</v>
      </c>
      <c r="N1" s="5" t="s">
        <v>267</v>
      </c>
      <c r="O1" s="5" t="s">
        <v>268</v>
      </c>
      <c r="P1" s="5" t="s">
        <v>269</v>
      </c>
      <c r="Q1" s="5" t="s">
        <v>270</v>
      </c>
      <c r="R1" s="5" t="s">
        <v>271</v>
      </c>
      <c r="S1" s="5" t="s">
        <v>272</v>
      </c>
      <c r="T1" s="5" t="s">
        <v>273</v>
      </c>
      <c r="U1" s="5" t="s">
        <v>274</v>
      </c>
      <c r="V1" s="5" t="s">
        <v>275</v>
      </c>
      <c r="W1" s="5" t="s">
        <v>276</v>
      </c>
      <c r="X1" s="5" t="s">
        <v>277</v>
      </c>
      <c r="Y1" s="5" t="s">
        <v>278</v>
      </c>
      <c r="Z1" s="5" t="s">
        <v>279</v>
      </c>
      <c r="AA1" s="5" t="s">
        <v>280</v>
      </c>
      <c r="AB1" s="5" t="s">
        <v>281</v>
      </c>
      <c r="AC1" s="5" t="s">
        <v>282</v>
      </c>
      <c r="AD1" s="5" t="s">
        <v>299</v>
      </c>
      <c r="AE1" s="5" t="s">
        <v>300</v>
      </c>
      <c r="AF1" s="5" t="s">
        <v>301</v>
      </c>
      <c r="AG1" s="5" t="s">
        <v>302</v>
      </c>
    </row>
    <row r="2" spans="1:33" ht="15.75" customHeight="1" x14ac:dyDescent="0.25">
      <c r="A2" s="2">
        <v>1</v>
      </c>
      <c r="B2" s="4" t="s">
        <v>231</v>
      </c>
      <c r="C2" s="2" t="s">
        <v>1</v>
      </c>
      <c r="D2" s="2">
        <v>89</v>
      </c>
      <c r="E2" s="7">
        <v>1.1000000000000001</v>
      </c>
      <c r="F2" s="7">
        <v>5.1717718783643614</v>
      </c>
      <c r="G2" s="7">
        <v>12.126198592557721</v>
      </c>
      <c r="H2" s="7">
        <v>19.69211737252963</v>
      </c>
      <c r="I2" s="7">
        <v>48.712079816257507</v>
      </c>
      <c r="J2" s="7">
        <v>0.35</v>
      </c>
      <c r="K2" s="2">
        <v>3</v>
      </c>
      <c r="L2" s="7">
        <v>227</v>
      </c>
      <c r="M2" s="2">
        <v>2</v>
      </c>
      <c r="N2" s="2">
        <v>0</v>
      </c>
      <c r="O2" s="2">
        <v>1</v>
      </c>
      <c r="P2" s="2">
        <v>0</v>
      </c>
      <c r="Q2" s="2">
        <f>SUM(M2:P2)</f>
        <v>3</v>
      </c>
      <c r="R2" s="2">
        <v>225</v>
      </c>
      <c r="T2" s="2">
        <v>3</v>
      </c>
      <c r="U2" s="2">
        <v>7</v>
      </c>
      <c r="V2" s="2">
        <v>2.15</v>
      </c>
      <c r="Y2" s="2" t="s">
        <v>304</v>
      </c>
      <c r="Z2" s="2" t="s">
        <v>304</v>
      </c>
      <c r="AA2" s="2" t="s">
        <v>304</v>
      </c>
      <c r="AB2" s="2" t="s">
        <v>304</v>
      </c>
      <c r="AC2" s="2" t="s">
        <v>304</v>
      </c>
      <c r="AD2" s="2">
        <v>3470</v>
      </c>
      <c r="AE2" s="2">
        <v>1320</v>
      </c>
      <c r="AF2" s="2">
        <v>203</v>
      </c>
      <c r="AG2" s="2">
        <v>406</v>
      </c>
    </row>
    <row r="3" spans="1:33" ht="15.75" customHeight="1" x14ac:dyDescent="0.25">
      <c r="A3" s="2">
        <v>2</v>
      </c>
      <c r="B3" s="4" t="s">
        <v>256</v>
      </c>
      <c r="C3" s="2" t="s">
        <v>3</v>
      </c>
      <c r="D3" s="2">
        <v>47</v>
      </c>
      <c r="E3" s="7">
        <v>1.93</v>
      </c>
      <c r="F3" s="7">
        <v>7.5762830522732427</v>
      </c>
      <c r="G3" s="7">
        <v>21.454043663755968</v>
      </c>
      <c r="H3" s="7">
        <v>34.834319204774786</v>
      </c>
      <c r="I3" s="7">
        <v>49</v>
      </c>
      <c r="J3" s="7">
        <v>1.304</v>
      </c>
      <c r="K3" s="2">
        <v>11</v>
      </c>
      <c r="L3" s="7">
        <v>107.86799999999999</v>
      </c>
      <c r="M3" s="2">
        <v>1</v>
      </c>
      <c r="N3" s="2">
        <v>0</v>
      </c>
      <c r="O3" s="2">
        <v>10</v>
      </c>
      <c r="P3" s="2">
        <v>0</v>
      </c>
      <c r="Q3" s="2">
        <f t="shared" ref="Q3:Q66" si="0">SUM(M3:P3)</f>
        <v>11</v>
      </c>
      <c r="R3" s="2">
        <v>225</v>
      </c>
      <c r="S3" s="2">
        <v>1</v>
      </c>
      <c r="T3" s="2">
        <v>11</v>
      </c>
      <c r="U3" s="2">
        <v>5</v>
      </c>
      <c r="V3" s="2">
        <v>1.45</v>
      </c>
      <c r="W3" s="2">
        <v>-4.5640000000000001</v>
      </c>
      <c r="X3" s="2">
        <v>-3.7919999999999998</v>
      </c>
      <c r="Y3" s="2">
        <v>1.0449999999999999</v>
      </c>
      <c r="Z3" s="2">
        <v>1.33</v>
      </c>
      <c r="AA3" s="2">
        <v>0.38500000000000001</v>
      </c>
      <c r="AB3" s="2">
        <v>1.39</v>
      </c>
      <c r="AC3" s="2">
        <v>4.45</v>
      </c>
      <c r="AD3" s="2">
        <v>2485</v>
      </c>
      <c r="AE3" s="2">
        <v>1235.0999999999999</v>
      </c>
      <c r="AF3" s="2">
        <v>55</v>
      </c>
      <c r="AG3" s="2">
        <v>284.89999999999998</v>
      </c>
    </row>
    <row r="4" spans="1:33" ht="15.75" customHeight="1" x14ac:dyDescent="0.25">
      <c r="A4" s="2">
        <v>3</v>
      </c>
      <c r="B4" s="4" t="s">
        <v>232</v>
      </c>
      <c r="C4" s="2" t="s">
        <v>7</v>
      </c>
      <c r="D4" s="2">
        <v>13</v>
      </c>
      <c r="E4" s="7">
        <v>1.61</v>
      </c>
      <c r="F4" s="7">
        <v>5.9853672540188745</v>
      </c>
      <c r="G4" s="7">
        <v>18.828773489828727</v>
      </c>
      <c r="H4" s="7">
        <v>28.447854612694385</v>
      </c>
      <c r="I4" s="7">
        <v>119.98718043251344</v>
      </c>
      <c r="J4" s="7">
        <v>0.432</v>
      </c>
      <c r="K4" s="2">
        <v>3</v>
      </c>
      <c r="L4" s="7">
        <v>26.981999999999999</v>
      </c>
      <c r="M4" s="2">
        <v>2</v>
      </c>
      <c r="N4" s="2">
        <v>1</v>
      </c>
      <c r="O4" s="2">
        <v>0</v>
      </c>
      <c r="P4" s="2">
        <v>0</v>
      </c>
      <c r="Q4" s="2">
        <f t="shared" si="0"/>
        <v>3</v>
      </c>
      <c r="R4" s="2">
        <v>225</v>
      </c>
      <c r="T4" s="2">
        <v>13</v>
      </c>
      <c r="U4" s="2">
        <v>3</v>
      </c>
      <c r="V4" s="2">
        <v>1.21</v>
      </c>
      <c r="Y4" s="2">
        <v>0.77</v>
      </c>
      <c r="Z4" s="2">
        <v>0.90500000000000003</v>
      </c>
      <c r="AA4" s="2">
        <v>0</v>
      </c>
      <c r="AB4" s="2" t="s">
        <v>304</v>
      </c>
      <c r="AC4" s="2" t="s">
        <v>304</v>
      </c>
      <c r="AD4" s="2">
        <v>2740</v>
      </c>
      <c r="AE4" s="2">
        <v>933.5</v>
      </c>
      <c r="AF4" s="2">
        <v>57.8</v>
      </c>
      <c r="AG4" s="2">
        <v>330.9</v>
      </c>
    </row>
    <row r="5" spans="1:33" ht="15.75" customHeight="1" x14ac:dyDescent="0.25">
      <c r="A5" s="2">
        <v>4</v>
      </c>
      <c r="B5" s="4" t="s">
        <v>234</v>
      </c>
      <c r="C5" s="2" t="s">
        <v>9</v>
      </c>
      <c r="D5" s="2">
        <v>33</v>
      </c>
      <c r="E5" s="7">
        <v>2.1800000000000002</v>
      </c>
      <c r="F5" s="7">
        <v>9.8149658693608206</v>
      </c>
      <c r="G5" s="7">
        <v>18.634961597793829</v>
      </c>
      <c r="H5" s="7">
        <v>28.346284744141336</v>
      </c>
      <c r="I5" s="7">
        <v>50.131985121539905</v>
      </c>
      <c r="J5" s="7">
        <v>0.80400000000000005</v>
      </c>
      <c r="K5" s="2">
        <v>5</v>
      </c>
      <c r="L5" s="7">
        <v>74.921999999999997</v>
      </c>
      <c r="M5" s="2">
        <v>2</v>
      </c>
      <c r="N5" s="2">
        <v>3</v>
      </c>
      <c r="O5" s="2">
        <v>10</v>
      </c>
      <c r="P5" s="2">
        <v>0</v>
      </c>
      <c r="Q5" s="2">
        <f t="shared" si="0"/>
        <v>15</v>
      </c>
      <c r="R5" s="2">
        <v>166</v>
      </c>
      <c r="T5" s="2">
        <v>15</v>
      </c>
      <c r="U5" s="2">
        <v>4</v>
      </c>
      <c r="V5" s="2">
        <v>1.19</v>
      </c>
      <c r="Y5" s="2">
        <v>0.67</v>
      </c>
      <c r="Z5" s="2">
        <v>0.745</v>
      </c>
      <c r="AA5" s="2">
        <v>0.155</v>
      </c>
      <c r="AB5" s="2">
        <v>1.44</v>
      </c>
      <c r="AC5" s="2">
        <v>4.8</v>
      </c>
      <c r="AD5" s="2">
        <v>876</v>
      </c>
      <c r="AE5" s="2">
        <v>1090</v>
      </c>
      <c r="AF5" s="2">
        <v>30</v>
      </c>
      <c r="AG5" s="2">
        <v>302.5</v>
      </c>
    </row>
    <row r="6" spans="1:33" ht="15.75" customHeight="1" x14ac:dyDescent="0.25">
      <c r="A6" s="2">
        <v>5</v>
      </c>
      <c r="B6" s="4" t="s">
        <v>235</v>
      </c>
      <c r="C6" s="2" t="s">
        <v>12</v>
      </c>
      <c r="D6" s="2">
        <v>79</v>
      </c>
      <c r="E6" s="7">
        <v>2.54</v>
      </c>
      <c r="F6" s="7">
        <v>9.2252387754150664</v>
      </c>
      <c r="G6" s="7">
        <v>20.2</v>
      </c>
      <c r="H6" s="7">
        <v>30</v>
      </c>
      <c r="I6" s="7">
        <v>45</v>
      </c>
      <c r="J6" s="7">
        <v>2.3079999999999998</v>
      </c>
      <c r="K6" s="2">
        <v>11</v>
      </c>
      <c r="L6" s="7">
        <v>196.96700000000001</v>
      </c>
      <c r="M6" s="2">
        <v>1</v>
      </c>
      <c r="N6" s="2">
        <v>0</v>
      </c>
      <c r="O6" s="2">
        <v>10</v>
      </c>
      <c r="P6" s="2">
        <v>14</v>
      </c>
      <c r="Q6" s="2">
        <f t="shared" si="0"/>
        <v>25</v>
      </c>
      <c r="R6" s="2">
        <v>225</v>
      </c>
      <c r="S6" s="2">
        <v>1</v>
      </c>
      <c r="T6" s="2">
        <v>11</v>
      </c>
      <c r="U6" s="2">
        <v>6</v>
      </c>
      <c r="V6" s="2">
        <v>1.36</v>
      </c>
      <c r="W6" s="2">
        <v>-5.8390000000000004</v>
      </c>
      <c r="X6" s="2">
        <v>-5.1289999999999996</v>
      </c>
      <c r="Y6" s="2">
        <v>1.21</v>
      </c>
      <c r="Z6" s="2">
        <v>1.45</v>
      </c>
      <c r="AA6" s="2">
        <v>0.48799999999999999</v>
      </c>
      <c r="AB6" s="2">
        <v>1.57</v>
      </c>
      <c r="AC6" s="2">
        <v>5.15</v>
      </c>
      <c r="AD6" s="2">
        <v>3080</v>
      </c>
      <c r="AE6" s="2">
        <v>1337.6</v>
      </c>
      <c r="AF6" s="2">
        <v>36</v>
      </c>
      <c r="AG6" s="2">
        <v>368.2</v>
      </c>
    </row>
    <row r="7" spans="1:33" ht="15.75" customHeight="1" x14ac:dyDescent="0.25">
      <c r="A7" s="2">
        <v>6</v>
      </c>
      <c r="B7" s="4" t="s">
        <v>236</v>
      </c>
      <c r="C7" s="2" t="s">
        <v>15</v>
      </c>
      <c r="D7" s="2">
        <v>5</v>
      </c>
      <c r="E7" s="7">
        <v>2.04</v>
      </c>
      <c r="F7" s="7">
        <v>8.2976364044459068</v>
      </c>
      <c r="G7" s="7">
        <v>25.155125302561402</v>
      </c>
      <c r="H7" s="7">
        <v>37.93012734118247</v>
      </c>
      <c r="I7" s="7">
        <v>259.37420575865895</v>
      </c>
      <c r="J7" s="7">
        <v>0.27900000000000003</v>
      </c>
      <c r="K7" s="2">
        <v>3</v>
      </c>
      <c r="L7" s="7">
        <v>10.811</v>
      </c>
      <c r="M7" s="2">
        <v>2</v>
      </c>
      <c r="N7" s="2">
        <v>1</v>
      </c>
      <c r="O7" s="2">
        <v>0</v>
      </c>
      <c r="P7" s="2">
        <v>0</v>
      </c>
      <c r="Q7" s="2">
        <f t="shared" si="0"/>
        <v>3</v>
      </c>
      <c r="R7" s="2">
        <v>166</v>
      </c>
      <c r="T7" s="2">
        <v>13</v>
      </c>
      <c r="U7" s="2">
        <v>2</v>
      </c>
      <c r="V7" s="2">
        <v>0.84</v>
      </c>
      <c r="Y7" s="2">
        <v>0.48</v>
      </c>
      <c r="Z7" s="2">
        <v>0.315</v>
      </c>
      <c r="AA7" s="2">
        <v>0</v>
      </c>
      <c r="AB7" s="2">
        <v>1.55</v>
      </c>
      <c r="AC7" s="2">
        <v>4.75</v>
      </c>
      <c r="AD7" s="2">
        <v>3931</v>
      </c>
      <c r="AE7" s="2">
        <v>2573</v>
      </c>
      <c r="AF7" s="2">
        <v>20.5</v>
      </c>
      <c r="AG7" s="2">
        <v>565</v>
      </c>
    </row>
    <row r="8" spans="1:33" ht="15.75" customHeight="1" x14ac:dyDescent="0.25">
      <c r="A8" s="2">
        <v>7</v>
      </c>
      <c r="B8" s="4" t="s">
        <v>237</v>
      </c>
      <c r="C8" s="2" t="s">
        <v>17</v>
      </c>
      <c r="D8" s="2">
        <v>56</v>
      </c>
      <c r="E8" s="7">
        <v>0.89</v>
      </c>
      <c r="F8" s="7">
        <v>5.2121925403395535</v>
      </c>
      <c r="G8" s="7">
        <v>10.003595625245053</v>
      </c>
      <c r="H8" s="7">
        <v>37.311380284792989</v>
      </c>
      <c r="I8" s="7">
        <v>47</v>
      </c>
      <c r="J8" s="7">
        <v>0.14399999999999999</v>
      </c>
      <c r="K8" s="2">
        <v>2</v>
      </c>
      <c r="L8" s="7">
        <v>137.327</v>
      </c>
      <c r="M8" s="2">
        <v>2</v>
      </c>
      <c r="N8" s="2">
        <v>0</v>
      </c>
      <c r="O8" s="2">
        <v>0</v>
      </c>
      <c r="P8" s="2">
        <v>0</v>
      </c>
      <c r="Q8" s="2">
        <f t="shared" si="0"/>
        <v>2</v>
      </c>
      <c r="R8" s="2">
        <v>229</v>
      </c>
      <c r="T8" s="2">
        <v>2</v>
      </c>
      <c r="U8" s="2">
        <v>6</v>
      </c>
      <c r="V8" s="2">
        <v>2.15</v>
      </c>
      <c r="Y8" s="2">
        <v>1.5149999999999999</v>
      </c>
      <c r="Z8" s="2">
        <v>1.887</v>
      </c>
      <c r="AA8" s="2">
        <v>0.94</v>
      </c>
      <c r="AB8" s="2">
        <v>0.81</v>
      </c>
      <c r="AC8" s="2">
        <v>2.3199999999999998</v>
      </c>
      <c r="AD8" s="2">
        <v>1910</v>
      </c>
      <c r="AE8" s="2">
        <v>1002</v>
      </c>
      <c r="AF8" s="2">
        <v>272</v>
      </c>
      <c r="AG8" s="2">
        <v>179.1</v>
      </c>
    </row>
    <row r="9" spans="1:33" ht="15.75" customHeight="1" x14ac:dyDescent="0.25">
      <c r="A9" s="2">
        <v>8</v>
      </c>
      <c r="B9" s="4" t="s">
        <v>238</v>
      </c>
      <c r="C9" s="2" t="s">
        <v>20</v>
      </c>
      <c r="D9" s="2">
        <v>4</v>
      </c>
      <c r="E9" s="7">
        <v>1.57</v>
      </c>
      <c r="F9" s="7">
        <v>9.32266293504758</v>
      </c>
      <c r="G9" s="7">
        <v>18.211062860669376</v>
      </c>
      <c r="H9" s="7">
        <v>153.89597012077934</v>
      </c>
      <c r="I9" s="7">
        <v>217.71812252514786</v>
      </c>
      <c r="J9" s="7">
        <v>-0.5</v>
      </c>
      <c r="K9" s="2">
        <v>2</v>
      </c>
      <c r="L9" s="7">
        <v>9.0120000000000005</v>
      </c>
      <c r="M9" s="2">
        <v>2</v>
      </c>
      <c r="N9" s="2">
        <v>0</v>
      </c>
      <c r="O9" s="2">
        <v>0</v>
      </c>
      <c r="P9" s="2">
        <v>0</v>
      </c>
      <c r="Q9" s="2">
        <f t="shared" si="0"/>
        <v>2</v>
      </c>
      <c r="R9" s="2">
        <v>194</v>
      </c>
      <c r="T9" s="2">
        <v>2</v>
      </c>
      <c r="U9" s="2">
        <v>2</v>
      </c>
      <c r="V9" s="2">
        <v>0.96</v>
      </c>
      <c r="Y9" s="2">
        <v>0.64</v>
      </c>
      <c r="Z9" s="2">
        <v>0.44</v>
      </c>
      <c r="AA9" s="2">
        <v>0</v>
      </c>
      <c r="AB9" s="2">
        <v>1.6</v>
      </c>
      <c r="AC9" s="2">
        <v>4.2</v>
      </c>
      <c r="AD9" s="2">
        <v>3243</v>
      </c>
      <c r="AE9" s="2">
        <v>1551</v>
      </c>
      <c r="AF9" s="2">
        <v>37.74</v>
      </c>
      <c r="AG9" s="2">
        <v>324</v>
      </c>
    </row>
    <row r="10" spans="1:33" ht="15.75" customHeight="1" x14ac:dyDescent="0.25">
      <c r="A10" s="2">
        <v>9</v>
      </c>
      <c r="B10" s="4" t="s">
        <v>239</v>
      </c>
      <c r="C10" s="2" t="s">
        <v>22</v>
      </c>
      <c r="D10" s="2">
        <v>83</v>
      </c>
      <c r="E10" s="7">
        <v>2.02</v>
      </c>
      <c r="F10" s="7">
        <v>7.2860834278359636</v>
      </c>
      <c r="G10" s="7">
        <v>16.6864784051435</v>
      </c>
      <c r="H10" s="7">
        <v>25.558295495083197</v>
      </c>
      <c r="I10" s="7">
        <v>45.291869956818154</v>
      </c>
      <c r="J10" s="7">
        <v>0.94199999999999995</v>
      </c>
      <c r="K10" s="2">
        <v>5</v>
      </c>
      <c r="L10" s="7">
        <v>208.98</v>
      </c>
      <c r="M10" s="2">
        <v>2</v>
      </c>
      <c r="N10" s="2">
        <v>3</v>
      </c>
      <c r="O10" s="2">
        <v>10</v>
      </c>
      <c r="P10" s="2">
        <v>14</v>
      </c>
      <c r="Q10" s="2">
        <f t="shared" si="0"/>
        <v>29</v>
      </c>
      <c r="R10" s="2">
        <v>12</v>
      </c>
      <c r="T10" s="2">
        <v>15</v>
      </c>
      <c r="U10" s="2">
        <v>6</v>
      </c>
      <c r="V10" s="2">
        <v>1.48</v>
      </c>
      <c r="Y10" s="2">
        <v>0.92</v>
      </c>
      <c r="Z10" s="2">
        <v>1.077</v>
      </c>
      <c r="AA10" s="2">
        <v>0.438</v>
      </c>
      <c r="AB10" s="2">
        <v>1.1599999999999999</v>
      </c>
      <c r="AC10" s="2">
        <v>4.1500000000000004</v>
      </c>
      <c r="AD10" s="2">
        <v>1883</v>
      </c>
      <c r="AE10" s="2">
        <v>544.5</v>
      </c>
      <c r="AF10" s="2">
        <v>48</v>
      </c>
      <c r="AG10" s="2">
        <v>209.6</v>
      </c>
    </row>
    <row r="11" spans="1:33" ht="15.75" customHeight="1" x14ac:dyDescent="0.25">
      <c r="A11" s="2">
        <v>10</v>
      </c>
      <c r="B11" s="4" t="s">
        <v>240</v>
      </c>
      <c r="C11" s="2" t="s">
        <v>26</v>
      </c>
      <c r="D11" s="2">
        <v>20</v>
      </c>
      <c r="E11" s="7">
        <v>1</v>
      </c>
      <c r="F11" s="7">
        <v>6.1128478033252502</v>
      </c>
      <c r="G11" s="7">
        <v>11.871237493944969</v>
      </c>
      <c r="H11" s="7">
        <v>50.913451253060295</v>
      </c>
      <c r="I11" s="7">
        <v>67.274491507942017</v>
      </c>
      <c r="J11" s="7">
        <v>2.4E-2</v>
      </c>
      <c r="K11" s="2">
        <v>2</v>
      </c>
      <c r="L11" s="7">
        <v>40.078000000000003</v>
      </c>
      <c r="M11" s="2">
        <v>2</v>
      </c>
      <c r="N11" s="2">
        <v>0</v>
      </c>
      <c r="O11" s="2">
        <v>0</v>
      </c>
      <c r="P11" s="2">
        <v>0</v>
      </c>
      <c r="Q11" s="2">
        <f t="shared" si="0"/>
        <v>2</v>
      </c>
      <c r="R11" s="2">
        <v>225</v>
      </c>
      <c r="T11" s="2">
        <v>2</v>
      </c>
      <c r="U11" s="2">
        <v>4</v>
      </c>
      <c r="V11" s="2">
        <v>1.76</v>
      </c>
      <c r="Y11" s="2">
        <v>1.32</v>
      </c>
      <c r="Z11" s="2">
        <v>1.68</v>
      </c>
      <c r="AA11" s="2">
        <v>0.34</v>
      </c>
      <c r="AB11" s="2">
        <v>0.91</v>
      </c>
      <c r="AC11" s="2">
        <v>2.5499999999999998</v>
      </c>
      <c r="AD11" s="2">
        <v>1757</v>
      </c>
      <c r="AE11" s="2">
        <v>1112</v>
      </c>
      <c r="AF11" s="2">
        <v>160.80000000000001</v>
      </c>
      <c r="AG11" s="2">
        <v>177.8</v>
      </c>
    </row>
    <row r="12" spans="1:33" ht="15.75" customHeight="1" x14ac:dyDescent="0.25">
      <c r="A12" s="2">
        <v>11</v>
      </c>
      <c r="B12" s="4" t="s">
        <v>242</v>
      </c>
      <c r="C12" s="2" t="s">
        <v>28</v>
      </c>
      <c r="D12" s="2">
        <v>48</v>
      </c>
      <c r="E12" s="7">
        <v>1.69</v>
      </c>
      <c r="F12" s="7">
        <v>8.9941155030953759</v>
      </c>
      <c r="G12" s="7">
        <v>16.908273832392023</v>
      </c>
      <c r="H12" s="7">
        <v>37.47720864161429</v>
      </c>
      <c r="I12" s="7">
        <v>51</v>
      </c>
      <c r="J12" s="7">
        <v>-0.7</v>
      </c>
      <c r="K12" s="2">
        <v>12</v>
      </c>
      <c r="L12" s="7">
        <v>112.411</v>
      </c>
      <c r="M12" s="2">
        <v>2</v>
      </c>
      <c r="N12" s="2">
        <v>0</v>
      </c>
      <c r="O12" s="2">
        <v>10</v>
      </c>
      <c r="P12" s="2">
        <v>0</v>
      </c>
      <c r="Q12" s="2">
        <f t="shared" si="0"/>
        <v>12</v>
      </c>
      <c r="R12" s="2">
        <v>194</v>
      </c>
      <c r="T12" s="2">
        <v>12</v>
      </c>
      <c r="U12" s="2">
        <v>5</v>
      </c>
      <c r="V12" s="2">
        <v>1.44</v>
      </c>
      <c r="Y12" s="2">
        <v>0.98499999999999999</v>
      </c>
      <c r="Z12" s="2">
        <v>1.23</v>
      </c>
      <c r="AA12" s="2">
        <v>0.37</v>
      </c>
      <c r="AB12" s="2">
        <v>1.24</v>
      </c>
      <c r="AC12" s="2">
        <v>4.05</v>
      </c>
      <c r="AD12" s="2">
        <v>1038</v>
      </c>
      <c r="AE12" s="2">
        <v>594.1</v>
      </c>
      <c r="AF12" s="2">
        <v>46</v>
      </c>
      <c r="AG12" s="2">
        <v>111.8</v>
      </c>
    </row>
    <row r="13" spans="1:33" ht="15.75" customHeight="1" x14ac:dyDescent="0.25">
      <c r="A13" s="2">
        <v>12</v>
      </c>
      <c r="B13" s="4" t="s">
        <v>243</v>
      </c>
      <c r="C13" s="2" t="s">
        <v>34</v>
      </c>
      <c r="D13" s="2">
        <v>58</v>
      </c>
      <c r="E13" s="7">
        <v>1.1200000000000001</v>
      </c>
      <c r="F13" s="7">
        <v>5.5386671178314915</v>
      </c>
      <c r="G13" s="7">
        <v>10.882485916397954</v>
      </c>
      <c r="H13" s="7">
        <v>20.19996671529487</v>
      </c>
      <c r="I13" s="7">
        <v>36.762073852822425</v>
      </c>
      <c r="J13" s="7">
        <v>0.56999999999999995</v>
      </c>
      <c r="K13" s="2">
        <v>2</v>
      </c>
      <c r="L13" s="7">
        <v>140.11600000000001</v>
      </c>
      <c r="M13" s="2">
        <v>2</v>
      </c>
      <c r="N13" s="2">
        <v>0</v>
      </c>
      <c r="O13" s="2">
        <v>1</v>
      </c>
      <c r="P13" s="2">
        <v>1</v>
      </c>
      <c r="Q13" s="2">
        <f t="shared" si="0"/>
        <v>4</v>
      </c>
      <c r="R13" s="2">
        <v>194</v>
      </c>
      <c r="S13" s="2">
        <v>2</v>
      </c>
      <c r="T13" s="2">
        <v>3</v>
      </c>
      <c r="U13" s="2">
        <v>6</v>
      </c>
      <c r="V13" s="2">
        <v>2.04</v>
      </c>
      <c r="W13" s="2">
        <v>-2.0190000000000001</v>
      </c>
      <c r="X13" s="2">
        <v>-1.77</v>
      </c>
      <c r="Y13" s="2" t="s">
        <v>304</v>
      </c>
      <c r="Z13" s="2" t="s">
        <v>304</v>
      </c>
      <c r="AA13" s="2" t="s">
        <v>304</v>
      </c>
      <c r="AB13" s="2" t="s">
        <v>304</v>
      </c>
      <c r="AC13" s="2" t="s">
        <v>304</v>
      </c>
      <c r="AD13" s="2">
        <v>3699</v>
      </c>
      <c r="AE13" s="2">
        <v>1072</v>
      </c>
      <c r="AF13" s="2">
        <v>205</v>
      </c>
      <c r="AG13" s="2">
        <v>420.1</v>
      </c>
    </row>
    <row r="14" spans="1:33" ht="15.75" customHeight="1" x14ac:dyDescent="0.25">
      <c r="A14" s="2">
        <v>13</v>
      </c>
      <c r="B14" s="4" t="s">
        <v>244</v>
      </c>
      <c r="C14" s="2" t="s">
        <v>39</v>
      </c>
      <c r="D14" s="2">
        <v>27</v>
      </c>
      <c r="E14" s="7">
        <v>1.88</v>
      </c>
      <c r="F14" s="7">
        <v>7.880992657932385</v>
      </c>
      <c r="G14" s="7">
        <v>17.080320752594123</v>
      </c>
      <c r="H14" s="7">
        <v>33.497328077903035</v>
      </c>
      <c r="I14" s="7">
        <v>51.303147891590356</v>
      </c>
      <c r="J14" s="7">
        <v>0.66200000000000003</v>
      </c>
      <c r="K14" s="2">
        <v>9</v>
      </c>
      <c r="L14" s="7">
        <v>58.933</v>
      </c>
      <c r="M14" s="2">
        <v>2</v>
      </c>
      <c r="N14" s="2">
        <v>0</v>
      </c>
      <c r="O14" s="2">
        <v>7</v>
      </c>
      <c r="P14" s="2">
        <v>0</v>
      </c>
      <c r="Q14" s="2">
        <f t="shared" si="0"/>
        <v>9</v>
      </c>
      <c r="R14" s="2">
        <v>194</v>
      </c>
      <c r="S14" s="2">
        <v>2</v>
      </c>
      <c r="T14" s="2">
        <v>9</v>
      </c>
      <c r="U14" s="2">
        <v>4</v>
      </c>
      <c r="V14" s="2">
        <v>1.38</v>
      </c>
      <c r="W14" s="2">
        <v>-3.964</v>
      </c>
      <c r="X14" s="2">
        <v>-3.2639999999999998</v>
      </c>
      <c r="Y14" s="2">
        <v>0.92</v>
      </c>
      <c r="Z14" s="2">
        <v>1.1000000000000001</v>
      </c>
      <c r="AA14" s="2">
        <v>0.21</v>
      </c>
      <c r="AB14" s="2">
        <v>1.75</v>
      </c>
      <c r="AC14" s="2">
        <v>5.0999999999999996</v>
      </c>
      <c r="AD14" s="2">
        <v>3143</v>
      </c>
      <c r="AE14" s="2">
        <v>1768</v>
      </c>
      <c r="AF14" s="2">
        <v>55</v>
      </c>
      <c r="AG14" s="2">
        <v>426.7</v>
      </c>
    </row>
    <row r="15" spans="1:33" ht="15.75" customHeight="1" x14ac:dyDescent="0.25">
      <c r="A15" s="2">
        <v>14</v>
      </c>
      <c r="B15" s="4" t="s">
        <v>245</v>
      </c>
      <c r="C15" s="2" t="s">
        <v>42</v>
      </c>
      <c r="D15" s="2">
        <v>24</v>
      </c>
      <c r="E15" s="7">
        <v>1.66</v>
      </c>
      <c r="F15" s="7">
        <v>6.7668333855392611</v>
      </c>
      <c r="G15" s="7">
        <v>16.485411522497699</v>
      </c>
      <c r="H15" s="7">
        <v>30.958081364076847</v>
      </c>
      <c r="I15" s="7">
        <v>49.157743525214755</v>
      </c>
      <c r="J15" s="7">
        <v>0.67500000000000004</v>
      </c>
      <c r="K15" s="2">
        <v>6</v>
      </c>
      <c r="L15" s="7">
        <v>51.996000000000002</v>
      </c>
      <c r="M15" s="2">
        <v>1</v>
      </c>
      <c r="N15" s="2">
        <v>0</v>
      </c>
      <c r="O15" s="2">
        <v>5</v>
      </c>
      <c r="P15" s="2">
        <v>0</v>
      </c>
      <c r="Q15" s="2">
        <f t="shared" si="0"/>
        <v>6</v>
      </c>
      <c r="R15" s="2">
        <v>229</v>
      </c>
      <c r="S15" s="2">
        <v>1</v>
      </c>
      <c r="T15" s="2">
        <v>6</v>
      </c>
      <c r="U15" s="2">
        <v>4</v>
      </c>
      <c r="V15" s="2">
        <v>1.39</v>
      </c>
      <c r="W15" s="2">
        <v>-4.0540000000000003</v>
      </c>
      <c r="X15" s="2">
        <v>-1.028</v>
      </c>
      <c r="Y15" s="2">
        <v>1.07</v>
      </c>
      <c r="Z15" s="2">
        <v>1.37</v>
      </c>
      <c r="AA15" s="2">
        <v>0.25</v>
      </c>
      <c r="AB15" s="2">
        <v>1.73</v>
      </c>
      <c r="AC15" s="2">
        <v>4.6500000000000004</v>
      </c>
      <c r="AD15" s="2">
        <v>2945</v>
      </c>
      <c r="AE15" s="2">
        <v>2130</v>
      </c>
      <c r="AF15" s="2">
        <v>83</v>
      </c>
      <c r="AG15" s="2">
        <v>397.48</v>
      </c>
    </row>
    <row r="16" spans="1:33" ht="15.75" customHeight="1" x14ac:dyDescent="0.25">
      <c r="A16" s="2">
        <v>15</v>
      </c>
      <c r="B16" s="2" t="s">
        <v>246</v>
      </c>
      <c r="C16" s="2" t="s">
        <v>46</v>
      </c>
      <c r="D16" s="2">
        <v>55</v>
      </c>
      <c r="E16" s="7">
        <v>0.79</v>
      </c>
      <c r="F16" s="7">
        <v>3.893857103610201</v>
      </c>
      <c r="G16" s="7">
        <v>23.156893602864717</v>
      </c>
      <c r="H16" s="7">
        <v>33.200000000000003</v>
      </c>
      <c r="I16" s="7">
        <v>43</v>
      </c>
      <c r="J16" s="7">
        <v>0.47099999999999997</v>
      </c>
      <c r="K16" s="2">
        <v>1</v>
      </c>
      <c r="L16" s="7">
        <v>132.90600000000001</v>
      </c>
      <c r="M16" s="2">
        <v>1</v>
      </c>
      <c r="N16" s="2">
        <v>0</v>
      </c>
      <c r="O16" s="2">
        <v>0</v>
      </c>
      <c r="P16" s="2">
        <v>0</v>
      </c>
      <c r="Q16" s="2">
        <f t="shared" si="0"/>
        <v>1</v>
      </c>
      <c r="R16" s="2">
        <v>229</v>
      </c>
      <c r="T16" s="2">
        <v>1</v>
      </c>
      <c r="U16" s="2">
        <v>6</v>
      </c>
      <c r="V16" s="2">
        <v>2.44</v>
      </c>
      <c r="Y16" s="2">
        <v>1.71</v>
      </c>
      <c r="Z16" s="2">
        <v>2.6</v>
      </c>
      <c r="AA16" s="2">
        <v>0</v>
      </c>
      <c r="AB16" s="2">
        <v>0.55000000000000004</v>
      </c>
      <c r="AC16" s="2">
        <v>1.95</v>
      </c>
      <c r="AD16" s="2">
        <v>951.6</v>
      </c>
      <c r="AE16" s="2">
        <v>301.60000000000002</v>
      </c>
      <c r="AF16" s="2">
        <v>400.9</v>
      </c>
      <c r="AG16" s="2">
        <v>76.5</v>
      </c>
    </row>
    <row r="17" spans="1:33" ht="15.75" customHeight="1" x14ac:dyDescent="0.25">
      <c r="A17" s="2">
        <v>16</v>
      </c>
      <c r="B17" s="2" t="s">
        <v>241</v>
      </c>
      <c r="C17" s="2" t="s">
        <v>52</v>
      </c>
      <c r="D17" s="2">
        <v>29</v>
      </c>
      <c r="E17" s="7">
        <v>1.9</v>
      </c>
      <c r="F17" s="7">
        <v>7.7265650006425473</v>
      </c>
      <c r="G17" s="7">
        <v>20.292208738776718</v>
      </c>
      <c r="H17" s="7">
        <v>36.844988031233072</v>
      </c>
      <c r="I17" s="7">
        <v>57.376611460170544</v>
      </c>
      <c r="J17" s="7">
        <v>1.2350000000000001</v>
      </c>
      <c r="K17" s="2">
        <v>11</v>
      </c>
      <c r="L17" s="7">
        <v>63.545999999999999</v>
      </c>
      <c r="M17" s="2">
        <v>1</v>
      </c>
      <c r="N17" s="2">
        <v>0</v>
      </c>
      <c r="O17" s="2">
        <v>10</v>
      </c>
      <c r="P17" s="2">
        <v>0</v>
      </c>
      <c r="Q17" s="2">
        <f t="shared" si="0"/>
        <v>11</v>
      </c>
      <c r="R17" s="2">
        <v>225</v>
      </c>
      <c r="S17" s="2">
        <v>1</v>
      </c>
      <c r="T17" s="2">
        <v>11</v>
      </c>
      <c r="U17" s="2">
        <v>4</v>
      </c>
      <c r="V17" s="2">
        <v>1.32</v>
      </c>
      <c r="W17" s="2">
        <v>-4.7750000000000004</v>
      </c>
      <c r="X17" s="2">
        <v>-3.9460000000000002</v>
      </c>
      <c r="Y17" s="2">
        <v>0.88</v>
      </c>
      <c r="Z17" s="2">
        <v>1.1599999999999999</v>
      </c>
      <c r="AA17" s="2">
        <v>0.185</v>
      </c>
      <c r="AB17" s="2">
        <v>1.47</v>
      </c>
      <c r="AC17" s="2">
        <v>4.55</v>
      </c>
      <c r="AD17" s="2">
        <v>2840</v>
      </c>
      <c r="AE17" s="2">
        <v>1356.6</v>
      </c>
      <c r="AF17" s="2">
        <v>46.5</v>
      </c>
      <c r="AG17" s="2">
        <v>337.4</v>
      </c>
    </row>
    <row r="18" spans="1:33" ht="15.75" customHeight="1" x14ac:dyDescent="0.25">
      <c r="A18" s="2">
        <v>17</v>
      </c>
      <c r="B18" s="2" t="s">
        <v>247</v>
      </c>
      <c r="C18" s="2" t="s">
        <v>56</v>
      </c>
      <c r="D18" s="2">
        <v>66</v>
      </c>
      <c r="E18" s="7">
        <v>1.23</v>
      </c>
      <c r="F18" s="7">
        <v>5.9387280286628839</v>
      </c>
      <c r="G18" s="7">
        <v>11.711627700504465</v>
      </c>
      <c r="H18" s="7">
        <v>22.801399062929047</v>
      </c>
      <c r="I18" s="7">
        <v>41.353446482312229</v>
      </c>
      <c r="J18" s="7">
        <v>0.35199999999999998</v>
      </c>
      <c r="K18" s="2">
        <v>2</v>
      </c>
      <c r="L18" s="7">
        <v>162.5</v>
      </c>
      <c r="M18" s="2">
        <v>2</v>
      </c>
      <c r="N18" s="2">
        <v>0</v>
      </c>
      <c r="O18" s="2">
        <v>0</v>
      </c>
      <c r="P18" s="2">
        <v>10</v>
      </c>
      <c r="Q18" s="2">
        <f t="shared" si="0"/>
        <v>12</v>
      </c>
      <c r="R18" s="2">
        <v>194</v>
      </c>
      <c r="T18" s="2">
        <v>3</v>
      </c>
      <c r="U18" s="2">
        <v>6</v>
      </c>
      <c r="V18" s="2">
        <v>1.92</v>
      </c>
      <c r="Y18" s="2" t="s">
        <v>304</v>
      </c>
      <c r="Z18" s="2" t="s">
        <v>304</v>
      </c>
      <c r="AA18" s="2" t="s">
        <v>304</v>
      </c>
      <c r="AB18" s="2" t="s">
        <v>304</v>
      </c>
      <c r="AC18" s="2" t="s">
        <v>304</v>
      </c>
      <c r="AD18" s="2">
        <v>2835</v>
      </c>
      <c r="AE18" s="2">
        <v>1685</v>
      </c>
      <c r="AF18" s="2">
        <v>163</v>
      </c>
      <c r="AG18" s="2">
        <v>290.39999999999998</v>
      </c>
    </row>
    <row r="19" spans="1:33" ht="15.75" customHeight="1" x14ac:dyDescent="0.25">
      <c r="A19" s="2">
        <v>18</v>
      </c>
      <c r="B19" s="2" t="s">
        <v>248</v>
      </c>
      <c r="C19" s="2" t="s">
        <v>58</v>
      </c>
      <c r="D19" s="2">
        <v>68</v>
      </c>
      <c r="E19" s="7">
        <v>1.24</v>
      </c>
      <c r="F19" s="7">
        <v>6.1076656671745848</v>
      </c>
      <c r="G19" s="7">
        <v>11.918913146531093</v>
      </c>
      <c r="H19" s="7">
        <v>22.739213429121058</v>
      </c>
      <c r="I19" s="7">
        <v>42.700801881485305</v>
      </c>
      <c r="J19" s="7">
        <v>0.312</v>
      </c>
      <c r="K19" s="2">
        <v>2</v>
      </c>
      <c r="L19" s="7">
        <v>167.25899999999999</v>
      </c>
      <c r="M19" s="2">
        <v>2</v>
      </c>
      <c r="N19" s="2">
        <v>0</v>
      </c>
      <c r="O19" s="2">
        <v>0</v>
      </c>
      <c r="P19" s="2">
        <v>12</v>
      </c>
      <c r="Q19" s="2">
        <f t="shared" si="0"/>
        <v>14</v>
      </c>
      <c r="R19" s="2">
        <v>194</v>
      </c>
      <c r="T19" s="2">
        <v>3</v>
      </c>
      <c r="U19" s="2">
        <v>6</v>
      </c>
      <c r="V19" s="2">
        <v>1.89</v>
      </c>
      <c r="Y19" s="2" t="s">
        <v>304</v>
      </c>
      <c r="Z19" s="2" t="s">
        <v>304</v>
      </c>
      <c r="AA19" s="2" t="s">
        <v>304</v>
      </c>
      <c r="AB19" s="2" t="s">
        <v>304</v>
      </c>
      <c r="AC19" s="2" t="s">
        <v>304</v>
      </c>
      <c r="AD19" s="2">
        <v>3136</v>
      </c>
      <c r="AE19" s="2">
        <v>1802</v>
      </c>
      <c r="AF19" s="2">
        <v>150</v>
      </c>
      <c r="AG19" s="2">
        <v>316.39999999999998</v>
      </c>
    </row>
    <row r="20" spans="1:33" ht="15.75" customHeight="1" x14ac:dyDescent="0.25">
      <c r="A20" s="2">
        <v>19</v>
      </c>
      <c r="B20" s="2" t="s">
        <v>249</v>
      </c>
      <c r="C20" s="2" t="s">
        <v>61</v>
      </c>
      <c r="D20" s="2">
        <v>63</v>
      </c>
      <c r="E20" s="7">
        <v>1.2</v>
      </c>
      <c r="F20" s="7">
        <v>5.6702933760584013</v>
      </c>
      <c r="G20" s="7">
        <v>11.245235446944553</v>
      </c>
      <c r="H20" s="7">
        <v>24.915710612400648</v>
      </c>
      <c r="I20" s="7">
        <v>42.700801881485305</v>
      </c>
      <c r="J20" s="7">
        <v>0.11600000000000001</v>
      </c>
      <c r="K20" s="2">
        <v>2</v>
      </c>
      <c r="L20" s="7">
        <v>151.964</v>
      </c>
      <c r="M20" s="2">
        <v>2</v>
      </c>
      <c r="N20" s="2">
        <v>0</v>
      </c>
      <c r="O20" s="2">
        <v>0</v>
      </c>
      <c r="P20" s="2">
        <v>7</v>
      </c>
      <c r="Q20" s="2">
        <f t="shared" si="0"/>
        <v>9</v>
      </c>
      <c r="R20" s="2">
        <v>229</v>
      </c>
      <c r="T20" s="2">
        <v>3</v>
      </c>
      <c r="U20" s="2">
        <v>6</v>
      </c>
      <c r="V20" s="2">
        <v>1.98</v>
      </c>
      <c r="Y20" s="2" t="s">
        <v>304</v>
      </c>
      <c r="Z20" s="2" t="s">
        <v>304</v>
      </c>
      <c r="AA20" s="2" t="s">
        <v>304</v>
      </c>
      <c r="AB20" s="2" t="s">
        <v>304</v>
      </c>
      <c r="AC20" s="2" t="s">
        <v>304</v>
      </c>
      <c r="AD20" s="2">
        <v>1870</v>
      </c>
      <c r="AE20" s="2">
        <v>1095</v>
      </c>
      <c r="AF20" s="2">
        <v>184</v>
      </c>
      <c r="AG20" s="2">
        <v>177.4</v>
      </c>
    </row>
    <row r="21" spans="1:33" ht="15.75" customHeight="1" x14ac:dyDescent="0.25">
      <c r="A21" s="2">
        <v>20</v>
      </c>
      <c r="B21" s="2" t="s">
        <v>250</v>
      </c>
      <c r="C21" s="2" t="s">
        <v>65</v>
      </c>
      <c r="D21" s="2">
        <v>26</v>
      </c>
      <c r="E21" s="7">
        <v>1.83</v>
      </c>
      <c r="F21" s="7">
        <v>7.9027576297651807</v>
      </c>
      <c r="G21" s="7">
        <v>16.18795690744949</v>
      </c>
      <c r="H21" s="7">
        <v>30.647153195036903</v>
      </c>
      <c r="I21" s="7">
        <v>54.827000474043025</v>
      </c>
      <c r="J21" s="7">
        <v>0.153</v>
      </c>
      <c r="K21" s="2">
        <v>8</v>
      </c>
      <c r="L21" s="7">
        <v>55.844999999999999</v>
      </c>
      <c r="M21" s="2">
        <v>2</v>
      </c>
      <c r="N21" s="2">
        <v>0</v>
      </c>
      <c r="O21" s="2">
        <v>6</v>
      </c>
      <c r="P21" s="2">
        <v>0</v>
      </c>
      <c r="Q21" s="2">
        <f t="shared" si="0"/>
        <v>8</v>
      </c>
      <c r="R21" s="2">
        <v>229</v>
      </c>
      <c r="S21" s="2">
        <v>1</v>
      </c>
      <c r="T21" s="2">
        <v>8</v>
      </c>
      <c r="U21" s="2">
        <v>4</v>
      </c>
      <c r="V21" s="2">
        <v>1.42</v>
      </c>
      <c r="W21" s="2">
        <v>-4.5650000000000004</v>
      </c>
      <c r="X21" s="2">
        <v>-3.1349999999999998</v>
      </c>
      <c r="Y21" s="2">
        <v>0.95</v>
      </c>
      <c r="Z21" s="2">
        <v>1.1599999999999999</v>
      </c>
      <c r="AA21" s="2">
        <v>0.22</v>
      </c>
      <c r="AB21" s="2">
        <v>1.77</v>
      </c>
      <c r="AC21" s="2">
        <v>4.93</v>
      </c>
      <c r="AD21" s="2">
        <v>3023</v>
      </c>
      <c r="AE21" s="2">
        <v>1808</v>
      </c>
      <c r="AF21" s="2">
        <v>62</v>
      </c>
      <c r="AG21" s="2">
        <v>415.5</v>
      </c>
    </row>
    <row r="22" spans="1:33" ht="15.75" customHeight="1" x14ac:dyDescent="0.25">
      <c r="A22" s="2">
        <v>21</v>
      </c>
      <c r="B22" s="4" t="s">
        <v>251</v>
      </c>
      <c r="C22" s="2" t="s">
        <v>67</v>
      </c>
      <c r="D22" s="2">
        <v>31</v>
      </c>
      <c r="E22" s="7">
        <v>1.81</v>
      </c>
      <c r="F22" s="7">
        <v>5.9988408080106055</v>
      </c>
      <c r="G22" s="7">
        <v>20.514004166025209</v>
      </c>
      <c r="H22" s="7">
        <v>30.709338828844892</v>
      </c>
      <c r="I22" s="7">
        <v>64.051202822227964</v>
      </c>
      <c r="J22" s="7">
        <v>0.43</v>
      </c>
      <c r="K22" s="2">
        <v>3</v>
      </c>
      <c r="L22" s="7">
        <v>69.722999999999999</v>
      </c>
      <c r="M22" s="2">
        <v>2</v>
      </c>
      <c r="N22" s="2">
        <v>1</v>
      </c>
      <c r="O22" s="2">
        <v>10</v>
      </c>
      <c r="P22" s="2">
        <v>0</v>
      </c>
      <c r="Q22" s="2">
        <f t="shared" si="0"/>
        <v>13</v>
      </c>
      <c r="R22" s="2">
        <v>64</v>
      </c>
      <c r="T22" s="2">
        <v>13</v>
      </c>
      <c r="U22" s="2">
        <v>4</v>
      </c>
      <c r="V22" s="2">
        <v>1.22</v>
      </c>
      <c r="Y22" s="2">
        <v>0.76</v>
      </c>
      <c r="Z22" s="2">
        <v>0.93500000000000005</v>
      </c>
      <c r="AA22" s="2">
        <v>0.17</v>
      </c>
      <c r="AB22" s="2">
        <v>1.31</v>
      </c>
      <c r="AC22" s="2">
        <v>4.0999999999999996</v>
      </c>
      <c r="AD22" s="2">
        <v>2676</v>
      </c>
      <c r="AE22" s="2">
        <v>302.89999999999998</v>
      </c>
      <c r="AF22" s="2">
        <v>50</v>
      </c>
      <c r="AG22" s="2">
        <v>271.95999999999998</v>
      </c>
    </row>
    <row r="23" spans="1:33" ht="15.75" customHeight="1" x14ac:dyDescent="0.25">
      <c r="A23" s="2">
        <v>22</v>
      </c>
      <c r="B23" s="4" t="s">
        <v>252</v>
      </c>
      <c r="C23" s="2" t="s">
        <v>69</v>
      </c>
      <c r="D23" s="2">
        <v>64</v>
      </c>
      <c r="E23" s="7">
        <v>1.2</v>
      </c>
      <c r="F23" s="7">
        <v>6.150159183610044</v>
      </c>
      <c r="G23" s="7">
        <v>12.126198592557721</v>
      </c>
      <c r="H23" s="7">
        <v>20.624901879649457</v>
      </c>
      <c r="I23" s="7">
        <v>44.048157280658387</v>
      </c>
      <c r="J23" s="7">
        <v>0.13700000000000001</v>
      </c>
      <c r="K23" s="2">
        <v>2</v>
      </c>
      <c r="L23" s="7">
        <v>157.25</v>
      </c>
      <c r="M23" s="2">
        <v>2</v>
      </c>
      <c r="N23" s="2">
        <v>0</v>
      </c>
      <c r="O23" s="2">
        <v>1</v>
      </c>
      <c r="P23" s="2">
        <v>7</v>
      </c>
      <c r="Q23" s="2">
        <f t="shared" si="0"/>
        <v>10</v>
      </c>
      <c r="R23" s="2">
        <v>194</v>
      </c>
      <c r="T23" s="2">
        <v>3</v>
      </c>
      <c r="U23" s="2">
        <v>6</v>
      </c>
      <c r="V23" s="2">
        <v>1.96</v>
      </c>
      <c r="Y23" s="2" t="s">
        <v>304</v>
      </c>
      <c r="Z23" s="2" t="s">
        <v>304</v>
      </c>
      <c r="AA23" s="2" t="s">
        <v>304</v>
      </c>
      <c r="AB23" s="2" t="s">
        <v>304</v>
      </c>
      <c r="AC23" s="2" t="s">
        <v>304</v>
      </c>
      <c r="AD23" s="2">
        <v>3539</v>
      </c>
      <c r="AE23" s="2">
        <v>1586</v>
      </c>
      <c r="AF23" s="2">
        <v>158</v>
      </c>
      <c r="AG23" s="2">
        <v>397.5</v>
      </c>
    </row>
    <row r="24" spans="1:33" ht="15.75" customHeight="1" x14ac:dyDescent="0.25">
      <c r="A24" s="2">
        <v>23</v>
      </c>
      <c r="B24" s="2" t="s">
        <v>253</v>
      </c>
      <c r="C24" s="2" t="s">
        <v>71</v>
      </c>
      <c r="D24" s="2">
        <v>32</v>
      </c>
      <c r="E24" s="7">
        <v>2.0099999999999998</v>
      </c>
      <c r="F24" s="7">
        <v>7.8975754936145153</v>
      </c>
      <c r="G24" s="7">
        <v>15.935068663297004</v>
      </c>
      <c r="H24" s="7">
        <v>34.223863566226363</v>
      </c>
      <c r="I24" s="7">
        <v>45.71680512117274</v>
      </c>
      <c r="J24" s="7">
        <v>1.232</v>
      </c>
      <c r="K24" s="2">
        <v>4</v>
      </c>
      <c r="L24" s="7">
        <v>72.64</v>
      </c>
      <c r="M24" s="2">
        <v>2</v>
      </c>
      <c r="N24" s="2">
        <v>2</v>
      </c>
      <c r="O24" s="2">
        <v>10</v>
      </c>
      <c r="P24" s="2">
        <v>0</v>
      </c>
      <c r="Q24" s="2">
        <f t="shared" si="0"/>
        <v>14</v>
      </c>
      <c r="R24" s="2">
        <v>225</v>
      </c>
      <c r="T24" s="2">
        <v>14</v>
      </c>
      <c r="U24" s="2">
        <v>4</v>
      </c>
      <c r="V24" s="2">
        <v>1.2</v>
      </c>
      <c r="Y24" s="2">
        <v>0.72</v>
      </c>
      <c r="Z24" s="2">
        <v>0.84</v>
      </c>
      <c r="AA24" s="2">
        <v>0.16</v>
      </c>
      <c r="AB24" s="2">
        <v>1.37</v>
      </c>
      <c r="AC24" s="2">
        <v>4.55</v>
      </c>
      <c r="AD24" s="2">
        <v>3103</v>
      </c>
      <c r="AE24" s="2">
        <v>1210.5999999999999</v>
      </c>
      <c r="AF24" s="2">
        <v>40</v>
      </c>
      <c r="AG24" s="2">
        <v>372</v>
      </c>
    </row>
    <row r="25" spans="1:33" ht="15.75" customHeight="1" x14ac:dyDescent="0.25">
      <c r="A25" s="2">
        <v>24</v>
      </c>
      <c r="B25" s="2" t="s">
        <v>293</v>
      </c>
      <c r="C25" s="2" t="s">
        <v>73</v>
      </c>
      <c r="D25" s="2">
        <v>72</v>
      </c>
      <c r="E25" s="7">
        <v>1.3</v>
      </c>
      <c r="F25" s="7">
        <v>6.8248733104267165</v>
      </c>
      <c r="G25" s="7">
        <v>14.924552113917194</v>
      </c>
      <c r="H25" s="7">
        <v>23.319612677995615</v>
      </c>
      <c r="I25" s="7">
        <v>33.331499721081734</v>
      </c>
      <c r="J25" s="7">
        <v>0.17799999999999999</v>
      </c>
      <c r="K25" s="2">
        <v>4</v>
      </c>
      <c r="L25" s="7">
        <v>178.49</v>
      </c>
      <c r="M25" s="2">
        <v>2</v>
      </c>
      <c r="N25" s="2">
        <v>0</v>
      </c>
      <c r="O25" s="2">
        <v>2</v>
      </c>
      <c r="P25" s="2">
        <v>14</v>
      </c>
      <c r="Q25" s="2">
        <f t="shared" si="0"/>
        <v>18</v>
      </c>
      <c r="R25" s="2">
        <v>194</v>
      </c>
      <c r="T25" s="2">
        <v>4</v>
      </c>
      <c r="U25" s="2">
        <v>6</v>
      </c>
      <c r="V25" s="2">
        <v>1.75</v>
      </c>
      <c r="Y25" s="2">
        <v>1.3</v>
      </c>
      <c r="Z25" s="2">
        <v>1.61</v>
      </c>
      <c r="AA25" s="2">
        <v>0.63</v>
      </c>
      <c r="AB25" s="2">
        <v>1.43</v>
      </c>
      <c r="AC25" s="2">
        <v>3.55</v>
      </c>
      <c r="AD25" s="2">
        <v>5470</v>
      </c>
      <c r="AE25" s="2">
        <v>2503</v>
      </c>
      <c r="AF25" s="2">
        <v>103</v>
      </c>
      <c r="AG25" s="2">
        <v>618.4</v>
      </c>
    </row>
    <row r="26" spans="1:33" ht="15.75" customHeight="1" x14ac:dyDescent="0.25">
      <c r="A26" s="2">
        <v>25</v>
      </c>
      <c r="B26" s="2" t="s">
        <v>294</v>
      </c>
      <c r="C26" s="2" t="s">
        <v>75</v>
      </c>
      <c r="D26" s="2">
        <v>80</v>
      </c>
      <c r="E26" s="7">
        <v>2</v>
      </c>
      <c r="F26" s="7">
        <v>10.437858634670837</v>
      </c>
      <c r="G26" s="7">
        <v>18.759332865409807</v>
      </c>
      <c r="H26" s="7">
        <v>34.49</v>
      </c>
      <c r="I26" s="7">
        <v>48.55</v>
      </c>
      <c r="J26" s="7">
        <v>-0.5</v>
      </c>
      <c r="K26" s="2">
        <v>12</v>
      </c>
      <c r="L26" s="7">
        <v>200.59</v>
      </c>
      <c r="M26" s="2">
        <v>2</v>
      </c>
      <c r="N26" s="2">
        <v>0</v>
      </c>
      <c r="O26" s="2">
        <v>10</v>
      </c>
      <c r="P26" s="2">
        <v>14</v>
      </c>
      <c r="Q26" s="2">
        <f t="shared" si="0"/>
        <v>26</v>
      </c>
      <c r="R26" s="2">
        <v>166</v>
      </c>
      <c r="T26" s="2">
        <v>12</v>
      </c>
      <c r="U26" s="2">
        <v>6</v>
      </c>
      <c r="V26" s="2">
        <v>1.32</v>
      </c>
      <c r="Y26" s="2">
        <v>1.07</v>
      </c>
      <c r="Z26" s="2">
        <v>1.34</v>
      </c>
      <c r="AA26" s="2">
        <v>0.47499999999999998</v>
      </c>
      <c r="AB26" s="2">
        <v>1.24</v>
      </c>
      <c r="AC26" s="2">
        <v>4.2</v>
      </c>
      <c r="AD26" s="2">
        <v>629.70000000000005</v>
      </c>
      <c r="AE26" s="2">
        <v>234.3</v>
      </c>
      <c r="AF26" s="2">
        <v>33.909999999999997</v>
      </c>
      <c r="AG26" s="2">
        <v>61.38</v>
      </c>
    </row>
    <row r="27" spans="1:33" ht="15.75" customHeight="1" x14ac:dyDescent="0.25">
      <c r="A27" s="2">
        <v>26</v>
      </c>
      <c r="B27" s="4" t="s">
        <v>254</v>
      </c>
      <c r="C27" s="2" t="s">
        <v>77</v>
      </c>
      <c r="D27" s="2">
        <v>67</v>
      </c>
      <c r="E27" s="7">
        <v>1.24</v>
      </c>
      <c r="F27" s="7">
        <v>6.0216422070735343</v>
      </c>
      <c r="G27" s="7">
        <v>11.815270423517779</v>
      </c>
      <c r="H27" s="7">
        <v>22.842856152134374</v>
      </c>
      <c r="I27" s="7">
        <v>42.49351643545868</v>
      </c>
      <c r="J27" s="7">
        <v>0.33800000000000002</v>
      </c>
      <c r="K27" s="2">
        <v>2</v>
      </c>
      <c r="L27" s="7">
        <v>164.93</v>
      </c>
      <c r="M27" s="2">
        <v>2</v>
      </c>
      <c r="N27" s="2">
        <v>0</v>
      </c>
      <c r="O27" s="2">
        <v>0</v>
      </c>
      <c r="P27" s="2">
        <v>11</v>
      </c>
      <c r="Q27" s="2">
        <f t="shared" si="0"/>
        <v>13</v>
      </c>
      <c r="R27" s="2">
        <v>194</v>
      </c>
      <c r="T27" s="2">
        <v>3</v>
      </c>
      <c r="U27" s="2">
        <v>6</v>
      </c>
      <c r="V27" s="2">
        <v>1.92</v>
      </c>
      <c r="Y27" s="2" t="s">
        <v>304</v>
      </c>
      <c r="Z27" s="2" t="s">
        <v>304</v>
      </c>
      <c r="AA27" s="2" t="s">
        <v>304</v>
      </c>
      <c r="AB27" s="2" t="s">
        <v>304</v>
      </c>
      <c r="AC27" s="2" t="s">
        <v>304</v>
      </c>
      <c r="AD27" s="2">
        <v>2968</v>
      </c>
      <c r="AE27" s="2">
        <v>1747</v>
      </c>
      <c r="AF27" s="2">
        <v>156</v>
      </c>
      <c r="AG27" s="2">
        <v>300.60000000000002</v>
      </c>
    </row>
    <row r="28" spans="1:33" ht="15.75" customHeight="1" x14ac:dyDescent="0.25">
      <c r="A28" s="2">
        <v>27</v>
      </c>
      <c r="B28" s="4" t="s">
        <v>255</v>
      </c>
      <c r="C28" s="2" t="s">
        <v>79</v>
      </c>
      <c r="D28" s="2">
        <v>53</v>
      </c>
      <c r="E28" s="7">
        <v>2.66</v>
      </c>
      <c r="F28" s="7">
        <v>10.451332188662569</v>
      </c>
      <c r="G28" s="7">
        <v>19.131410241027606</v>
      </c>
      <c r="H28" s="7">
        <v>29.57</v>
      </c>
      <c r="I28" s="7">
        <v>40.36</v>
      </c>
      <c r="J28" s="7">
        <v>3.0590000000000002</v>
      </c>
      <c r="K28" s="2">
        <v>7</v>
      </c>
      <c r="L28" s="7">
        <v>126.905</v>
      </c>
      <c r="M28" s="2">
        <v>2</v>
      </c>
      <c r="N28" s="2">
        <v>5</v>
      </c>
      <c r="O28" s="2">
        <v>10</v>
      </c>
      <c r="P28" s="2">
        <v>0</v>
      </c>
      <c r="Q28" s="2">
        <f t="shared" si="0"/>
        <v>17</v>
      </c>
      <c r="R28" s="2">
        <v>64</v>
      </c>
      <c r="T28" s="2">
        <v>17</v>
      </c>
      <c r="U28" s="2">
        <v>5</v>
      </c>
      <c r="V28" s="2">
        <v>1.39</v>
      </c>
      <c r="Y28" s="2">
        <v>0.755</v>
      </c>
      <c r="Z28" s="2">
        <v>0.83</v>
      </c>
      <c r="AA28" s="2">
        <v>0.315</v>
      </c>
      <c r="AB28" s="2" t="s">
        <v>304</v>
      </c>
      <c r="AC28" s="2" t="s">
        <v>304</v>
      </c>
      <c r="AD28" s="2">
        <v>457.5</v>
      </c>
      <c r="AE28" s="2">
        <v>386.7</v>
      </c>
      <c r="AF28" s="2">
        <v>32.9</v>
      </c>
      <c r="AG28" s="2">
        <v>106.75700000000001</v>
      </c>
    </row>
    <row r="29" spans="1:33" ht="15.75" customHeight="1" x14ac:dyDescent="0.25">
      <c r="A29" s="2">
        <v>28</v>
      </c>
      <c r="B29" s="2" t="s">
        <v>297</v>
      </c>
      <c r="C29" s="2" t="s">
        <v>81</v>
      </c>
      <c r="D29" s="2">
        <v>49</v>
      </c>
      <c r="E29" s="7">
        <v>1.78</v>
      </c>
      <c r="F29" s="7">
        <v>5.7863732258333114</v>
      </c>
      <c r="G29" s="7">
        <v>18.870230579034054</v>
      </c>
      <c r="H29" s="7">
        <v>28.024992302800065</v>
      </c>
      <c r="I29" s="7">
        <v>53.997858689936514</v>
      </c>
      <c r="J29" s="7">
        <v>0.38300000000000001</v>
      </c>
      <c r="K29" s="2">
        <v>3</v>
      </c>
      <c r="L29" s="7">
        <v>114.818</v>
      </c>
      <c r="M29" s="2">
        <v>2</v>
      </c>
      <c r="N29" s="2">
        <v>1</v>
      </c>
      <c r="O29" s="2">
        <v>10</v>
      </c>
      <c r="P29" s="2">
        <v>0</v>
      </c>
      <c r="Q29" s="2">
        <f t="shared" si="0"/>
        <v>13</v>
      </c>
      <c r="R29" s="2">
        <v>139</v>
      </c>
      <c r="T29" s="2">
        <v>13</v>
      </c>
      <c r="U29" s="2">
        <v>5</v>
      </c>
      <c r="V29" s="2">
        <v>1.42</v>
      </c>
      <c r="Y29" s="2">
        <v>0.94</v>
      </c>
      <c r="Z29" s="2">
        <v>1.1100000000000001</v>
      </c>
      <c r="AA29" s="2">
        <v>0.36</v>
      </c>
      <c r="AB29" s="2">
        <v>1.17</v>
      </c>
      <c r="AC29" s="2">
        <v>3.9</v>
      </c>
      <c r="AD29" s="2">
        <v>2353</v>
      </c>
      <c r="AE29" s="2">
        <v>429.3</v>
      </c>
      <c r="AF29" s="2">
        <v>65</v>
      </c>
      <c r="AG29" s="2">
        <v>243</v>
      </c>
    </row>
    <row r="30" spans="1:33" ht="15.75" customHeight="1" x14ac:dyDescent="0.25">
      <c r="A30" s="2">
        <v>29</v>
      </c>
      <c r="B30" s="2" t="s">
        <v>296</v>
      </c>
      <c r="C30" s="2" t="s">
        <v>83</v>
      </c>
      <c r="D30" s="2">
        <v>77</v>
      </c>
      <c r="E30" s="7">
        <v>2.2000000000000002</v>
      </c>
      <c r="F30" s="7">
        <v>8.9700000000000006</v>
      </c>
      <c r="G30" s="7">
        <v>17</v>
      </c>
      <c r="H30" s="7">
        <v>28</v>
      </c>
      <c r="I30" s="7">
        <v>40</v>
      </c>
      <c r="J30" s="7">
        <v>1.5640000000000001</v>
      </c>
      <c r="K30" s="2">
        <v>9</v>
      </c>
      <c r="L30" s="7">
        <v>192.21700000000001</v>
      </c>
      <c r="M30" s="2">
        <v>2</v>
      </c>
      <c r="N30" s="2">
        <v>0</v>
      </c>
      <c r="O30" s="2">
        <v>7</v>
      </c>
      <c r="P30" s="2">
        <v>14</v>
      </c>
      <c r="Q30" s="2">
        <f t="shared" si="0"/>
        <v>23</v>
      </c>
      <c r="R30" s="2">
        <v>225</v>
      </c>
      <c r="S30" s="2">
        <v>1</v>
      </c>
      <c r="T30" s="2">
        <v>9</v>
      </c>
      <c r="U30" s="2">
        <v>6</v>
      </c>
      <c r="V30" s="2">
        <v>1.41</v>
      </c>
      <c r="W30" s="2">
        <v>-4.7069999999999999</v>
      </c>
      <c r="X30" s="2">
        <v>-4.601</v>
      </c>
      <c r="Y30" s="2">
        <v>1.1599999999999999</v>
      </c>
      <c r="Z30" s="2">
        <v>1.468</v>
      </c>
      <c r="AA30" s="2">
        <v>0.52600000000000002</v>
      </c>
      <c r="AB30" s="2">
        <v>1.83</v>
      </c>
      <c r="AC30" s="2">
        <v>5.55</v>
      </c>
      <c r="AD30" s="2">
        <v>4403</v>
      </c>
      <c r="AE30" s="2">
        <v>2683</v>
      </c>
      <c r="AF30" s="2">
        <v>54</v>
      </c>
      <c r="AG30" s="2">
        <v>669</v>
      </c>
    </row>
    <row r="31" spans="1:33" ht="15.75" customHeight="1" x14ac:dyDescent="0.25">
      <c r="A31" s="2">
        <v>30</v>
      </c>
      <c r="B31" s="2" t="s">
        <v>295</v>
      </c>
      <c r="C31" s="2" t="s">
        <v>86</v>
      </c>
      <c r="D31" s="2">
        <v>19</v>
      </c>
      <c r="E31" s="7">
        <v>0.82</v>
      </c>
      <c r="F31" s="7">
        <v>4.340557239797584</v>
      </c>
      <c r="G31" s="7">
        <v>31.631759063663388</v>
      </c>
      <c r="H31" s="7">
        <v>45.810083571884718</v>
      </c>
      <c r="I31" s="7">
        <v>60.910828314924551</v>
      </c>
      <c r="J31" s="7">
        <v>0.501</v>
      </c>
      <c r="K31" s="2">
        <v>1</v>
      </c>
      <c r="L31" s="7">
        <v>39.097999999999999</v>
      </c>
      <c r="M31" s="2">
        <v>1</v>
      </c>
      <c r="N31" s="2">
        <v>0</v>
      </c>
      <c r="O31" s="2">
        <v>0</v>
      </c>
      <c r="P31" s="2">
        <v>0</v>
      </c>
      <c r="Q31" s="2">
        <f t="shared" si="0"/>
        <v>1</v>
      </c>
      <c r="R31" s="2">
        <v>229</v>
      </c>
      <c r="T31" s="2">
        <v>1</v>
      </c>
      <c r="U31" s="2">
        <v>4</v>
      </c>
      <c r="V31" s="2">
        <v>2.0299999999999998</v>
      </c>
      <c r="Y31" s="2">
        <v>1.54</v>
      </c>
      <c r="Z31" s="2" t="s">
        <v>305</v>
      </c>
      <c r="AA31" s="2">
        <v>0.37</v>
      </c>
      <c r="AB31" s="2">
        <v>0.65</v>
      </c>
      <c r="AC31" s="2">
        <v>2.25</v>
      </c>
      <c r="AD31" s="2">
        <v>1047</v>
      </c>
      <c r="AE31" s="2">
        <v>336.8</v>
      </c>
      <c r="AF31" s="2">
        <v>289.7</v>
      </c>
      <c r="AG31" s="2">
        <v>89</v>
      </c>
    </row>
    <row r="32" spans="1:33" ht="15.75" customHeight="1" x14ac:dyDescent="0.25">
      <c r="A32" s="2">
        <v>31</v>
      </c>
      <c r="B32" s="2" t="s">
        <v>298</v>
      </c>
      <c r="C32" s="2" t="s">
        <v>90</v>
      </c>
      <c r="D32" s="2">
        <v>57</v>
      </c>
      <c r="E32" s="7">
        <v>1.1000000000000001</v>
      </c>
      <c r="F32" s="7">
        <v>5.5770149253464183</v>
      </c>
      <c r="G32" s="7">
        <v>11.058678545520587</v>
      </c>
      <c r="H32" s="7">
        <v>19.177013039153461</v>
      </c>
      <c r="I32" s="7">
        <v>49.945428220115943</v>
      </c>
      <c r="J32" s="7">
        <v>0.55000000000000004</v>
      </c>
      <c r="K32" s="2">
        <v>3</v>
      </c>
      <c r="L32" s="7">
        <v>138.90600000000001</v>
      </c>
      <c r="M32" s="2">
        <v>2</v>
      </c>
      <c r="N32" s="2">
        <v>0</v>
      </c>
      <c r="O32" s="2">
        <v>1</v>
      </c>
      <c r="P32" s="2">
        <v>0</v>
      </c>
      <c r="Q32" s="2">
        <f t="shared" si="0"/>
        <v>3</v>
      </c>
      <c r="R32" s="2">
        <v>194</v>
      </c>
      <c r="T32" s="2">
        <v>3</v>
      </c>
      <c r="U32" s="2">
        <v>6</v>
      </c>
      <c r="V32" s="2">
        <v>2.0699999999999998</v>
      </c>
      <c r="Y32" s="2">
        <v>1.375</v>
      </c>
      <c r="Z32" s="2">
        <v>1.7050000000000001</v>
      </c>
      <c r="AA32" s="2">
        <v>0.874</v>
      </c>
      <c r="AB32" s="2">
        <v>1.0900000000000001</v>
      </c>
      <c r="AC32" s="2">
        <v>3.05</v>
      </c>
      <c r="AD32" s="2">
        <v>3730</v>
      </c>
      <c r="AE32" s="2">
        <v>1194</v>
      </c>
      <c r="AF32" s="2">
        <v>215</v>
      </c>
      <c r="AG32" s="2">
        <v>431</v>
      </c>
    </row>
    <row r="33" spans="3:33" ht="15.75" customHeight="1" x14ac:dyDescent="0.25">
      <c r="C33" s="2" t="s">
        <v>92</v>
      </c>
      <c r="D33" s="2">
        <v>3</v>
      </c>
      <c r="E33" s="7">
        <v>0.98</v>
      </c>
      <c r="F33" s="7">
        <v>5.3914944511525871</v>
      </c>
      <c r="G33" s="7">
        <v>75.639495682346578</v>
      </c>
      <c r="H33" s="7">
        <v>122.45387724023031</v>
      </c>
      <c r="I33" s="7" t="s">
        <v>284</v>
      </c>
      <c r="J33" s="7">
        <v>0.61799999999999999</v>
      </c>
      <c r="K33" s="2">
        <v>1</v>
      </c>
      <c r="L33" s="7">
        <v>6.9409999999999998</v>
      </c>
      <c r="M33" s="2">
        <v>1</v>
      </c>
      <c r="N33" s="2">
        <v>0</v>
      </c>
      <c r="O33" s="2">
        <v>0</v>
      </c>
      <c r="P33" s="2">
        <v>0</v>
      </c>
      <c r="Q33" s="2">
        <f t="shared" si="0"/>
        <v>1</v>
      </c>
      <c r="R33" s="2">
        <v>229</v>
      </c>
      <c r="T33" s="2">
        <v>159</v>
      </c>
      <c r="U33" s="2">
        <v>1</v>
      </c>
      <c r="V33" s="2">
        <v>1.28</v>
      </c>
      <c r="Y33" s="2" t="s">
        <v>304</v>
      </c>
      <c r="Z33" s="2" t="s">
        <v>304</v>
      </c>
      <c r="AA33" s="2" t="s">
        <v>304</v>
      </c>
      <c r="AB33" s="2">
        <v>0.98</v>
      </c>
      <c r="AC33" s="2">
        <v>2.85</v>
      </c>
      <c r="AD33" s="2">
        <v>1118.2</v>
      </c>
      <c r="AE33" s="2">
        <v>553.70000000000005</v>
      </c>
      <c r="AF33" s="2">
        <v>164.113</v>
      </c>
      <c r="AG33" s="2">
        <v>159.30000000000001</v>
      </c>
    </row>
    <row r="34" spans="3:33" ht="15.75" customHeight="1" x14ac:dyDescent="0.25">
      <c r="C34" s="2" t="s">
        <v>95</v>
      </c>
      <c r="D34" s="2">
        <v>71</v>
      </c>
      <c r="E34" s="7">
        <v>1.27</v>
      </c>
      <c r="F34" s="7">
        <v>5.4256965497469798</v>
      </c>
      <c r="G34" s="7">
        <v>13.888124883784055</v>
      </c>
      <c r="H34" s="7">
        <v>20.959667874982458</v>
      </c>
      <c r="I34" s="7">
        <v>45.291869956818154</v>
      </c>
      <c r="J34" s="7">
        <v>0.23880000000000001</v>
      </c>
      <c r="K34" s="2">
        <v>2</v>
      </c>
      <c r="L34" s="7">
        <v>174.96700000000001</v>
      </c>
      <c r="M34" s="2">
        <v>2</v>
      </c>
      <c r="N34" s="2">
        <v>0</v>
      </c>
      <c r="O34" s="2">
        <v>1</v>
      </c>
      <c r="P34" s="2">
        <v>14</v>
      </c>
      <c r="Q34" s="2">
        <f t="shared" si="0"/>
        <v>17</v>
      </c>
      <c r="R34" s="2">
        <v>194</v>
      </c>
      <c r="T34" s="2">
        <v>3</v>
      </c>
      <c r="U34" s="2">
        <v>6</v>
      </c>
      <c r="V34" s="2">
        <v>1.87</v>
      </c>
      <c r="Y34" s="2" t="s">
        <v>304</v>
      </c>
      <c r="Z34" s="2" t="s">
        <v>304</v>
      </c>
      <c r="AA34" s="2" t="s">
        <v>304</v>
      </c>
      <c r="AB34" s="2" t="s">
        <v>304</v>
      </c>
      <c r="AC34" s="2" t="s">
        <v>304</v>
      </c>
      <c r="AD34" s="2">
        <v>3668</v>
      </c>
      <c r="AE34" s="2">
        <v>1936</v>
      </c>
      <c r="AF34" s="2">
        <v>137</v>
      </c>
      <c r="AG34" s="2">
        <v>427.6</v>
      </c>
    </row>
    <row r="35" spans="3:33" ht="15.75" customHeight="1" x14ac:dyDescent="0.25">
      <c r="C35" s="2" t="s">
        <v>97</v>
      </c>
      <c r="D35" s="2">
        <v>12</v>
      </c>
      <c r="E35" s="7">
        <v>1.31</v>
      </c>
      <c r="F35" s="7">
        <v>7.645723676692163</v>
      </c>
      <c r="G35" s="7">
        <v>15.03544982754144</v>
      </c>
      <c r="H35" s="7">
        <v>80.143808424505195</v>
      </c>
      <c r="I35" s="7">
        <v>109.26534073678613</v>
      </c>
      <c r="J35" s="7">
        <v>-0.4</v>
      </c>
      <c r="K35" s="2">
        <v>2</v>
      </c>
      <c r="L35" s="7">
        <v>24.305</v>
      </c>
      <c r="M35" s="2">
        <v>2</v>
      </c>
      <c r="N35" s="2">
        <v>0</v>
      </c>
      <c r="O35" s="2">
        <v>0</v>
      </c>
      <c r="P35" s="2">
        <v>0</v>
      </c>
      <c r="Q35" s="2">
        <f t="shared" si="0"/>
        <v>2</v>
      </c>
      <c r="R35" s="2">
        <v>194</v>
      </c>
      <c r="S35" s="2">
        <v>2</v>
      </c>
      <c r="T35" s="2">
        <v>2</v>
      </c>
      <c r="U35" s="2">
        <v>3</v>
      </c>
      <c r="V35" s="2">
        <v>1.41</v>
      </c>
      <c r="W35" s="2">
        <v>-4.5149999999999997</v>
      </c>
      <c r="X35" s="2">
        <v>-1.095</v>
      </c>
      <c r="Y35" s="2">
        <v>0.9</v>
      </c>
      <c r="Z35" s="2">
        <v>113</v>
      </c>
      <c r="AA35" s="2">
        <v>0</v>
      </c>
      <c r="AB35" s="2">
        <v>1.17</v>
      </c>
      <c r="AC35" s="2">
        <v>3.45</v>
      </c>
      <c r="AD35" s="2">
        <v>1363</v>
      </c>
      <c r="AE35" s="2">
        <v>922</v>
      </c>
      <c r="AF35" s="2">
        <v>71.2</v>
      </c>
      <c r="AG35" s="2">
        <v>147.1</v>
      </c>
    </row>
    <row r="36" spans="3:33" ht="15.75" customHeight="1" x14ac:dyDescent="0.25">
      <c r="C36" s="2" t="s">
        <v>101</v>
      </c>
      <c r="D36" s="2">
        <v>25</v>
      </c>
      <c r="E36" s="7">
        <v>1.55</v>
      </c>
      <c r="F36" s="7">
        <v>7.434292521745002</v>
      </c>
      <c r="G36" s="7">
        <v>15.639686902709061</v>
      </c>
      <c r="H36" s="7">
        <v>33.663156434724335</v>
      </c>
      <c r="I36" s="7">
        <v>51.199505168577041</v>
      </c>
      <c r="J36" s="7">
        <v>-0.5</v>
      </c>
      <c r="K36" s="2">
        <v>7</v>
      </c>
      <c r="L36" s="7">
        <v>54.938000000000002</v>
      </c>
      <c r="M36" s="2">
        <v>2</v>
      </c>
      <c r="N36" s="2">
        <v>0</v>
      </c>
      <c r="O36" s="2">
        <v>5</v>
      </c>
      <c r="P36" s="2">
        <v>0</v>
      </c>
      <c r="Q36" s="2">
        <f t="shared" si="0"/>
        <v>7</v>
      </c>
      <c r="R36" s="2">
        <v>217</v>
      </c>
      <c r="S36" s="2">
        <v>1</v>
      </c>
      <c r="T36" s="2">
        <v>7</v>
      </c>
      <c r="U36" s="2">
        <v>4</v>
      </c>
      <c r="V36" s="2">
        <v>1.5</v>
      </c>
      <c r="W36" s="2">
        <v>-4.2050000000000001</v>
      </c>
      <c r="X36" s="2">
        <v>-1.8129999999999999</v>
      </c>
      <c r="Y36" s="2">
        <v>0.99</v>
      </c>
      <c r="Z36" s="2">
        <v>1.23</v>
      </c>
      <c r="AA36" s="2">
        <v>0.23</v>
      </c>
      <c r="AB36" s="2">
        <v>1.61</v>
      </c>
      <c r="AC36" s="2">
        <v>4.45</v>
      </c>
      <c r="AD36" s="2">
        <v>2235</v>
      </c>
      <c r="AE36" s="2">
        <v>1517</v>
      </c>
      <c r="AF36" s="2">
        <v>68</v>
      </c>
      <c r="AG36" s="2">
        <v>283.3</v>
      </c>
    </row>
    <row r="37" spans="3:33" ht="15.75" customHeight="1" x14ac:dyDescent="0.25">
      <c r="C37" s="2" t="s">
        <v>105</v>
      </c>
      <c r="D37" s="2">
        <v>42</v>
      </c>
      <c r="E37" s="7">
        <v>2.16</v>
      </c>
      <c r="F37" s="7">
        <v>7.092271535801066</v>
      </c>
      <c r="G37" s="7">
        <v>16.168264790076961</v>
      </c>
      <c r="H37" s="7">
        <v>27.133664884885565</v>
      </c>
      <c r="I37" s="7">
        <v>46.431939909964605</v>
      </c>
      <c r="J37" s="7">
        <v>0.747</v>
      </c>
      <c r="K37" s="2">
        <v>6</v>
      </c>
      <c r="L37" s="7">
        <v>95.94</v>
      </c>
      <c r="M37" s="2">
        <v>1</v>
      </c>
      <c r="N37" s="2">
        <v>0</v>
      </c>
      <c r="O37" s="2">
        <v>5</v>
      </c>
      <c r="P37" s="2">
        <v>0</v>
      </c>
      <c r="Q37" s="2">
        <f t="shared" si="0"/>
        <v>6</v>
      </c>
      <c r="R37" s="2">
        <v>229</v>
      </c>
      <c r="S37" s="2">
        <v>1</v>
      </c>
      <c r="T37" s="2">
        <v>6</v>
      </c>
      <c r="U37" s="2">
        <v>5</v>
      </c>
      <c r="V37" s="2">
        <v>1.54</v>
      </c>
      <c r="W37" s="2">
        <v>-4.34</v>
      </c>
      <c r="X37" s="2">
        <v>-1.4830000000000001</v>
      </c>
      <c r="Y37" s="2">
        <v>1.22</v>
      </c>
      <c r="Z37" s="2">
        <v>1.5</v>
      </c>
      <c r="AA37" s="2">
        <v>0.49</v>
      </c>
      <c r="AB37" s="2">
        <v>1.77</v>
      </c>
      <c r="AC37" s="2">
        <v>4.6500000000000004</v>
      </c>
      <c r="AD37" s="2">
        <v>4885</v>
      </c>
      <c r="AE37" s="2">
        <v>2890</v>
      </c>
      <c r="AF37" s="2">
        <v>87</v>
      </c>
      <c r="AG37" s="2">
        <v>658.98</v>
      </c>
    </row>
    <row r="38" spans="3:33" ht="15.75" customHeight="1" x14ac:dyDescent="0.25">
      <c r="C38" s="2" t="s">
        <v>108</v>
      </c>
      <c r="D38" s="2">
        <v>11</v>
      </c>
      <c r="E38" s="7">
        <v>0.93</v>
      </c>
      <c r="F38" s="7">
        <v>5.1386062070001008</v>
      </c>
      <c r="G38" s="7">
        <v>47.281810238673778</v>
      </c>
      <c r="H38" s="7">
        <v>71.620230883890272</v>
      </c>
      <c r="I38" s="7">
        <v>98.906250571605412</v>
      </c>
      <c r="J38" s="7">
        <v>0.54700000000000004</v>
      </c>
      <c r="K38" s="2">
        <v>1</v>
      </c>
      <c r="L38" s="7">
        <v>22.99</v>
      </c>
      <c r="M38" s="2">
        <v>1</v>
      </c>
      <c r="N38" s="2">
        <v>0</v>
      </c>
      <c r="O38" s="2">
        <v>0</v>
      </c>
      <c r="P38" s="2">
        <v>0</v>
      </c>
      <c r="Q38" s="2">
        <f t="shared" si="0"/>
        <v>1</v>
      </c>
      <c r="R38" s="2">
        <v>229</v>
      </c>
      <c r="T38" s="2">
        <v>1</v>
      </c>
      <c r="U38" s="2">
        <v>3</v>
      </c>
      <c r="V38" s="2">
        <v>1.66</v>
      </c>
      <c r="Y38" s="2">
        <v>1.1000000000000001</v>
      </c>
      <c r="Z38" s="2">
        <v>1.55</v>
      </c>
      <c r="AA38" s="2">
        <v>0</v>
      </c>
      <c r="AB38" s="2">
        <v>0.82</v>
      </c>
      <c r="AC38" s="2">
        <v>2.7</v>
      </c>
      <c r="AD38" s="2">
        <v>1156.0999999999999</v>
      </c>
      <c r="AE38" s="2">
        <v>371</v>
      </c>
      <c r="AF38" s="2">
        <v>162.69999999999999</v>
      </c>
      <c r="AG38" s="2">
        <v>107.5</v>
      </c>
    </row>
    <row r="39" spans="3:33" ht="15.75" customHeight="1" x14ac:dyDescent="0.25">
      <c r="C39" s="2" t="s">
        <v>114</v>
      </c>
      <c r="D39" s="2">
        <v>41</v>
      </c>
      <c r="E39" s="7">
        <v>1.6</v>
      </c>
      <c r="F39" s="7">
        <v>6.7585419676981964</v>
      </c>
      <c r="G39" s="7">
        <v>14.302695775837311</v>
      </c>
      <c r="H39" s="7">
        <v>25.040081880016626</v>
      </c>
      <c r="I39" s="7">
        <v>38.347807514926124</v>
      </c>
      <c r="J39" s="7">
        <v>0.91700000000000004</v>
      </c>
      <c r="K39" s="2">
        <v>5</v>
      </c>
      <c r="L39" s="7">
        <v>92.906000000000006</v>
      </c>
      <c r="M39" s="2">
        <v>1</v>
      </c>
      <c r="N39" s="2">
        <v>0</v>
      </c>
      <c r="O39" s="2">
        <v>4</v>
      </c>
      <c r="P39" s="2">
        <v>0</v>
      </c>
      <c r="Q39" s="2">
        <f t="shared" si="0"/>
        <v>5</v>
      </c>
      <c r="R39" s="2">
        <v>229</v>
      </c>
      <c r="S39" s="2">
        <v>1</v>
      </c>
      <c r="T39" s="2">
        <v>5</v>
      </c>
      <c r="U39" s="2">
        <v>5</v>
      </c>
      <c r="V39" s="2">
        <v>1.64</v>
      </c>
      <c r="W39" s="2">
        <v>-3.3290000000000002</v>
      </c>
      <c r="X39" s="2">
        <v>-3.319</v>
      </c>
      <c r="Y39" s="2">
        <v>1.23</v>
      </c>
      <c r="Z39" s="2">
        <v>1.53</v>
      </c>
      <c r="AA39" s="2">
        <v>0.51</v>
      </c>
      <c r="AB39" s="2">
        <v>1.62</v>
      </c>
      <c r="AC39" s="2">
        <v>4</v>
      </c>
      <c r="AD39" s="2">
        <v>5015</v>
      </c>
      <c r="AE39" s="2">
        <v>2741</v>
      </c>
      <c r="AF39" s="2">
        <v>98</v>
      </c>
      <c r="AG39" s="2">
        <v>733</v>
      </c>
    </row>
    <row r="40" spans="3:33" ht="15.75" customHeight="1" x14ac:dyDescent="0.25">
      <c r="C40" s="2" t="s">
        <v>116</v>
      </c>
      <c r="D40" s="2">
        <v>60</v>
      </c>
      <c r="E40" s="7">
        <v>1.1399999999999999</v>
      </c>
      <c r="F40" s="7">
        <v>5.5251935638397613</v>
      </c>
      <c r="G40" s="7">
        <v>10.77884319338464</v>
      </c>
      <c r="H40" s="7">
        <v>22.075900001835851</v>
      </c>
      <c r="I40" s="7">
        <v>40.420661975192402</v>
      </c>
      <c r="J40" s="7">
        <v>1.9159999999999999</v>
      </c>
      <c r="K40" s="2">
        <v>2</v>
      </c>
      <c r="L40" s="7">
        <v>144.24</v>
      </c>
      <c r="M40" s="2">
        <v>2</v>
      </c>
      <c r="N40" s="2">
        <v>0</v>
      </c>
      <c r="O40" s="2">
        <v>0</v>
      </c>
      <c r="P40" s="2">
        <v>14</v>
      </c>
      <c r="Q40" s="2">
        <f t="shared" si="0"/>
        <v>16</v>
      </c>
      <c r="R40" s="2">
        <v>194</v>
      </c>
      <c r="T40" s="2">
        <v>3</v>
      </c>
      <c r="U40" s="2">
        <v>6</v>
      </c>
      <c r="V40" s="2">
        <v>2.0099999999999998</v>
      </c>
      <c r="Y40" s="2" t="s">
        <v>304</v>
      </c>
      <c r="Z40" s="2" t="s">
        <v>304</v>
      </c>
      <c r="AA40" s="2" t="s">
        <v>304</v>
      </c>
      <c r="AB40" s="2" t="s">
        <v>304</v>
      </c>
      <c r="AC40" s="2" t="s">
        <v>304</v>
      </c>
      <c r="AD40" s="2">
        <v>3341</v>
      </c>
      <c r="AE40" s="2">
        <v>1294</v>
      </c>
      <c r="AF40" s="2">
        <v>208</v>
      </c>
      <c r="AG40" s="2">
        <v>326.89999999999998</v>
      </c>
    </row>
    <row r="41" spans="3:33" ht="15.75" customHeight="1" x14ac:dyDescent="0.25">
      <c r="C41" s="2" t="s">
        <v>119</v>
      </c>
      <c r="D41" s="2">
        <v>28</v>
      </c>
      <c r="E41" s="7">
        <v>1.91</v>
      </c>
      <c r="F41" s="7">
        <v>7.6395051133113636</v>
      </c>
      <c r="G41" s="7">
        <v>18.168569344233919</v>
      </c>
      <c r="H41" s="7">
        <v>35.18670446302005</v>
      </c>
      <c r="I41" s="7">
        <v>54.930643197056341</v>
      </c>
      <c r="J41" s="7">
        <v>1.157</v>
      </c>
      <c r="K41" s="2">
        <v>10</v>
      </c>
      <c r="L41" s="7">
        <v>58.692999999999998</v>
      </c>
      <c r="M41" s="2">
        <v>2</v>
      </c>
      <c r="N41" s="2">
        <v>0</v>
      </c>
      <c r="O41" s="2">
        <v>8</v>
      </c>
      <c r="P41" s="2">
        <v>0</v>
      </c>
      <c r="Q41" s="2">
        <f t="shared" si="0"/>
        <v>10</v>
      </c>
      <c r="R41" s="2">
        <v>225</v>
      </c>
      <c r="S41" s="2">
        <v>1</v>
      </c>
      <c r="T41" s="2">
        <v>10</v>
      </c>
      <c r="U41" s="2">
        <v>4</v>
      </c>
      <c r="V41" s="2">
        <v>1.24</v>
      </c>
      <c r="W41" s="2">
        <v>-4.476</v>
      </c>
      <c r="X41" s="2">
        <v>-3.3919999999999999</v>
      </c>
      <c r="Y41" s="2">
        <v>0.96</v>
      </c>
      <c r="Z41" s="2">
        <v>1.22</v>
      </c>
      <c r="AA41" s="2">
        <v>0.19500000000000001</v>
      </c>
      <c r="AB41" s="2">
        <v>1.75</v>
      </c>
      <c r="AC41" s="2">
        <v>5.2</v>
      </c>
      <c r="AD41" s="2">
        <v>3005</v>
      </c>
      <c r="AE41" s="2">
        <v>1726</v>
      </c>
      <c r="AF41" s="2">
        <v>49</v>
      </c>
      <c r="AG41" s="2">
        <v>430.1</v>
      </c>
    </row>
    <row r="42" spans="3:33" ht="15.75" customHeight="1" x14ac:dyDescent="0.25">
      <c r="C42" s="2" t="s">
        <v>121</v>
      </c>
      <c r="D42" s="2">
        <v>93</v>
      </c>
      <c r="E42" s="7">
        <v>1.36</v>
      </c>
      <c r="F42" s="7">
        <v>6.2652026061548218</v>
      </c>
      <c r="G42" s="7">
        <v>11.690899155901802</v>
      </c>
      <c r="H42" s="7">
        <v>20.697451785758776</v>
      </c>
      <c r="I42" s="7">
        <v>33.60097080091635</v>
      </c>
      <c r="J42" s="7">
        <v>0.48</v>
      </c>
      <c r="K42" s="2">
        <v>2</v>
      </c>
      <c r="L42" s="7">
        <v>237</v>
      </c>
      <c r="M42" s="2">
        <v>2</v>
      </c>
      <c r="N42" s="2">
        <v>0</v>
      </c>
      <c r="O42" s="2">
        <v>1</v>
      </c>
      <c r="P42" s="2">
        <v>4</v>
      </c>
      <c r="Q42" s="2">
        <f t="shared" si="0"/>
        <v>7</v>
      </c>
      <c r="R42" s="2">
        <v>62</v>
      </c>
      <c r="T42" s="2">
        <v>3</v>
      </c>
      <c r="U42" s="2">
        <v>7</v>
      </c>
      <c r="V42" s="2">
        <v>1.9</v>
      </c>
      <c r="Y42" s="2" t="s">
        <v>304</v>
      </c>
      <c r="Z42" s="2" t="s">
        <v>304</v>
      </c>
      <c r="AA42" s="2" t="s">
        <v>304</v>
      </c>
      <c r="AB42" s="2" t="s">
        <v>304</v>
      </c>
      <c r="AC42" s="2" t="s">
        <v>304</v>
      </c>
      <c r="AD42" s="2">
        <v>4175</v>
      </c>
      <c r="AE42" s="2">
        <v>913</v>
      </c>
      <c r="AF42" s="2">
        <v>151</v>
      </c>
      <c r="AG42" s="2">
        <v>464.8</v>
      </c>
    </row>
    <row r="43" spans="3:33" ht="15.75" customHeight="1" x14ac:dyDescent="0.25">
      <c r="C43" s="2" t="s">
        <v>123</v>
      </c>
      <c r="D43" s="2">
        <v>76</v>
      </c>
      <c r="E43" s="7">
        <v>2.2000000000000002</v>
      </c>
      <c r="F43" s="7">
        <v>8.43</v>
      </c>
      <c r="G43" s="7">
        <v>17</v>
      </c>
      <c r="H43" s="7">
        <v>25</v>
      </c>
      <c r="I43" s="7">
        <v>41</v>
      </c>
      <c r="J43" s="7">
        <v>1.077</v>
      </c>
      <c r="K43" s="2">
        <v>8</v>
      </c>
      <c r="L43" s="7">
        <v>190.23</v>
      </c>
      <c r="M43" s="2">
        <v>2</v>
      </c>
      <c r="N43" s="2">
        <v>0</v>
      </c>
      <c r="O43" s="2">
        <v>6</v>
      </c>
      <c r="P43" s="2">
        <v>14</v>
      </c>
      <c r="Q43" s="2">
        <f t="shared" si="0"/>
        <v>22</v>
      </c>
      <c r="R43" s="2">
        <v>194</v>
      </c>
      <c r="T43" s="2">
        <v>8</v>
      </c>
      <c r="U43" s="2">
        <v>6</v>
      </c>
      <c r="V43" s="2">
        <v>1.44</v>
      </c>
      <c r="Y43" s="2">
        <v>1.17</v>
      </c>
      <c r="Z43" s="2">
        <v>1.48</v>
      </c>
      <c r="AA43" s="2">
        <v>0.54300000000000004</v>
      </c>
      <c r="AB43" s="2">
        <v>1.85</v>
      </c>
      <c r="AC43" s="2">
        <v>5.4</v>
      </c>
      <c r="AD43" s="2">
        <v>5300</v>
      </c>
      <c r="AE43" s="2">
        <v>3327</v>
      </c>
      <c r="AF43" s="2">
        <v>57</v>
      </c>
      <c r="AG43" s="2">
        <v>787</v>
      </c>
    </row>
    <row r="44" spans="3:33" ht="15.75" customHeight="1" x14ac:dyDescent="0.25">
      <c r="C44" s="2" t="s">
        <v>126</v>
      </c>
      <c r="D44" s="2">
        <v>15</v>
      </c>
      <c r="E44" s="7">
        <v>2.19</v>
      </c>
      <c r="F44" s="7">
        <v>10.486570714487094</v>
      </c>
      <c r="G44" s="7">
        <v>19.764667278638949</v>
      </c>
      <c r="H44" s="7">
        <v>30.202525913309788</v>
      </c>
      <c r="I44" s="7">
        <v>51.444101994888463</v>
      </c>
      <c r="J44" s="7">
        <v>0.746</v>
      </c>
      <c r="K44" s="2">
        <v>5</v>
      </c>
      <c r="L44" s="7">
        <v>30.974</v>
      </c>
      <c r="M44" s="2">
        <v>2</v>
      </c>
      <c r="N44" s="2">
        <v>3</v>
      </c>
      <c r="O44" s="2">
        <v>0</v>
      </c>
      <c r="P44" s="2">
        <v>0</v>
      </c>
      <c r="Q44" s="2">
        <f t="shared" si="0"/>
        <v>5</v>
      </c>
      <c r="R44" s="2">
        <v>2</v>
      </c>
      <c r="T44" s="2">
        <v>15</v>
      </c>
      <c r="U44" s="2">
        <v>3</v>
      </c>
      <c r="V44" s="2">
        <v>1.07</v>
      </c>
      <c r="Y44" s="2">
        <v>0.25</v>
      </c>
      <c r="Z44" s="2">
        <v>0.155</v>
      </c>
      <c r="AA44" s="2">
        <v>0</v>
      </c>
      <c r="AB44" s="2" t="s">
        <v>304</v>
      </c>
      <c r="AC44" s="2" t="s">
        <v>304</v>
      </c>
      <c r="AD44" s="2">
        <v>553</v>
      </c>
      <c r="AE44" s="2">
        <v>317.3</v>
      </c>
      <c r="AF44" s="2">
        <v>25</v>
      </c>
      <c r="AG44" s="2">
        <v>316.5</v>
      </c>
    </row>
    <row r="45" spans="3:33" ht="15.75" customHeight="1" x14ac:dyDescent="0.25">
      <c r="C45" s="2" t="s">
        <v>128</v>
      </c>
      <c r="D45" s="2">
        <v>91</v>
      </c>
      <c r="E45" s="7">
        <v>1.5</v>
      </c>
      <c r="F45" s="7">
        <v>5.8869066671562269</v>
      </c>
      <c r="G45" s="7">
        <v>11.690899155901802</v>
      </c>
      <c r="H45" s="7">
        <v>18.800789954615134</v>
      </c>
      <c r="I45" s="7">
        <v>30.999538453282174</v>
      </c>
      <c r="J45" s="7">
        <v>0.55000000000000004</v>
      </c>
      <c r="K45" s="2">
        <v>2</v>
      </c>
      <c r="L45" s="7">
        <v>231.036</v>
      </c>
      <c r="M45" s="2">
        <v>2</v>
      </c>
      <c r="N45" s="2">
        <v>0</v>
      </c>
      <c r="O45" s="2">
        <v>1</v>
      </c>
      <c r="P45" s="2">
        <v>2</v>
      </c>
      <c r="Q45" s="2">
        <f t="shared" si="0"/>
        <v>5</v>
      </c>
      <c r="R45" s="2">
        <v>139</v>
      </c>
      <c r="T45" s="2">
        <v>3</v>
      </c>
      <c r="U45" s="2">
        <v>7</v>
      </c>
      <c r="V45" s="2">
        <v>2</v>
      </c>
      <c r="Y45" s="2" t="s">
        <v>304</v>
      </c>
      <c r="Z45" s="2" t="s">
        <v>304</v>
      </c>
      <c r="AA45" s="2" t="s">
        <v>304</v>
      </c>
      <c r="AB45" s="2" t="s">
        <v>304</v>
      </c>
      <c r="AC45" s="2" t="s">
        <v>304</v>
      </c>
      <c r="AD45" s="2">
        <v>4300</v>
      </c>
      <c r="AE45" s="2">
        <v>2113</v>
      </c>
      <c r="AF45" s="2">
        <v>154</v>
      </c>
      <c r="AG45" s="2">
        <v>563</v>
      </c>
    </row>
    <row r="46" spans="3:33" ht="15.75" customHeight="1" x14ac:dyDescent="0.25">
      <c r="C46" s="2" t="s">
        <v>132</v>
      </c>
      <c r="D46" s="2">
        <v>82</v>
      </c>
      <c r="E46" s="7">
        <v>2.33</v>
      </c>
      <c r="F46" s="7">
        <v>7.4166732588327395</v>
      </c>
      <c r="G46" s="7">
        <v>15.033376973081173</v>
      </c>
      <c r="H46" s="7">
        <v>31.937505096552663</v>
      </c>
      <c r="I46" s="7">
        <v>42.317323806336042</v>
      </c>
      <c r="J46" s="7">
        <v>0.35599999999999998</v>
      </c>
      <c r="K46" s="2">
        <v>4</v>
      </c>
      <c r="L46" s="7">
        <v>207.2</v>
      </c>
      <c r="M46" s="2">
        <v>2</v>
      </c>
      <c r="N46" s="2">
        <v>2</v>
      </c>
      <c r="O46" s="2">
        <v>10</v>
      </c>
      <c r="P46" s="2">
        <v>14</v>
      </c>
      <c r="Q46" s="2">
        <f t="shared" si="0"/>
        <v>28</v>
      </c>
      <c r="R46" s="2">
        <v>225</v>
      </c>
      <c r="T46" s="2">
        <v>14</v>
      </c>
      <c r="U46" s="2">
        <v>6</v>
      </c>
      <c r="V46" s="2">
        <v>1.46</v>
      </c>
      <c r="Y46" s="2">
        <v>0.96</v>
      </c>
      <c r="Z46" s="2">
        <v>1.1299999999999999</v>
      </c>
      <c r="AA46" s="2">
        <v>0.45</v>
      </c>
      <c r="AB46" s="2">
        <v>1.1499999999999999</v>
      </c>
      <c r="AC46" s="2">
        <v>4.0999999999999996</v>
      </c>
      <c r="AD46" s="2">
        <v>2013</v>
      </c>
      <c r="AE46" s="2">
        <v>600.6</v>
      </c>
      <c r="AF46" s="2">
        <v>47</v>
      </c>
      <c r="AG46" s="2">
        <v>195.2</v>
      </c>
    </row>
    <row r="47" spans="3:33" ht="15.75" customHeight="1" x14ac:dyDescent="0.25">
      <c r="C47" s="2" t="s">
        <v>135</v>
      </c>
      <c r="D47" s="2">
        <v>46</v>
      </c>
      <c r="E47" s="7">
        <v>2.2000000000000002</v>
      </c>
      <c r="F47" s="7">
        <v>8.3370206391909658</v>
      </c>
      <c r="G47" s="7">
        <v>19.43</v>
      </c>
      <c r="H47" s="7">
        <v>32.927293101329809</v>
      </c>
      <c r="I47" s="7">
        <v>46</v>
      </c>
      <c r="J47" s="7">
        <v>0.56200000000000006</v>
      </c>
      <c r="K47" s="2">
        <v>12</v>
      </c>
      <c r="L47" s="7">
        <v>106.42</v>
      </c>
      <c r="M47" s="2">
        <v>0</v>
      </c>
      <c r="N47" s="2">
        <v>0</v>
      </c>
      <c r="O47" s="2">
        <v>10</v>
      </c>
      <c r="P47" s="2">
        <v>0</v>
      </c>
      <c r="Q47" s="2">
        <f t="shared" si="0"/>
        <v>10</v>
      </c>
      <c r="R47" s="2">
        <v>225</v>
      </c>
      <c r="S47" s="2">
        <v>1</v>
      </c>
      <c r="T47" s="2">
        <v>10</v>
      </c>
      <c r="U47" s="2">
        <v>5</v>
      </c>
      <c r="V47" s="2">
        <v>1.39</v>
      </c>
      <c r="W47" s="2">
        <v>-3.8650000000000002</v>
      </c>
      <c r="X47" s="2">
        <v>-3.206</v>
      </c>
      <c r="Y47" s="2">
        <v>1.08</v>
      </c>
      <c r="Z47" s="2">
        <v>1.37</v>
      </c>
      <c r="AA47" s="2">
        <v>0.4</v>
      </c>
      <c r="AB47" s="2">
        <v>1.67</v>
      </c>
      <c r="AC47" s="2">
        <v>5.45</v>
      </c>
      <c r="AD47" s="2">
        <v>3413</v>
      </c>
      <c r="AE47" s="2">
        <v>1825</v>
      </c>
      <c r="AF47" s="2">
        <v>26.14</v>
      </c>
      <c r="AG47" s="2">
        <v>376.6</v>
      </c>
    </row>
    <row r="48" spans="3:33" ht="15.75" customHeight="1" x14ac:dyDescent="0.25">
      <c r="C48" s="2" t="s">
        <v>138</v>
      </c>
      <c r="D48" s="2">
        <v>61</v>
      </c>
      <c r="E48" s="7">
        <v>1.1299999999999999</v>
      </c>
      <c r="F48" s="7">
        <v>5.5967070427189478</v>
      </c>
      <c r="G48" s="7">
        <v>10.882485916397954</v>
      </c>
      <c r="H48" s="7">
        <v>22.283185447862479</v>
      </c>
      <c r="I48" s="7">
        <v>41.146161036285598</v>
      </c>
      <c r="J48" s="7">
        <v>0.129</v>
      </c>
      <c r="K48" s="2">
        <v>2</v>
      </c>
      <c r="L48" s="7">
        <v>145</v>
      </c>
      <c r="M48" s="2">
        <v>2</v>
      </c>
      <c r="N48" s="2">
        <v>0</v>
      </c>
      <c r="O48" s="2">
        <v>0</v>
      </c>
      <c r="P48" s="2">
        <v>5</v>
      </c>
      <c r="Q48" s="2">
        <f t="shared" si="0"/>
        <v>7</v>
      </c>
      <c r="R48" s="2" t="s">
        <v>284</v>
      </c>
      <c r="T48" s="2">
        <v>3</v>
      </c>
      <c r="U48" s="2">
        <v>6</v>
      </c>
      <c r="V48" s="2">
        <v>1.99</v>
      </c>
      <c r="Y48" s="2" t="s">
        <v>304</v>
      </c>
      <c r="Z48" s="2" t="s">
        <v>304</v>
      </c>
      <c r="AA48" s="2" t="s">
        <v>304</v>
      </c>
      <c r="AB48" s="2" t="s">
        <v>304</v>
      </c>
      <c r="AC48" s="2" t="s">
        <v>304</v>
      </c>
      <c r="AD48" s="2">
        <v>3000</v>
      </c>
      <c r="AE48" s="2">
        <v>1441</v>
      </c>
      <c r="AF48" s="2">
        <v>200</v>
      </c>
      <c r="AG48" s="2" t="s">
        <v>303</v>
      </c>
    </row>
    <row r="49" spans="3:33" ht="15.75" customHeight="1" x14ac:dyDescent="0.25">
      <c r="C49" s="2" t="s">
        <v>140</v>
      </c>
      <c r="D49" s="2">
        <v>59</v>
      </c>
      <c r="E49" s="7">
        <v>1.1299999999999999</v>
      </c>
      <c r="F49" s="7">
        <v>5.4619715028016396</v>
      </c>
      <c r="G49" s="7">
        <v>10.571557747358012</v>
      </c>
      <c r="H49" s="7">
        <v>21.619872020577269</v>
      </c>
      <c r="I49" s="7">
        <v>38.980028125307335</v>
      </c>
      <c r="J49" s="7">
        <v>0.96199999999999997</v>
      </c>
      <c r="K49" s="2">
        <v>2</v>
      </c>
      <c r="L49" s="7">
        <v>140.90799999999999</v>
      </c>
      <c r="M49" s="2">
        <v>2</v>
      </c>
      <c r="N49" s="2">
        <v>0</v>
      </c>
      <c r="O49" s="2">
        <v>0</v>
      </c>
      <c r="P49" s="2">
        <v>3</v>
      </c>
      <c r="Q49" s="2">
        <f t="shared" si="0"/>
        <v>5</v>
      </c>
      <c r="R49" s="2">
        <v>194</v>
      </c>
      <c r="T49" s="2">
        <v>3</v>
      </c>
      <c r="U49" s="2">
        <v>6</v>
      </c>
      <c r="V49" s="2">
        <v>2.0299999999999998</v>
      </c>
      <c r="Y49" s="2" t="s">
        <v>304</v>
      </c>
      <c r="Z49" s="2" t="s">
        <v>304</v>
      </c>
      <c r="AA49" s="2" t="s">
        <v>304</v>
      </c>
      <c r="AB49" s="2" t="s">
        <v>304</v>
      </c>
      <c r="AC49" s="2" t="s">
        <v>304</v>
      </c>
      <c r="AD49" s="2">
        <v>3785</v>
      </c>
      <c r="AE49" s="2">
        <v>1204</v>
      </c>
      <c r="AF49" s="2">
        <v>216</v>
      </c>
      <c r="AG49" s="2">
        <v>356.9</v>
      </c>
    </row>
    <row r="50" spans="3:33" ht="15.75" customHeight="1" x14ac:dyDescent="0.25">
      <c r="C50" s="2" t="s">
        <v>142</v>
      </c>
      <c r="D50" s="2">
        <v>78</v>
      </c>
      <c r="E50" s="7">
        <v>2.2799999999999998</v>
      </c>
      <c r="F50" s="7">
        <v>8.9600000000000009</v>
      </c>
      <c r="G50" s="7">
        <v>18.56241169168451</v>
      </c>
      <c r="H50" s="7">
        <v>29</v>
      </c>
      <c r="I50" s="7">
        <v>43</v>
      </c>
      <c r="J50" s="7">
        <v>2.125</v>
      </c>
      <c r="K50" s="2">
        <v>10</v>
      </c>
      <c r="L50" s="7">
        <v>195.078</v>
      </c>
      <c r="M50" s="2">
        <v>1</v>
      </c>
      <c r="N50" s="2">
        <v>0</v>
      </c>
      <c r="O50" s="2">
        <v>9</v>
      </c>
      <c r="P50" s="2">
        <v>14</v>
      </c>
      <c r="Q50" s="2">
        <f t="shared" si="0"/>
        <v>24</v>
      </c>
      <c r="R50" s="2">
        <v>225</v>
      </c>
      <c r="S50" s="2">
        <v>1</v>
      </c>
      <c r="T50" s="2">
        <v>10</v>
      </c>
      <c r="U50" s="2">
        <v>6</v>
      </c>
      <c r="V50" s="2">
        <v>1.36</v>
      </c>
      <c r="W50" s="2">
        <v>-5.1470000000000002</v>
      </c>
      <c r="X50" s="2">
        <v>-4.9969999999999999</v>
      </c>
      <c r="Y50" s="2">
        <v>1.24</v>
      </c>
      <c r="Z50" s="2">
        <v>1.46</v>
      </c>
      <c r="AA50" s="2">
        <v>0.51</v>
      </c>
      <c r="AB50" s="2">
        <v>1.78</v>
      </c>
      <c r="AC50" s="2">
        <v>5.65</v>
      </c>
      <c r="AD50" s="2">
        <v>4100</v>
      </c>
      <c r="AE50" s="2">
        <v>2045</v>
      </c>
      <c r="AF50" s="2">
        <v>48</v>
      </c>
      <c r="AG50" s="2">
        <v>565.70000000000005</v>
      </c>
    </row>
    <row r="51" spans="3:33" ht="15.75" customHeight="1" x14ac:dyDescent="0.25">
      <c r="C51" s="2" t="s">
        <v>145</v>
      </c>
      <c r="D51" s="2">
        <v>94</v>
      </c>
      <c r="E51" s="7">
        <v>1.28</v>
      </c>
      <c r="F51" s="7">
        <v>6.0599900145884611</v>
      </c>
      <c r="G51" s="7">
        <v>11.690899155901802</v>
      </c>
      <c r="H51" s="7">
        <v>21.599143475974607</v>
      </c>
      <c r="I51" s="7">
        <v>34.595940941844162</v>
      </c>
      <c r="J51" s="7">
        <v>-0.5</v>
      </c>
      <c r="K51" s="2">
        <v>2</v>
      </c>
      <c r="L51" s="7">
        <v>244</v>
      </c>
      <c r="M51" s="2">
        <v>2</v>
      </c>
      <c r="N51" s="2">
        <v>0</v>
      </c>
      <c r="O51" s="2">
        <v>0</v>
      </c>
      <c r="P51" s="2">
        <v>6</v>
      </c>
      <c r="Q51" s="2">
        <f t="shared" si="0"/>
        <v>8</v>
      </c>
      <c r="R51" s="2">
        <v>11</v>
      </c>
      <c r="T51" s="2">
        <v>3</v>
      </c>
      <c r="U51" s="2">
        <v>7</v>
      </c>
      <c r="V51" s="2">
        <v>1.87</v>
      </c>
      <c r="Y51" s="2" t="s">
        <v>304</v>
      </c>
      <c r="Z51" s="2" t="s">
        <v>304</v>
      </c>
      <c r="AA51" s="2" t="s">
        <v>304</v>
      </c>
      <c r="AB51" s="2">
        <v>1.44</v>
      </c>
      <c r="AC51" s="2">
        <v>3.8</v>
      </c>
      <c r="AD51" s="2">
        <v>3505</v>
      </c>
      <c r="AE51" s="2">
        <v>914</v>
      </c>
      <c r="AF51" s="2">
        <v>132</v>
      </c>
      <c r="AG51" s="2">
        <v>345</v>
      </c>
    </row>
    <row r="52" spans="3:33" ht="15.75" customHeight="1" x14ac:dyDescent="0.25">
      <c r="C52" s="2" t="s">
        <v>149</v>
      </c>
      <c r="D52" s="2">
        <v>37</v>
      </c>
      <c r="E52" s="7">
        <v>0.82</v>
      </c>
      <c r="F52" s="7">
        <v>4.1768017374365485</v>
      </c>
      <c r="G52" s="7">
        <v>27.289128969405535</v>
      </c>
      <c r="H52" s="7">
        <v>40.006091083139147</v>
      </c>
      <c r="I52" s="7">
        <v>52.650503290763439</v>
      </c>
      <c r="J52" s="7">
        <v>0.48499999999999999</v>
      </c>
      <c r="K52" s="2">
        <v>1</v>
      </c>
      <c r="L52" s="7">
        <v>85.468000000000004</v>
      </c>
      <c r="M52" s="2">
        <v>1</v>
      </c>
      <c r="N52" s="2">
        <v>0</v>
      </c>
      <c r="O52" s="2">
        <v>0</v>
      </c>
      <c r="P52" s="2">
        <v>0</v>
      </c>
      <c r="Q52" s="2">
        <f t="shared" si="0"/>
        <v>1</v>
      </c>
      <c r="R52" s="2">
        <v>229</v>
      </c>
      <c r="T52" s="2">
        <v>1</v>
      </c>
      <c r="U52" s="2">
        <v>5</v>
      </c>
      <c r="V52" s="2">
        <v>2.2000000000000002</v>
      </c>
      <c r="Y52" s="2">
        <v>1.67</v>
      </c>
      <c r="Z52" s="2">
        <v>2.4300000000000002</v>
      </c>
      <c r="AA52" s="2">
        <v>0.71</v>
      </c>
      <c r="AB52" s="2">
        <v>0.6</v>
      </c>
      <c r="AC52" s="2">
        <v>2.1</v>
      </c>
      <c r="AD52" s="2">
        <v>961</v>
      </c>
      <c r="AE52" s="2">
        <v>312.2</v>
      </c>
      <c r="AF52" s="2">
        <v>319.8</v>
      </c>
      <c r="AG52" s="2">
        <v>80.900000000000006</v>
      </c>
    </row>
    <row r="53" spans="3:33" ht="15.75" customHeight="1" x14ac:dyDescent="0.25">
      <c r="C53" s="2" t="s">
        <v>154</v>
      </c>
      <c r="D53" s="2">
        <v>75</v>
      </c>
      <c r="E53" s="7">
        <v>1.9</v>
      </c>
      <c r="F53" s="7">
        <v>7.8768469490118527</v>
      </c>
      <c r="G53" s="7">
        <v>13.058983099677546</v>
      </c>
      <c r="H53" s="7">
        <v>26.014323476341776</v>
      </c>
      <c r="I53" s="7">
        <v>37.725951176846237</v>
      </c>
      <c r="J53" s="7">
        <v>0.06</v>
      </c>
      <c r="K53" s="2">
        <v>7</v>
      </c>
      <c r="L53" s="7">
        <v>186.20699999999999</v>
      </c>
      <c r="M53" s="2">
        <v>2</v>
      </c>
      <c r="N53" s="2">
        <v>5</v>
      </c>
      <c r="O53" s="2">
        <v>0</v>
      </c>
      <c r="P53" s="2">
        <v>14</v>
      </c>
      <c r="Q53" s="2">
        <f t="shared" si="0"/>
        <v>21</v>
      </c>
      <c r="R53" s="2">
        <v>194</v>
      </c>
      <c r="T53" s="2">
        <v>7</v>
      </c>
      <c r="U53" s="2">
        <v>6</v>
      </c>
      <c r="V53" s="2">
        <v>1.51</v>
      </c>
      <c r="Y53" s="2" t="s">
        <v>306</v>
      </c>
      <c r="Z53" s="2">
        <v>1.49</v>
      </c>
      <c r="AA53" s="2">
        <v>0.56499999999999995</v>
      </c>
      <c r="AB53" s="2">
        <v>1.86</v>
      </c>
      <c r="AC53" s="2">
        <v>5.4</v>
      </c>
      <c r="AD53" s="2">
        <v>5900</v>
      </c>
      <c r="AE53" s="2">
        <v>3453</v>
      </c>
      <c r="AF53" s="2">
        <v>62</v>
      </c>
      <c r="AG53" s="2">
        <v>774</v>
      </c>
    </row>
    <row r="54" spans="3:33" ht="15.75" customHeight="1" x14ac:dyDescent="0.25">
      <c r="C54" s="2" t="s">
        <v>156</v>
      </c>
      <c r="D54" s="2">
        <v>45</v>
      </c>
      <c r="E54" s="7">
        <v>2.2799999999999998</v>
      </c>
      <c r="F54" s="7">
        <v>7.4591667752681978</v>
      </c>
      <c r="G54" s="7">
        <v>18.033833804316611</v>
      </c>
      <c r="H54" s="7">
        <v>31.061724087090159</v>
      </c>
      <c r="I54" s="7">
        <v>42</v>
      </c>
      <c r="J54" s="7">
        <v>1.1419999999999999</v>
      </c>
      <c r="K54" s="2">
        <v>9</v>
      </c>
      <c r="L54" s="7">
        <v>102.90600000000001</v>
      </c>
      <c r="M54" s="2">
        <v>1</v>
      </c>
      <c r="N54" s="2">
        <v>0</v>
      </c>
      <c r="O54" s="2">
        <v>8</v>
      </c>
      <c r="P54" s="2">
        <v>0</v>
      </c>
      <c r="Q54" s="2">
        <f t="shared" si="0"/>
        <v>9</v>
      </c>
      <c r="R54" s="2">
        <v>225</v>
      </c>
      <c r="S54" s="2">
        <v>1</v>
      </c>
      <c r="T54" s="2">
        <v>9</v>
      </c>
      <c r="U54" s="2">
        <v>5</v>
      </c>
      <c r="V54" s="2">
        <v>1.42</v>
      </c>
      <c r="W54" s="2">
        <v>-4.524</v>
      </c>
      <c r="X54" s="2">
        <v>-4.2270000000000003</v>
      </c>
      <c r="Y54" s="2">
        <v>1.1100000000000001</v>
      </c>
      <c r="Z54" s="2">
        <v>1.41</v>
      </c>
      <c r="AA54" s="2">
        <v>0.42</v>
      </c>
      <c r="AB54" s="2">
        <v>1.76</v>
      </c>
      <c r="AC54" s="2">
        <v>5.4</v>
      </c>
      <c r="AD54" s="2">
        <v>4000</v>
      </c>
      <c r="AE54" s="2">
        <v>2239</v>
      </c>
      <c r="AF54" s="2">
        <v>66</v>
      </c>
      <c r="AG54" s="2">
        <v>556</v>
      </c>
    </row>
    <row r="55" spans="3:33" ht="15.75" customHeight="1" x14ac:dyDescent="0.25">
      <c r="C55" s="2" t="s">
        <v>158</v>
      </c>
      <c r="D55" s="2">
        <v>44</v>
      </c>
      <c r="E55" s="7">
        <v>2.2000000000000002</v>
      </c>
      <c r="F55" s="7">
        <v>7.3607061884055502</v>
      </c>
      <c r="G55" s="7">
        <v>16.790121128156844</v>
      </c>
      <c r="H55" s="7">
        <v>28.470656011757313</v>
      </c>
      <c r="I55" s="7">
        <v>45</v>
      </c>
      <c r="J55" s="7">
        <v>1.046</v>
      </c>
      <c r="K55" s="2">
        <v>8</v>
      </c>
      <c r="L55" s="7">
        <v>101.07</v>
      </c>
      <c r="M55" s="2">
        <v>1</v>
      </c>
      <c r="N55" s="2">
        <v>0</v>
      </c>
      <c r="O55" s="2">
        <v>7</v>
      </c>
      <c r="P55" s="2">
        <v>0</v>
      </c>
      <c r="Q55" s="2">
        <f t="shared" si="0"/>
        <v>8</v>
      </c>
      <c r="R55" s="2">
        <v>194</v>
      </c>
      <c r="S55" s="2">
        <v>2</v>
      </c>
      <c r="T55" s="2">
        <v>8</v>
      </c>
      <c r="U55" s="2">
        <v>5</v>
      </c>
      <c r="V55" s="2">
        <v>1.46</v>
      </c>
      <c r="W55" s="2">
        <v>-3.9940000000000002</v>
      </c>
      <c r="X55" s="2">
        <v>-3.1840000000000002</v>
      </c>
      <c r="Y55" s="2" t="s">
        <v>304</v>
      </c>
      <c r="Z55" s="2" t="s">
        <v>304</v>
      </c>
      <c r="AA55" s="2" t="s">
        <v>304</v>
      </c>
      <c r="AB55" s="2">
        <v>1.83</v>
      </c>
      <c r="AC55" s="2">
        <v>5.4</v>
      </c>
      <c r="AD55" s="2">
        <v>4173</v>
      </c>
      <c r="AE55" s="2">
        <v>2583</v>
      </c>
      <c r="AF55" s="2">
        <v>72</v>
      </c>
      <c r="AG55" s="2">
        <v>650.6</v>
      </c>
    </row>
    <row r="56" spans="3:33" ht="15.75" customHeight="1" x14ac:dyDescent="0.25">
      <c r="C56" s="2" t="s">
        <v>161</v>
      </c>
      <c r="D56" s="2">
        <v>51</v>
      </c>
      <c r="E56" s="7">
        <v>2.0499999999999998</v>
      </c>
      <c r="F56" s="7">
        <v>8.6438030993103752</v>
      </c>
      <c r="G56" s="7">
        <v>16.529977893393426</v>
      </c>
      <c r="H56" s="7">
        <v>25.28882441524858</v>
      </c>
      <c r="I56" s="7">
        <v>44.151800003671703</v>
      </c>
      <c r="J56" s="7">
        <v>1.0469999999999999</v>
      </c>
      <c r="K56" s="2">
        <v>5</v>
      </c>
      <c r="L56" s="7">
        <v>121.76</v>
      </c>
      <c r="M56" s="2">
        <v>2</v>
      </c>
      <c r="N56" s="2">
        <v>3</v>
      </c>
      <c r="O56" s="2">
        <v>10</v>
      </c>
      <c r="P56" s="2">
        <v>0</v>
      </c>
      <c r="Q56" s="2">
        <f t="shared" si="0"/>
        <v>15</v>
      </c>
      <c r="R56" s="2">
        <v>166</v>
      </c>
      <c r="T56" s="2">
        <v>15</v>
      </c>
      <c r="U56" s="2">
        <v>5</v>
      </c>
      <c r="V56" s="2">
        <v>1.39</v>
      </c>
      <c r="Y56" s="2">
        <v>0.83</v>
      </c>
      <c r="Z56" s="2">
        <v>0.93500000000000005</v>
      </c>
      <c r="AA56" s="2">
        <v>0.33500000000000002</v>
      </c>
      <c r="AB56" s="2">
        <v>1.26</v>
      </c>
      <c r="AC56" s="2">
        <v>4.4000000000000004</v>
      </c>
      <c r="AD56" s="2">
        <v>1908</v>
      </c>
      <c r="AE56" s="2">
        <v>903.9</v>
      </c>
      <c r="AF56" s="2">
        <v>43</v>
      </c>
      <c r="AG56" s="2">
        <v>264.39999999999998</v>
      </c>
    </row>
    <row r="57" spans="3:33" ht="15.75" customHeight="1" x14ac:dyDescent="0.25">
      <c r="C57" s="2" t="s">
        <v>165</v>
      </c>
      <c r="D57" s="2">
        <v>21</v>
      </c>
      <c r="E57" s="7">
        <v>1.36</v>
      </c>
      <c r="F57" s="7">
        <v>6.5616207939729003</v>
      </c>
      <c r="G57" s="7">
        <v>12.79987629214426</v>
      </c>
      <c r="H57" s="7">
        <v>24.756100818960146</v>
      </c>
      <c r="I57" s="7">
        <v>73.488909179820325</v>
      </c>
      <c r="J57" s="7">
        <v>0.188</v>
      </c>
      <c r="K57" s="2">
        <v>3</v>
      </c>
      <c r="L57" s="7">
        <v>44.956000000000003</v>
      </c>
      <c r="M57" s="2">
        <v>2</v>
      </c>
      <c r="N57" s="2">
        <v>0</v>
      </c>
      <c r="O57" s="2">
        <v>1</v>
      </c>
      <c r="P57" s="2">
        <v>0</v>
      </c>
      <c r="Q57" s="2">
        <f t="shared" si="0"/>
        <v>3</v>
      </c>
      <c r="R57" s="2">
        <v>194</v>
      </c>
      <c r="T57" s="2">
        <v>3</v>
      </c>
      <c r="U57" s="2">
        <v>4</v>
      </c>
      <c r="V57" s="2">
        <v>1.7</v>
      </c>
      <c r="Y57" s="2">
        <v>1.22</v>
      </c>
      <c r="Z57" s="2">
        <v>1.53</v>
      </c>
      <c r="AA57" s="2">
        <v>0.31</v>
      </c>
      <c r="AB57" s="2">
        <v>1.27</v>
      </c>
      <c r="AC57" s="2">
        <v>3.25</v>
      </c>
      <c r="AD57" s="2">
        <v>3104</v>
      </c>
      <c r="AE57" s="2">
        <v>1814</v>
      </c>
      <c r="AF57" s="2">
        <v>97</v>
      </c>
      <c r="AG57" s="2">
        <v>377.8</v>
      </c>
    </row>
    <row r="58" spans="3:33" ht="15.75" customHeight="1" x14ac:dyDescent="0.25">
      <c r="C58" s="2" t="s">
        <v>168</v>
      </c>
      <c r="D58" s="2">
        <v>34</v>
      </c>
      <c r="E58" s="7">
        <v>2.5499999999999998</v>
      </c>
      <c r="F58" s="7">
        <v>9.7527802355528337</v>
      </c>
      <c r="G58" s="7">
        <v>21.194936856222682</v>
      </c>
      <c r="H58" s="7">
        <v>30.820236542469136</v>
      </c>
      <c r="I58" s="7">
        <v>42.949544416717259</v>
      </c>
      <c r="J58" s="7">
        <v>2.02</v>
      </c>
      <c r="K58" s="2">
        <v>6</v>
      </c>
      <c r="L58" s="7">
        <v>78.959999999999994</v>
      </c>
      <c r="M58" s="2">
        <v>2</v>
      </c>
      <c r="N58" s="2">
        <v>4</v>
      </c>
      <c r="O58" s="2">
        <v>10</v>
      </c>
      <c r="P58" s="2">
        <v>0</v>
      </c>
      <c r="Q58" s="2">
        <f t="shared" si="0"/>
        <v>16</v>
      </c>
      <c r="R58" s="2">
        <v>14</v>
      </c>
      <c r="T58" s="2">
        <v>16</v>
      </c>
      <c r="U58" s="2">
        <v>4</v>
      </c>
      <c r="V58" s="2">
        <v>1.2</v>
      </c>
      <c r="Y58" s="2">
        <v>0.61499999999999999</v>
      </c>
      <c r="Z58" s="2">
        <v>0.67</v>
      </c>
      <c r="AA58" s="2">
        <v>0.15</v>
      </c>
      <c r="AB58" s="2" t="s">
        <v>304</v>
      </c>
      <c r="AC58" s="2" t="s">
        <v>304</v>
      </c>
      <c r="AD58" s="2">
        <v>958.1</v>
      </c>
      <c r="AE58" s="2">
        <v>490</v>
      </c>
      <c r="AF58" s="2">
        <v>28.9</v>
      </c>
      <c r="AG58" s="2">
        <v>227.2</v>
      </c>
    </row>
    <row r="59" spans="3:33" ht="15.75" customHeight="1" x14ac:dyDescent="0.25">
      <c r="C59" s="2" t="s">
        <v>170</v>
      </c>
      <c r="D59" s="2">
        <v>14</v>
      </c>
      <c r="E59" s="7">
        <v>1.9</v>
      </c>
      <c r="F59" s="7">
        <v>8.1515001649971346</v>
      </c>
      <c r="G59" s="7">
        <v>16.345493846429726</v>
      </c>
      <c r="H59" s="7">
        <v>33.493182368982502</v>
      </c>
      <c r="I59" s="7">
        <v>45.141588008448849</v>
      </c>
      <c r="J59" s="7">
        <v>1.389</v>
      </c>
      <c r="K59" s="2">
        <v>4</v>
      </c>
      <c r="L59" s="7">
        <v>28.085999999999999</v>
      </c>
      <c r="M59" s="2">
        <v>2</v>
      </c>
      <c r="N59" s="2">
        <v>2</v>
      </c>
      <c r="O59" s="2">
        <v>0</v>
      </c>
      <c r="P59" s="2">
        <v>0</v>
      </c>
      <c r="Q59" s="2">
        <f t="shared" si="0"/>
        <v>4</v>
      </c>
      <c r="R59" s="2">
        <v>227</v>
      </c>
      <c r="T59" s="2">
        <v>14</v>
      </c>
      <c r="U59" s="2">
        <v>3</v>
      </c>
      <c r="V59" s="2">
        <v>1.1100000000000001</v>
      </c>
      <c r="Y59" s="2">
        <v>0.68</v>
      </c>
      <c r="Z59" s="2">
        <v>0.74</v>
      </c>
      <c r="AA59" s="2">
        <v>0</v>
      </c>
      <c r="AB59" s="2">
        <v>1.5</v>
      </c>
      <c r="AC59" s="2">
        <v>4.7</v>
      </c>
      <c r="AD59" s="2">
        <v>2628</v>
      </c>
      <c r="AE59" s="2">
        <v>1683</v>
      </c>
      <c r="AF59" s="2">
        <v>37.299999999999997</v>
      </c>
      <c r="AG59" s="2">
        <v>450</v>
      </c>
    </row>
    <row r="60" spans="3:33" ht="15.75" customHeight="1" x14ac:dyDescent="0.25">
      <c r="C60" s="2" t="s">
        <v>172</v>
      </c>
      <c r="D60" s="2">
        <v>62</v>
      </c>
      <c r="E60" s="7">
        <v>1.17</v>
      </c>
      <c r="F60" s="7">
        <v>5.6433462680749393</v>
      </c>
      <c r="G60" s="7">
        <v>11.089771362424582</v>
      </c>
      <c r="H60" s="7">
        <v>23.42325540100893</v>
      </c>
      <c r="I60" s="7">
        <v>41.353446482312229</v>
      </c>
      <c r="J60" s="7">
        <v>0.16200000000000001</v>
      </c>
      <c r="K60" s="2">
        <v>2</v>
      </c>
      <c r="L60" s="7">
        <v>150.36000000000001</v>
      </c>
      <c r="M60" s="2">
        <v>2</v>
      </c>
      <c r="N60" s="2">
        <v>0</v>
      </c>
      <c r="O60" s="2">
        <v>0</v>
      </c>
      <c r="P60" s="2">
        <v>6</v>
      </c>
      <c r="Q60" s="2">
        <f t="shared" si="0"/>
        <v>8</v>
      </c>
      <c r="R60" s="2">
        <v>166</v>
      </c>
      <c r="T60" s="2">
        <v>3</v>
      </c>
      <c r="U60" s="2">
        <v>6</v>
      </c>
      <c r="V60" s="2">
        <v>1.98</v>
      </c>
      <c r="Y60" s="2" t="s">
        <v>304</v>
      </c>
      <c r="Z60" s="2" t="s">
        <v>304</v>
      </c>
      <c r="AA60" s="2" t="s">
        <v>304</v>
      </c>
      <c r="AB60" s="2" t="s">
        <v>304</v>
      </c>
      <c r="AC60" s="2" t="s">
        <v>304</v>
      </c>
      <c r="AD60" s="2">
        <v>2064</v>
      </c>
      <c r="AE60" s="2">
        <v>1350</v>
      </c>
      <c r="AF60" s="2">
        <v>192</v>
      </c>
      <c r="AG60" s="2">
        <v>206.7</v>
      </c>
    </row>
    <row r="61" spans="3:33" ht="15.75" customHeight="1" x14ac:dyDescent="0.25">
      <c r="C61" s="2" t="s">
        <v>175</v>
      </c>
      <c r="D61" s="2">
        <v>50</v>
      </c>
      <c r="E61" s="7">
        <v>1.96</v>
      </c>
      <c r="F61" s="7">
        <v>7.34412335272342</v>
      </c>
      <c r="G61" s="7">
        <v>14.632279635019648</v>
      </c>
      <c r="H61" s="7">
        <v>30.502053382818264</v>
      </c>
      <c r="I61" s="7">
        <v>40.734699425922742</v>
      </c>
      <c r="J61" s="7">
        <v>1.1120000000000001</v>
      </c>
      <c r="K61" s="2">
        <v>4</v>
      </c>
      <c r="L61" s="7">
        <v>118.71</v>
      </c>
      <c r="M61" s="2">
        <v>2</v>
      </c>
      <c r="N61" s="2">
        <v>2</v>
      </c>
      <c r="O61" s="2">
        <v>10</v>
      </c>
      <c r="P61" s="2">
        <v>0</v>
      </c>
      <c r="Q61" s="2">
        <f t="shared" si="0"/>
        <v>14</v>
      </c>
      <c r="R61" s="2">
        <v>141</v>
      </c>
      <c r="S61" s="2">
        <v>4</v>
      </c>
      <c r="T61" s="2">
        <v>14</v>
      </c>
      <c r="U61" s="2">
        <v>5</v>
      </c>
      <c r="V61" s="2">
        <v>1.39</v>
      </c>
      <c r="W61" s="2">
        <v>-3.6930000000000001</v>
      </c>
      <c r="X61" s="2">
        <v>-3.61</v>
      </c>
      <c r="Y61" s="2">
        <v>0.88</v>
      </c>
      <c r="Z61" s="2">
        <v>1</v>
      </c>
      <c r="AA61" s="2">
        <v>0.34499999999999997</v>
      </c>
      <c r="AB61" s="2">
        <v>1.24</v>
      </c>
      <c r="AC61" s="2">
        <v>4.1500000000000004</v>
      </c>
      <c r="AD61" s="2">
        <v>2543</v>
      </c>
      <c r="AE61" s="2">
        <v>505.1</v>
      </c>
      <c r="AF61" s="2">
        <v>53</v>
      </c>
      <c r="AG61" s="2">
        <v>301.2</v>
      </c>
    </row>
    <row r="62" spans="3:33" ht="15.75" customHeight="1" x14ac:dyDescent="0.25">
      <c r="C62" s="2" t="s">
        <v>178</v>
      </c>
      <c r="D62" s="2">
        <v>38</v>
      </c>
      <c r="E62" s="7">
        <v>0.95</v>
      </c>
      <c r="F62" s="7">
        <v>5.6951676295815963</v>
      </c>
      <c r="G62" s="7">
        <v>11.029658583076861</v>
      </c>
      <c r="H62" s="7">
        <v>42.887358782909274</v>
      </c>
      <c r="I62" s="7">
        <v>57.003497657322619</v>
      </c>
      <c r="J62" s="7">
        <v>5.1999999999999998E-2</v>
      </c>
      <c r="K62" s="2">
        <v>2</v>
      </c>
      <c r="L62" s="7">
        <v>87.62</v>
      </c>
      <c r="M62" s="2">
        <v>2</v>
      </c>
      <c r="N62" s="2">
        <v>0</v>
      </c>
      <c r="O62" s="2">
        <v>0</v>
      </c>
      <c r="P62" s="2">
        <v>0</v>
      </c>
      <c r="Q62" s="2">
        <f t="shared" si="0"/>
        <v>2</v>
      </c>
      <c r="R62" s="2">
        <v>225</v>
      </c>
      <c r="T62" s="2">
        <v>2</v>
      </c>
      <c r="U62" s="2">
        <v>5</v>
      </c>
      <c r="V62" s="2">
        <v>1.95</v>
      </c>
      <c r="Y62" s="2" t="s">
        <v>304</v>
      </c>
      <c r="Z62" s="2" t="s">
        <v>304</v>
      </c>
      <c r="AA62" s="2" t="s">
        <v>304</v>
      </c>
      <c r="AB62" s="2">
        <v>0.84</v>
      </c>
      <c r="AC62" s="2">
        <v>2.4</v>
      </c>
      <c r="AD62" s="2">
        <v>1657</v>
      </c>
      <c r="AE62" s="2">
        <v>1042</v>
      </c>
      <c r="AF62" s="2">
        <v>197.2</v>
      </c>
      <c r="AG62" s="2">
        <v>164</v>
      </c>
    </row>
    <row r="63" spans="3:33" ht="15.75" customHeight="1" x14ac:dyDescent="0.25">
      <c r="C63" s="2" t="s">
        <v>181</v>
      </c>
      <c r="D63" s="2">
        <v>73</v>
      </c>
      <c r="E63" s="7">
        <v>1.5</v>
      </c>
      <c r="F63" s="7">
        <v>7.56</v>
      </c>
      <c r="G63" s="7">
        <v>16.2</v>
      </c>
      <c r="H63" s="7">
        <v>23.1</v>
      </c>
      <c r="I63" s="7">
        <v>35</v>
      </c>
      <c r="J63" s="7">
        <v>0.32300000000000001</v>
      </c>
      <c r="K63" s="2">
        <v>5</v>
      </c>
      <c r="L63" s="7">
        <v>180.94800000000001</v>
      </c>
      <c r="M63" s="2">
        <v>2</v>
      </c>
      <c r="N63" s="2">
        <v>0</v>
      </c>
      <c r="O63" s="2">
        <v>3</v>
      </c>
      <c r="P63" s="2">
        <v>14</v>
      </c>
      <c r="Q63" s="2">
        <f t="shared" si="0"/>
        <v>19</v>
      </c>
      <c r="R63" s="2">
        <v>229</v>
      </c>
      <c r="T63" s="2">
        <v>5</v>
      </c>
      <c r="U63" s="2">
        <v>6</v>
      </c>
      <c r="V63" s="2">
        <v>1.7</v>
      </c>
      <c r="Y63" s="2">
        <v>1.25</v>
      </c>
      <c r="Z63" s="2">
        <v>1.54</v>
      </c>
      <c r="AA63" s="2">
        <v>0.60499999999999998</v>
      </c>
      <c r="AB63" s="2">
        <v>1.63</v>
      </c>
      <c r="AC63" s="2">
        <v>4.05</v>
      </c>
      <c r="AD63" s="2">
        <v>5698</v>
      </c>
      <c r="AE63" s="2">
        <v>3269</v>
      </c>
      <c r="AF63" s="2">
        <v>74</v>
      </c>
      <c r="AG63" s="2">
        <v>782</v>
      </c>
    </row>
    <row r="64" spans="3:33" ht="15.75" customHeight="1" x14ac:dyDescent="0.25">
      <c r="C64" s="2" t="s">
        <v>183</v>
      </c>
      <c r="D64" s="2">
        <v>65</v>
      </c>
      <c r="E64" s="7">
        <v>1.22</v>
      </c>
      <c r="F64" s="7">
        <v>5.8641052680932972</v>
      </c>
      <c r="G64" s="7">
        <v>11.504342254477837</v>
      </c>
      <c r="H64" s="7">
        <v>21.910071645014547</v>
      </c>
      <c r="I64" s="7">
        <v>39.788441364811185</v>
      </c>
      <c r="J64" s="7">
        <v>1.165</v>
      </c>
      <c r="K64" s="2">
        <v>2</v>
      </c>
      <c r="L64" s="7">
        <v>158.92500000000001</v>
      </c>
      <c r="M64" s="2">
        <v>2</v>
      </c>
      <c r="N64" s="2">
        <v>0</v>
      </c>
      <c r="O64" s="2">
        <v>0</v>
      </c>
      <c r="P64" s="2">
        <v>9</v>
      </c>
      <c r="Q64" s="2">
        <f t="shared" si="0"/>
        <v>11</v>
      </c>
      <c r="R64" s="2">
        <v>194</v>
      </c>
      <c r="T64" s="2">
        <v>3</v>
      </c>
      <c r="U64" s="2">
        <v>6</v>
      </c>
      <c r="V64" s="2">
        <v>1.94</v>
      </c>
      <c r="Y64" s="2" t="s">
        <v>304</v>
      </c>
      <c r="Z64" s="2" t="s">
        <v>304</v>
      </c>
      <c r="AA64" s="2" t="s">
        <v>304</v>
      </c>
      <c r="AB64" s="2" t="s">
        <v>304</v>
      </c>
      <c r="AC64" s="2" t="s">
        <v>304</v>
      </c>
      <c r="AD64" s="2">
        <v>3296</v>
      </c>
      <c r="AE64" s="2">
        <v>1629</v>
      </c>
      <c r="AF64" s="2">
        <v>170</v>
      </c>
      <c r="AG64" s="2">
        <v>388.7</v>
      </c>
    </row>
    <row r="65" spans="3:33" ht="15.75" customHeight="1" x14ac:dyDescent="0.25">
      <c r="C65" s="2" t="s">
        <v>186</v>
      </c>
      <c r="D65" s="2">
        <v>43</v>
      </c>
      <c r="E65" s="7">
        <v>1.9</v>
      </c>
      <c r="F65" s="7">
        <v>7.12</v>
      </c>
      <c r="G65" s="7">
        <v>15.26</v>
      </c>
      <c r="H65" s="7">
        <v>29.55</v>
      </c>
      <c r="I65" s="7">
        <v>41</v>
      </c>
      <c r="J65" s="7">
        <v>0.55000000000000004</v>
      </c>
      <c r="K65" s="2">
        <v>7</v>
      </c>
      <c r="L65" s="7">
        <v>98</v>
      </c>
      <c r="M65" s="2">
        <v>2</v>
      </c>
      <c r="N65" s="2">
        <v>0</v>
      </c>
      <c r="O65" s="2">
        <v>5</v>
      </c>
      <c r="P65" s="2">
        <v>0</v>
      </c>
      <c r="Q65" s="2">
        <f t="shared" si="0"/>
        <v>7</v>
      </c>
      <c r="R65" s="2">
        <v>194</v>
      </c>
      <c r="T65" s="2">
        <v>7</v>
      </c>
      <c r="U65" s="2">
        <v>5</v>
      </c>
      <c r="V65" s="2">
        <v>1.47</v>
      </c>
      <c r="Y65" s="2">
        <v>1.1599999999999999</v>
      </c>
      <c r="Z65" s="2">
        <v>1.49</v>
      </c>
      <c r="AA65" s="2">
        <v>0.45500000000000002</v>
      </c>
      <c r="AB65" s="2">
        <v>1.81</v>
      </c>
      <c r="AC65" s="2">
        <v>5.3</v>
      </c>
      <c r="AD65" s="2">
        <v>5150</v>
      </c>
      <c r="AE65" s="2">
        <v>2445</v>
      </c>
      <c r="AF65" s="2">
        <v>79</v>
      </c>
      <c r="AG65" s="2">
        <v>678</v>
      </c>
    </row>
    <row r="66" spans="3:33" ht="15.75" customHeight="1" x14ac:dyDescent="0.25">
      <c r="C66" s="2" t="s">
        <v>189</v>
      </c>
      <c r="D66" s="2">
        <v>52</v>
      </c>
      <c r="E66" s="7">
        <v>2.1</v>
      </c>
      <c r="F66" s="7">
        <v>9.0096619115473722</v>
      </c>
      <c r="G66" s="7">
        <v>18.552047419383179</v>
      </c>
      <c r="H66" s="7">
        <v>27.962806668992076</v>
      </c>
      <c r="I66" s="7">
        <v>37.415023007806298</v>
      </c>
      <c r="J66" s="7">
        <v>1.97</v>
      </c>
      <c r="K66" s="2">
        <v>6</v>
      </c>
      <c r="L66" s="7">
        <v>127.6</v>
      </c>
      <c r="M66" s="2">
        <v>2</v>
      </c>
      <c r="N66" s="2">
        <v>4</v>
      </c>
      <c r="O66" s="2">
        <v>10</v>
      </c>
      <c r="P66" s="2">
        <v>0</v>
      </c>
      <c r="Q66" s="2">
        <f t="shared" si="0"/>
        <v>16</v>
      </c>
      <c r="R66" s="2">
        <v>152</v>
      </c>
      <c r="T66" s="2">
        <v>16</v>
      </c>
      <c r="U66" s="2">
        <v>5</v>
      </c>
      <c r="V66" s="2">
        <v>1.38</v>
      </c>
      <c r="Y66" s="2">
        <v>0.79</v>
      </c>
      <c r="Z66" s="2">
        <v>0.88</v>
      </c>
      <c r="AA66" s="2">
        <v>0.32500000000000001</v>
      </c>
      <c r="AB66" s="2" t="s">
        <v>304</v>
      </c>
      <c r="AC66" s="2" t="s">
        <v>304</v>
      </c>
      <c r="AD66" s="2">
        <v>1263</v>
      </c>
      <c r="AE66" s="2">
        <v>722.7</v>
      </c>
      <c r="AF66" s="2">
        <v>38</v>
      </c>
      <c r="AG66" s="2">
        <v>196.6</v>
      </c>
    </row>
    <row r="67" spans="3:33" ht="15.75" customHeight="1" x14ac:dyDescent="0.25">
      <c r="C67" s="2" t="s">
        <v>192</v>
      </c>
      <c r="D67" s="2">
        <v>90</v>
      </c>
      <c r="E67" s="7">
        <v>1.3</v>
      </c>
      <c r="F67" s="7">
        <v>6.083827840881523</v>
      </c>
      <c r="G67" s="7">
        <v>11.504342254477837</v>
      </c>
      <c r="H67" s="7">
        <v>20.500530612033479</v>
      </c>
      <c r="I67" s="7">
        <v>28.812676997701249</v>
      </c>
      <c r="J67" s="7">
        <v>1.17</v>
      </c>
      <c r="K67" s="2">
        <v>2</v>
      </c>
      <c r="L67" s="7">
        <v>232.03800000000001</v>
      </c>
      <c r="M67" s="2">
        <v>2</v>
      </c>
      <c r="N67" s="2">
        <v>0</v>
      </c>
      <c r="O67" s="2">
        <v>2</v>
      </c>
      <c r="P67" s="2">
        <v>0</v>
      </c>
      <c r="Q67" s="2">
        <f t="shared" ref="Q67:Q77" si="1">SUM(M67:P67)</f>
        <v>4</v>
      </c>
      <c r="R67" s="2">
        <v>225</v>
      </c>
      <c r="T67" s="2">
        <v>3</v>
      </c>
      <c r="U67" s="2">
        <v>7</v>
      </c>
      <c r="V67" s="2">
        <v>2.06</v>
      </c>
      <c r="Y67" s="2" t="s">
        <v>304</v>
      </c>
      <c r="Z67" s="2" t="s">
        <v>304</v>
      </c>
      <c r="AA67" s="2" t="s">
        <v>304</v>
      </c>
      <c r="AB67" s="2">
        <v>1.28</v>
      </c>
      <c r="AC67" s="2">
        <v>3.3</v>
      </c>
      <c r="AD67" s="2">
        <v>5060</v>
      </c>
      <c r="AE67" s="2">
        <v>2028</v>
      </c>
      <c r="AF67" s="2">
        <v>217</v>
      </c>
      <c r="AG67" s="2">
        <v>602</v>
      </c>
    </row>
    <row r="68" spans="3:33" ht="15.75" customHeight="1" x14ac:dyDescent="0.25">
      <c r="C68" s="2" t="s">
        <v>196</v>
      </c>
      <c r="D68" s="2">
        <v>22</v>
      </c>
      <c r="E68" s="7">
        <v>1.54</v>
      </c>
      <c r="F68" s="7">
        <v>6.8279825921171158</v>
      </c>
      <c r="G68" s="7">
        <v>13.575123860283847</v>
      </c>
      <c r="H68" s="7">
        <v>27.491232279281498</v>
      </c>
      <c r="I68" s="7">
        <v>43.266691149138005</v>
      </c>
      <c r="J68" s="7">
        <v>7.4999999999999997E-2</v>
      </c>
      <c r="K68" s="2">
        <v>4</v>
      </c>
      <c r="L68" s="7">
        <v>47.866999999999997</v>
      </c>
      <c r="M68" s="2">
        <v>2</v>
      </c>
      <c r="N68" s="2">
        <v>0</v>
      </c>
      <c r="O68" s="2">
        <v>2</v>
      </c>
      <c r="P68" s="2">
        <v>0</v>
      </c>
      <c r="Q68" s="2">
        <f t="shared" si="1"/>
        <v>4</v>
      </c>
      <c r="R68" s="2">
        <v>194</v>
      </c>
      <c r="S68" s="2">
        <v>4</v>
      </c>
      <c r="T68" s="2">
        <v>4</v>
      </c>
      <c r="U68" s="2">
        <v>4</v>
      </c>
      <c r="V68" s="2">
        <v>1.6</v>
      </c>
      <c r="W68" s="2">
        <v>-3.8570000000000002</v>
      </c>
      <c r="X68" s="2">
        <v>-2.2370000000000001</v>
      </c>
      <c r="Y68" s="2">
        <v>1.1499999999999999</v>
      </c>
      <c r="Z68" s="2">
        <v>1.43</v>
      </c>
      <c r="AA68" s="2">
        <v>0.28000000000000003</v>
      </c>
      <c r="AB68" s="2">
        <v>1.47</v>
      </c>
      <c r="AC68" s="2">
        <v>3.65</v>
      </c>
      <c r="AD68" s="2">
        <v>3560</v>
      </c>
      <c r="AE68" s="2">
        <v>1933</v>
      </c>
      <c r="AF68" s="2">
        <v>100</v>
      </c>
      <c r="AG68" s="2">
        <v>473</v>
      </c>
    </row>
    <row r="69" spans="3:33" ht="15.75" customHeight="1" x14ac:dyDescent="0.25">
      <c r="C69" s="2" t="s">
        <v>202</v>
      </c>
      <c r="D69" s="2">
        <v>81</v>
      </c>
      <c r="E69" s="7">
        <v>1.62</v>
      </c>
      <c r="F69" s="7">
        <v>6.1087020944047179</v>
      </c>
      <c r="G69" s="7">
        <v>20.42798070592416</v>
      </c>
      <c r="H69" s="7">
        <v>29.828375683231727</v>
      </c>
      <c r="I69" s="7">
        <v>51.14</v>
      </c>
      <c r="J69" s="7">
        <v>0.377</v>
      </c>
      <c r="K69" s="2">
        <v>3</v>
      </c>
      <c r="L69" s="7">
        <v>204.38300000000001</v>
      </c>
      <c r="M69" s="2">
        <v>2</v>
      </c>
      <c r="N69" s="2">
        <v>1</v>
      </c>
      <c r="O69" s="2">
        <v>10</v>
      </c>
      <c r="P69" s="2">
        <v>14</v>
      </c>
      <c r="Q69" s="2">
        <f t="shared" si="1"/>
        <v>27</v>
      </c>
      <c r="R69" s="2">
        <v>194</v>
      </c>
      <c r="T69" s="2">
        <v>13</v>
      </c>
      <c r="U69" s="2">
        <v>6</v>
      </c>
      <c r="V69" s="2">
        <v>1.45</v>
      </c>
      <c r="Y69" s="2">
        <v>1.0149999999999999</v>
      </c>
      <c r="Z69" s="2">
        <v>1.22</v>
      </c>
      <c r="AA69" s="2">
        <v>0.46300000000000002</v>
      </c>
      <c r="AB69" s="2" t="s">
        <v>304</v>
      </c>
      <c r="AC69" s="2" t="s">
        <v>304</v>
      </c>
      <c r="AD69" s="2">
        <v>1730</v>
      </c>
      <c r="AE69" s="2">
        <v>576.6</v>
      </c>
      <c r="AF69" s="2">
        <v>50</v>
      </c>
      <c r="AG69" s="2">
        <v>182.2</v>
      </c>
    </row>
    <row r="70" spans="3:33" ht="15.75" customHeight="1" x14ac:dyDescent="0.25">
      <c r="C70" s="2" t="s">
        <v>206</v>
      </c>
      <c r="D70" s="2">
        <v>69</v>
      </c>
      <c r="E70" s="7">
        <v>1.25</v>
      </c>
      <c r="F70" s="7">
        <v>6.1843612822044376</v>
      </c>
      <c r="G70" s="7">
        <v>12.022555869544407</v>
      </c>
      <c r="H70" s="7">
        <v>23.682362208542216</v>
      </c>
      <c r="I70" s="7">
        <v>42.700801881485305</v>
      </c>
      <c r="J70" s="7">
        <v>1.0289999999999999</v>
      </c>
      <c r="K70" s="2">
        <v>2</v>
      </c>
      <c r="L70" s="7">
        <v>168.934</v>
      </c>
      <c r="M70" s="2">
        <v>2</v>
      </c>
      <c r="N70" s="2">
        <v>0</v>
      </c>
      <c r="O70" s="2">
        <v>0</v>
      </c>
      <c r="P70" s="2">
        <v>13</v>
      </c>
      <c r="Q70" s="2">
        <f t="shared" si="1"/>
        <v>15</v>
      </c>
      <c r="R70" s="2">
        <v>194</v>
      </c>
      <c r="T70" s="2">
        <v>3</v>
      </c>
      <c r="U70" s="2">
        <v>6</v>
      </c>
      <c r="V70" s="2">
        <v>1.9</v>
      </c>
      <c r="Y70" s="2" t="s">
        <v>304</v>
      </c>
      <c r="Z70" s="2" t="s">
        <v>304</v>
      </c>
      <c r="AA70" s="2" t="s">
        <v>304</v>
      </c>
      <c r="AB70" s="2" t="s">
        <v>304</v>
      </c>
      <c r="AC70" s="2" t="s">
        <v>304</v>
      </c>
      <c r="AD70" s="2">
        <v>2220</v>
      </c>
      <c r="AE70" s="2">
        <v>1818</v>
      </c>
      <c r="AF70" s="2">
        <v>144</v>
      </c>
      <c r="AG70" s="2">
        <v>232.2</v>
      </c>
    </row>
    <row r="71" spans="3:33" ht="15.75" customHeight="1" x14ac:dyDescent="0.25">
      <c r="C71" s="2" t="s">
        <v>209</v>
      </c>
      <c r="D71" s="2">
        <v>92</v>
      </c>
      <c r="E71" s="7">
        <v>1.38</v>
      </c>
      <c r="F71" s="7">
        <v>6.1936891272756363</v>
      </c>
      <c r="G71" s="7">
        <v>14.717266667890566</v>
      </c>
      <c r="H71" s="7">
        <v>19.69211737252963</v>
      </c>
      <c r="I71" s="7">
        <v>32.595636387687208</v>
      </c>
      <c r="J71" s="7">
        <v>0.53</v>
      </c>
      <c r="K71" s="2">
        <v>2</v>
      </c>
      <c r="L71" s="7">
        <v>238.029</v>
      </c>
      <c r="M71" s="2">
        <v>2</v>
      </c>
      <c r="N71" s="2">
        <v>0</v>
      </c>
      <c r="O71" s="2">
        <v>1</v>
      </c>
      <c r="P71" s="2">
        <v>3</v>
      </c>
      <c r="Q71" s="2">
        <f t="shared" si="1"/>
        <v>6</v>
      </c>
      <c r="R71" s="2">
        <v>63</v>
      </c>
      <c r="T71" s="2">
        <v>3</v>
      </c>
      <c r="U71" s="2">
        <v>7</v>
      </c>
      <c r="V71" s="2">
        <v>1.96</v>
      </c>
      <c r="Y71" s="2" t="s">
        <v>304</v>
      </c>
      <c r="Z71" s="2" t="s">
        <v>304</v>
      </c>
      <c r="AA71" s="2" t="s">
        <v>304</v>
      </c>
      <c r="AB71" s="2">
        <v>1.56</v>
      </c>
      <c r="AC71" s="2">
        <v>4.05</v>
      </c>
      <c r="AD71" s="2">
        <v>4018</v>
      </c>
      <c r="AE71" s="2">
        <v>1405.5</v>
      </c>
      <c r="AF71" s="2">
        <v>129</v>
      </c>
      <c r="AG71" s="2">
        <v>533</v>
      </c>
    </row>
    <row r="72" spans="3:33" ht="15.75" customHeight="1" x14ac:dyDescent="0.25">
      <c r="C72" s="2" t="s">
        <v>212</v>
      </c>
      <c r="D72" s="2">
        <v>23</v>
      </c>
      <c r="E72" s="7">
        <v>1.63</v>
      </c>
      <c r="F72" s="7">
        <v>6.7461048409365985</v>
      </c>
      <c r="G72" s="7">
        <v>14.655081034082578</v>
      </c>
      <c r="H72" s="7">
        <v>29.330890612767821</v>
      </c>
      <c r="I72" s="7">
        <v>46.711775262100552</v>
      </c>
      <c r="J72" s="7">
        <v>0.52700000000000002</v>
      </c>
      <c r="K72" s="2">
        <v>5</v>
      </c>
      <c r="L72" s="7">
        <v>50.942</v>
      </c>
      <c r="M72" s="2">
        <v>2</v>
      </c>
      <c r="N72" s="2">
        <v>0</v>
      </c>
      <c r="O72" s="2">
        <v>3</v>
      </c>
      <c r="P72" s="2">
        <v>0</v>
      </c>
      <c r="Q72" s="2">
        <f t="shared" si="1"/>
        <v>5</v>
      </c>
      <c r="R72" s="2">
        <v>229</v>
      </c>
      <c r="S72" s="2">
        <v>1</v>
      </c>
      <c r="T72" s="2">
        <v>5</v>
      </c>
      <c r="U72" s="2">
        <v>4</v>
      </c>
      <c r="V72" s="2">
        <v>1.53</v>
      </c>
      <c r="W72" s="2">
        <v>-3.0539999999999998</v>
      </c>
      <c r="X72" s="2">
        <v>-1.19</v>
      </c>
      <c r="Y72" s="2">
        <v>1.0900000000000001</v>
      </c>
      <c r="Z72" s="2">
        <v>1.34</v>
      </c>
      <c r="AA72" s="2">
        <v>0.26</v>
      </c>
      <c r="AB72" s="2">
        <v>1.64</v>
      </c>
      <c r="AC72" s="2">
        <v>4.25</v>
      </c>
      <c r="AD72" s="2">
        <v>3650</v>
      </c>
      <c r="AE72" s="2">
        <v>2160</v>
      </c>
      <c r="AF72" s="2">
        <v>87</v>
      </c>
      <c r="AG72" s="2">
        <v>515.5</v>
      </c>
    </row>
    <row r="73" spans="3:33" ht="15.75" customHeight="1" x14ac:dyDescent="0.25">
      <c r="C73" s="2" t="s">
        <v>219</v>
      </c>
      <c r="D73" s="2">
        <v>74</v>
      </c>
      <c r="E73" s="7">
        <v>2.36</v>
      </c>
      <c r="F73" s="7">
        <v>7.86</v>
      </c>
      <c r="G73" s="7">
        <v>16.37</v>
      </c>
      <c r="H73" s="7">
        <v>26</v>
      </c>
      <c r="I73" s="7">
        <v>38.200000000000003</v>
      </c>
      <c r="J73" s="7">
        <v>0.81599999999999995</v>
      </c>
      <c r="K73" s="2">
        <v>6</v>
      </c>
      <c r="L73" s="7">
        <v>183.84</v>
      </c>
      <c r="M73" s="2">
        <v>2</v>
      </c>
      <c r="N73" s="2">
        <v>0</v>
      </c>
      <c r="O73" s="2">
        <v>4</v>
      </c>
      <c r="P73" s="2">
        <v>14</v>
      </c>
      <c r="Q73" s="2">
        <f t="shared" si="1"/>
        <v>20</v>
      </c>
      <c r="R73" s="2">
        <v>229</v>
      </c>
      <c r="T73" s="2">
        <v>6</v>
      </c>
      <c r="U73" s="2">
        <v>6</v>
      </c>
      <c r="V73" s="2">
        <v>1.62</v>
      </c>
      <c r="Y73" s="2">
        <v>1.22</v>
      </c>
      <c r="Z73" s="2">
        <v>1.5149999999999999</v>
      </c>
      <c r="AA73" s="2">
        <v>0.59</v>
      </c>
      <c r="AB73" s="2">
        <v>1.81</v>
      </c>
      <c r="AC73" s="2">
        <v>4.8</v>
      </c>
      <c r="AD73" s="2">
        <v>5930</v>
      </c>
      <c r="AE73" s="2">
        <v>3680</v>
      </c>
      <c r="AF73" s="2">
        <v>68</v>
      </c>
      <c r="AG73" s="2">
        <v>851</v>
      </c>
    </row>
    <row r="74" spans="3:33" ht="15.75" customHeight="1" x14ac:dyDescent="0.25">
      <c r="C74" s="2" t="s">
        <v>222</v>
      </c>
      <c r="D74" s="2">
        <v>39</v>
      </c>
      <c r="E74" s="7">
        <v>1.22</v>
      </c>
      <c r="F74" s="7">
        <v>6.2185633807988312</v>
      </c>
      <c r="G74" s="7">
        <v>12.229841315571035</v>
      </c>
      <c r="H74" s="7">
        <v>20.521259156636141</v>
      </c>
      <c r="I74" s="7">
        <v>60.599900145884611</v>
      </c>
      <c r="J74" s="7">
        <v>0.307</v>
      </c>
      <c r="K74" s="2">
        <v>3</v>
      </c>
      <c r="L74" s="7">
        <v>88.906000000000006</v>
      </c>
      <c r="M74" s="2">
        <v>2</v>
      </c>
      <c r="N74" s="2">
        <v>0</v>
      </c>
      <c r="O74" s="2">
        <v>1</v>
      </c>
      <c r="P74" s="2">
        <v>0</v>
      </c>
      <c r="Q74" s="2">
        <f t="shared" si="1"/>
        <v>3</v>
      </c>
      <c r="R74" s="2">
        <v>194</v>
      </c>
      <c r="S74" s="2">
        <v>4</v>
      </c>
      <c r="T74" s="2">
        <v>3</v>
      </c>
      <c r="U74" s="2">
        <v>5</v>
      </c>
      <c r="V74" s="2">
        <v>1.9</v>
      </c>
      <c r="W74" s="2">
        <v>-2.7290000000000001</v>
      </c>
      <c r="X74" s="2">
        <v>-2.1509999999999998</v>
      </c>
      <c r="Y74" s="2">
        <v>1.32</v>
      </c>
      <c r="Z74" s="2">
        <v>1.62</v>
      </c>
      <c r="AA74" s="2">
        <v>0.57999999999999996</v>
      </c>
      <c r="AB74" s="2">
        <v>1.21</v>
      </c>
      <c r="AC74" s="2">
        <v>3.2</v>
      </c>
      <c r="AD74" s="2">
        <v>3611</v>
      </c>
      <c r="AE74" s="2">
        <v>1795</v>
      </c>
      <c r="AF74" s="2">
        <v>162</v>
      </c>
      <c r="AG74" s="2">
        <v>424.7</v>
      </c>
    </row>
    <row r="75" spans="3:33" ht="15.75" customHeight="1" x14ac:dyDescent="0.25">
      <c r="C75" s="2" t="s">
        <v>224</v>
      </c>
      <c r="D75" s="2">
        <v>70</v>
      </c>
      <c r="E75" s="7">
        <v>1.1000000000000001</v>
      </c>
      <c r="F75" s="7">
        <v>6.253801906623357</v>
      </c>
      <c r="G75" s="7">
        <v>12.175947099604111</v>
      </c>
      <c r="H75" s="7">
        <v>25.050446152317956</v>
      </c>
      <c r="I75" s="7">
        <v>43.561036482495808</v>
      </c>
      <c r="J75" s="7">
        <v>-0.02</v>
      </c>
      <c r="K75" s="2">
        <v>2</v>
      </c>
      <c r="L75" s="7">
        <v>173.04</v>
      </c>
      <c r="M75" s="2">
        <v>2</v>
      </c>
      <c r="N75" s="2">
        <v>0</v>
      </c>
      <c r="O75" s="2">
        <v>0</v>
      </c>
      <c r="P75" s="2">
        <v>14</v>
      </c>
      <c r="Q75" s="2">
        <f t="shared" si="1"/>
        <v>16</v>
      </c>
      <c r="R75" s="2">
        <v>225</v>
      </c>
      <c r="T75" s="2">
        <v>3</v>
      </c>
      <c r="U75" s="2">
        <v>6</v>
      </c>
      <c r="V75" s="2">
        <v>1.87</v>
      </c>
      <c r="Y75" s="2" t="s">
        <v>304</v>
      </c>
      <c r="Z75" s="2" t="s">
        <v>304</v>
      </c>
      <c r="AA75" s="2" t="s">
        <v>304</v>
      </c>
      <c r="AB75" s="2" t="s">
        <v>304</v>
      </c>
      <c r="AC75" s="2" t="s">
        <v>304</v>
      </c>
      <c r="AD75" s="2">
        <v>1466</v>
      </c>
      <c r="AE75" s="2">
        <v>1097</v>
      </c>
      <c r="AF75" s="2">
        <v>139</v>
      </c>
      <c r="AG75" s="2">
        <v>155.6</v>
      </c>
    </row>
    <row r="76" spans="3:33" ht="15.75" customHeight="1" x14ac:dyDescent="0.25">
      <c r="C76" s="2" t="s">
        <v>226</v>
      </c>
      <c r="D76" s="2">
        <v>30</v>
      </c>
      <c r="E76" s="7">
        <v>1.65</v>
      </c>
      <c r="F76" s="7">
        <v>9.3941764139267665</v>
      </c>
      <c r="G76" s="7">
        <v>17.964393179897687</v>
      </c>
      <c r="H76" s="7">
        <v>39.726255731003199</v>
      </c>
      <c r="I76" s="7">
        <v>59.397644558930168</v>
      </c>
      <c r="J76" s="7">
        <v>-0.6</v>
      </c>
      <c r="K76" s="2">
        <v>12</v>
      </c>
      <c r="L76" s="7">
        <v>65.39</v>
      </c>
      <c r="M76" s="2">
        <v>2</v>
      </c>
      <c r="N76" s="2">
        <v>0</v>
      </c>
      <c r="O76" s="2">
        <v>10</v>
      </c>
      <c r="P76" s="2">
        <v>0</v>
      </c>
      <c r="Q76" s="2">
        <f t="shared" si="1"/>
        <v>12</v>
      </c>
      <c r="R76" s="2">
        <v>194</v>
      </c>
      <c r="S76" s="2">
        <v>4</v>
      </c>
      <c r="T76" s="2">
        <v>12</v>
      </c>
      <c r="U76" s="2">
        <v>4</v>
      </c>
      <c r="V76" s="2">
        <v>1.22</v>
      </c>
      <c r="W76" s="2">
        <v>-5.843</v>
      </c>
      <c r="X76" s="2">
        <v>-0.96099999999999997</v>
      </c>
      <c r="Y76" s="2">
        <v>0.82</v>
      </c>
      <c r="Z76" s="2">
        <v>1.06</v>
      </c>
      <c r="AA76" s="2">
        <v>0.17499999999999999</v>
      </c>
      <c r="AB76" s="2">
        <v>1.32</v>
      </c>
      <c r="AC76" s="2">
        <v>4.0999999999999996</v>
      </c>
      <c r="AD76" s="2">
        <v>1180</v>
      </c>
      <c r="AE76" s="2">
        <v>692.7</v>
      </c>
      <c r="AF76" s="2">
        <v>38.67</v>
      </c>
      <c r="AG76" s="2">
        <v>130.4</v>
      </c>
    </row>
    <row r="77" spans="3:33" ht="15.75" customHeight="1" x14ac:dyDescent="0.25">
      <c r="C77" s="2" t="s">
        <v>228</v>
      </c>
      <c r="D77" s="2">
        <v>40</v>
      </c>
      <c r="E77" s="7">
        <v>1.33</v>
      </c>
      <c r="F77" s="7">
        <v>6.6341707000822199</v>
      </c>
      <c r="G77" s="7">
        <v>13.16262582269086</v>
      </c>
      <c r="H77" s="7">
        <v>22.987955964353013</v>
      </c>
      <c r="I77" s="7">
        <v>34.336834134310877</v>
      </c>
      <c r="J77" s="7">
        <v>0.433</v>
      </c>
      <c r="K77" s="2">
        <v>4</v>
      </c>
      <c r="L77" s="7">
        <v>91.224000000000004</v>
      </c>
      <c r="M77" s="2">
        <v>2</v>
      </c>
      <c r="N77" s="2">
        <v>0</v>
      </c>
      <c r="O77" s="2">
        <v>2</v>
      </c>
      <c r="P77" s="2">
        <v>0</v>
      </c>
      <c r="Q77" s="2">
        <f t="shared" si="1"/>
        <v>4</v>
      </c>
      <c r="R77" s="2">
        <v>194</v>
      </c>
      <c r="S77" s="2">
        <v>4</v>
      </c>
      <c r="T77" s="2">
        <v>4</v>
      </c>
      <c r="U77" s="2">
        <v>5</v>
      </c>
      <c r="V77" s="2">
        <v>1.75</v>
      </c>
      <c r="W77" s="2">
        <v>-3.7610000000000001</v>
      </c>
      <c r="X77" s="2">
        <v>-3.53</v>
      </c>
      <c r="Y77" s="2">
        <v>1.2649999999999999</v>
      </c>
      <c r="Z77" s="2">
        <v>1.56</v>
      </c>
      <c r="AA77" s="2">
        <v>0.54</v>
      </c>
      <c r="AB77" s="2">
        <v>1.39</v>
      </c>
      <c r="AC77" s="2">
        <v>3.4</v>
      </c>
      <c r="AD77" s="2">
        <v>4650</v>
      </c>
      <c r="AE77" s="2">
        <v>2125</v>
      </c>
      <c r="AF77" s="2">
        <v>112</v>
      </c>
      <c r="AG77" s="2">
        <v>610</v>
      </c>
    </row>
  </sheetData>
  <pageMargins left="0.7" right="0.7" top="0.75" bottom="0.75" header="0.3" footer="0.3"/>
  <pageSetup orientation="portrait" r:id="rId1"/>
  <ignoredErrors>
    <ignoredError sqref="Q2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4D29-F1AF-4199-A9B0-9C2987E182F2}">
  <dimension ref="A1:T26"/>
  <sheetViews>
    <sheetView tabSelected="1" workbookViewId="0">
      <selection activeCell="P33" sqref="P33"/>
    </sheetView>
  </sheetViews>
  <sheetFormatPr defaultRowHeight="15" x14ac:dyDescent="0.25"/>
  <cols>
    <col min="4" max="4" width="11.7109375" customWidth="1"/>
    <col min="5" max="5" width="15.5703125" customWidth="1"/>
    <col min="7" max="7" width="11.42578125" customWidth="1"/>
    <col min="10" max="10" width="14.85546875" customWidth="1"/>
    <col min="12" max="12" width="13.85546875" customWidth="1"/>
    <col min="13" max="13" width="14.5703125" customWidth="1"/>
    <col min="14" max="14" width="17.5703125" customWidth="1"/>
    <col min="16" max="16" width="16" customWidth="1"/>
    <col min="17" max="17" width="12.28515625" customWidth="1"/>
    <col min="18" max="18" width="15.85546875" customWidth="1"/>
    <col min="19" max="19" width="14.7109375" customWidth="1"/>
  </cols>
  <sheetData>
    <row r="1" spans="1:20" s="187" customFormat="1" ht="51" x14ac:dyDescent="0.25">
      <c r="A1" s="183" t="s">
        <v>615</v>
      </c>
      <c r="B1" s="186" t="s">
        <v>497</v>
      </c>
      <c r="C1" s="186" t="s">
        <v>498</v>
      </c>
      <c r="D1" s="186" t="s">
        <v>499</v>
      </c>
      <c r="E1" s="186" t="s">
        <v>500</v>
      </c>
      <c r="F1" s="186" t="s">
        <v>501</v>
      </c>
      <c r="G1" s="186" t="s">
        <v>502</v>
      </c>
      <c r="H1" s="186" t="s">
        <v>503</v>
      </c>
      <c r="I1" s="186" t="s">
        <v>504</v>
      </c>
      <c r="J1" s="186" t="s">
        <v>506</v>
      </c>
      <c r="K1" s="186" t="s">
        <v>512</v>
      </c>
      <c r="L1" s="186" t="s">
        <v>513</v>
      </c>
      <c r="M1" s="186" t="s">
        <v>515</v>
      </c>
      <c r="N1" s="186" t="s">
        <v>516</v>
      </c>
      <c r="O1" s="186" t="s">
        <v>350</v>
      </c>
      <c r="P1" s="184" t="s">
        <v>616</v>
      </c>
      <c r="Q1" s="184" t="s">
        <v>619</v>
      </c>
      <c r="R1" s="185" t="s">
        <v>617</v>
      </c>
      <c r="S1" s="185" t="s">
        <v>618</v>
      </c>
      <c r="T1" s="184" t="s">
        <v>631</v>
      </c>
    </row>
    <row r="2" spans="1:20" x14ac:dyDescent="0.25">
      <c r="A2" s="180" t="s">
        <v>21</v>
      </c>
      <c r="B2" s="182">
        <v>-0.33800000000000002</v>
      </c>
      <c r="C2" s="182">
        <v>-0.18</v>
      </c>
      <c r="D2" s="182">
        <v>-2.78</v>
      </c>
      <c r="E2" s="182">
        <v>4.09</v>
      </c>
      <c r="F2" s="182">
        <v>3</v>
      </c>
      <c r="G2" s="181">
        <v>30</v>
      </c>
      <c r="H2" s="181">
        <v>54</v>
      </c>
      <c r="I2" s="182">
        <v>2.1800000000000002</v>
      </c>
      <c r="J2" s="182">
        <v>-5.9480748302844999</v>
      </c>
      <c r="K2" s="182">
        <v>9.0399999999999991</v>
      </c>
      <c r="L2" s="182">
        <v>17.11</v>
      </c>
      <c r="M2" s="181">
        <v>14</v>
      </c>
      <c r="N2" s="181" t="s">
        <v>529</v>
      </c>
      <c r="O2" s="181">
        <v>817</v>
      </c>
      <c r="P2" s="138">
        <v>-2.05993110717329</v>
      </c>
      <c r="Q2" s="138">
        <v>3.03645521740544</v>
      </c>
      <c r="R2" s="138">
        <v>3.3904109706261301E-2</v>
      </c>
      <c r="S2" s="138">
        <v>3.0308439874054298</v>
      </c>
      <c r="T2" s="137">
        <v>477</v>
      </c>
    </row>
    <row r="3" spans="1:20" x14ac:dyDescent="0.25">
      <c r="A3" s="180" t="s">
        <v>27</v>
      </c>
      <c r="B3" s="182">
        <v>-0.33800000000000002</v>
      </c>
      <c r="C3" s="182">
        <v>-0.20399999999999999</v>
      </c>
      <c r="D3" s="182">
        <v>-2.411</v>
      </c>
      <c r="E3" s="182">
        <v>3.266</v>
      </c>
      <c r="F3" s="182">
        <v>2</v>
      </c>
      <c r="G3" s="181">
        <v>45</v>
      </c>
      <c r="H3" s="181">
        <v>126</v>
      </c>
      <c r="I3" s="182">
        <v>0</v>
      </c>
      <c r="J3" s="182">
        <v>-2.6781364979012281</v>
      </c>
      <c r="K3" s="182">
        <v>7.79</v>
      </c>
      <c r="L3" s="182">
        <v>13.685</v>
      </c>
      <c r="M3" s="181">
        <v>225</v>
      </c>
      <c r="N3" s="181" t="s">
        <v>528</v>
      </c>
      <c r="O3" s="181">
        <v>1430</v>
      </c>
      <c r="P3" s="138">
        <v>-2.0627486946581599</v>
      </c>
      <c r="Q3" s="138">
        <v>3.14684491740543</v>
      </c>
      <c r="R3" s="138">
        <v>0.269542600903181</v>
      </c>
      <c r="S3" s="139">
        <v>-1.12009968259455</v>
      </c>
      <c r="T3" s="137" t="s">
        <v>304</v>
      </c>
    </row>
    <row r="4" spans="1:20" x14ac:dyDescent="0.25">
      <c r="A4" s="180" t="s">
        <v>37</v>
      </c>
      <c r="B4" s="182">
        <v>-0.32200000000000001</v>
      </c>
      <c r="C4" s="182">
        <v>-0.32200000000000001</v>
      </c>
      <c r="D4" s="182">
        <v>-2.6549999999999998</v>
      </c>
      <c r="E4" s="182">
        <v>4.7880000000000003</v>
      </c>
      <c r="F4" s="182">
        <v>2.67</v>
      </c>
      <c r="G4" s="181">
        <v>61</v>
      </c>
      <c r="H4" s="181">
        <v>166</v>
      </c>
      <c r="I4" s="182">
        <v>0</v>
      </c>
      <c r="J4" s="182">
        <v>-9.2345960511996683</v>
      </c>
      <c r="K4" s="182">
        <v>5.93</v>
      </c>
      <c r="L4" s="182">
        <v>9.6257142857142846</v>
      </c>
      <c r="M4" s="181">
        <v>227</v>
      </c>
      <c r="N4" s="181" t="s">
        <v>528</v>
      </c>
      <c r="O4" s="181">
        <v>900</v>
      </c>
      <c r="P4" s="138">
        <v>-0.28635675849167702</v>
      </c>
      <c r="Q4" s="138">
        <v>1.9749163874054401</v>
      </c>
      <c r="R4" s="138">
        <v>0.244539410765303</v>
      </c>
      <c r="S4" s="138">
        <v>-3.8362542594540999E-2</v>
      </c>
      <c r="T4" s="137">
        <v>300</v>
      </c>
    </row>
    <row r="5" spans="1:20" x14ac:dyDescent="0.25">
      <c r="A5" s="180" t="s">
        <v>38</v>
      </c>
      <c r="B5" s="182">
        <v>-0.32200000000000001</v>
      </c>
      <c r="C5" s="182">
        <v>-0.32200000000000001</v>
      </c>
      <c r="D5" s="182">
        <v>-2.5430000000000001</v>
      </c>
      <c r="E5" s="182">
        <v>4.8280000000000003</v>
      </c>
      <c r="F5" s="182">
        <v>2</v>
      </c>
      <c r="G5" s="181">
        <v>33</v>
      </c>
      <c r="H5" s="181">
        <v>130</v>
      </c>
      <c r="I5" s="182">
        <v>0.59</v>
      </c>
      <c r="J5" s="182">
        <v>-2.4660000000000002</v>
      </c>
      <c r="K5" s="182">
        <v>5.14</v>
      </c>
      <c r="L5" s="182">
        <v>12.112500000000001</v>
      </c>
      <c r="M5" s="181">
        <v>216</v>
      </c>
      <c r="N5" s="181" t="s">
        <v>528</v>
      </c>
      <c r="O5" s="181">
        <v>1830</v>
      </c>
      <c r="P5" s="138">
        <v>0.15461536781290999</v>
      </c>
      <c r="Q5" s="138">
        <v>3.88271770740544</v>
      </c>
      <c r="R5" s="138">
        <v>0.15876409968765501</v>
      </c>
      <c r="S5" s="139">
        <v>-0.54624473259457296</v>
      </c>
      <c r="T5" s="137">
        <v>400</v>
      </c>
    </row>
    <row r="6" spans="1:20" x14ac:dyDescent="0.25">
      <c r="A6" s="180" t="s">
        <v>62</v>
      </c>
      <c r="B6" s="182">
        <v>-0.29499999999999998</v>
      </c>
      <c r="C6" s="182">
        <v>-0.29499999999999998</v>
      </c>
      <c r="D6" s="182">
        <v>-2.6720000000000002</v>
      </c>
      <c r="E6" s="182">
        <v>5.1619999999999999</v>
      </c>
      <c r="F6" s="182">
        <v>3</v>
      </c>
      <c r="G6" s="181">
        <v>79</v>
      </c>
      <c r="H6" s="181">
        <v>178</v>
      </c>
      <c r="I6" s="182">
        <v>2.02</v>
      </c>
      <c r="J6" s="182">
        <v>-8.5422604549930039</v>
      </c>
      <c r="K6" s="182">
        <v>4.9400000000000004</v>
      </c>
      <c r="L6" s="182">
        <v>10.74225</v>
      </c>
      <c r="M6" s="181">
        <v>5</v>
      </c>
      <c r="N6" s="181" t="s">
        <v>529</v>
      </c>
      <c r="O6" s="181">
        <v>1565</v>
      </c>
      <c r="P6" s="138">
        <v>-0.61862350960994095</v>
      </c>
      <c r="Q6" s="138">
        <v>3.3027707674054301</v>
      </c>
      <c r="R6" s="138">
        <v>0.37717382066015598</v>
      </c>
      <c r="S6" s="138">
        <v>-3.2670075425946798</v>
      </c>
      <c r="T6" s="2">
        <v>320</v>
      </c>
    </row>
    <row r="7" spans="1:20" x14ac:dyDescent="0.25">
      <c r="A7" s="180" t="s">
        <v>63</v>
      </c>
      <c r="B7" s="182">
        <v>-0.29499999999999998</v>
      </c>
      <c r="C7" s="182">
        <v>-0.29499999999999998</v>
      </c>
      <c r="D7" s="182">
        <v>-2.625</v>
      </c>
      <c r="E7" s="182">
        <v>5.1639999999999997</v>
      </c>
      <c r="F7" s="182">
        <v>2.67</v>
      </c>
      <c r="G7" s="181">
        <v>64</v>
      </c>
      <c r="H7" s="181">
        <v>176</v>
      </c>
      <c r="I7" s="182">
        <v>0</v>
      </c>
      <c r="J7" s="182">
        <v>-11.591439083795409</v>
      </c>
      <c r="K7" s="182">
        <v>4.95</v>
      </c>
      <c r="L7" s="182">
        <v>11.095714285714285</v>
      </c>
      <c r="M7" s="181">
        <v>227</v>
      </c>
      <c r="N7" s="181" t="s">
        <v>528</v>
      </c>
      <c r="O7" s="181">
        <v>1597</v>
      </c>
      <c r="P7" s="138">
        <v>-0.48480478238550301</v>
      </c>
      <c r="Q7" s="138">
        <v>3.0595893874054201</v>
      </c>
      <c r="R7" s="138">
        <v>0.15602959110056999</v>
      </c>
      <c r="S7" s="138">
        <v>1.6800129474054299</v>
      </c>
      <c r="T7" s="2">
        <v>475</v>
      </c>
    </row>
    <row r="8" spans="1:20" x14ac:dyDescent="0.25">
      <c r="A8" s="180" t="s">
        <v>64</v>
      </c>
      <c r="B8" s="182">
        <v>-0.29499999999999998</v>
      </c>
      <c r="C8" s="182">
        <v>-0.29499999999999998</v>
      </c>
      <c r="D8" s="182">
        <v>-2.5089999999999999</v>
      </c>
      <c r="E8" s="182">
        <v>5.1219999999999999</v>
      </c>
      <c r="F8" s="182">
        <v>2</v>
      </c>
      <c r="G8" s="181">
        <v>60</v>
      </c>
      <c r="H8" s="181">
        <v>180</v>
      </c>
      <c r="I8" s="182">
        <v>1.27</v>
      </c>
      <c r="J8" s="182">
        <v>-2.8190910504223456</v>
      </c>
      <c r="K8" s="182">
        <v>5.59</v>
      </c>
      <c r="L8" s="182">
        <v>10.68</v>
      </c>
      <c r="M8" s="181">
        <v>12</v>
      </c>
      <c r="N8" s="181" t="s">
        <v>529</v>
      </c>
      <c r="O8" s="181">
        <v>1377</v>
      </c>
      <c r="P8" s="138">
        <v>0.10335720262114099</v>
      </c>
      <c r="Q8" s="138">
        <v>4.3747270074054398</v>
      </c>
      <c r="R8" s="138">
        <v>-6.5601907175453396E-3</v>
      </c>
      <c r="S8" s="139">
        <v>2.5016611374053901</v>
      </c>
      <c r="T8" s="2">
        <v>475</v>
      </c>
    </row>
    <row r="9" spans="1:20" x14ac:dyDescent="0.25">
      <c r="A9" s="180" t="s">
        <v>70</v>
      </c>
      <c r="B9" s="182">
        <v>-0.33800000000000002</v>
      </c>
      <c r="C9" s="182">
        <v>-0.33800000000000002</v>
      </c>
      <c r="D9" s="182">
        <v>-2.8759999999999999</v>
      </c>
      <c r="E9" s="182">
        <v>5.1150000000000002</v>
      </c>
      <c r="F9" s="182">
        <v>4</v>
      </c>
      <c r="G9" s="181">
        <v>28</v>
      </c>
      <c r="H9" s="181">
        <v>38</v>
      </c>
      <c r="I9" s="182">
        <v>3.25</v>
      </c>
      <c r="J9" s="182">
        <v>-6.0112970928123541</v>
      </c>
      <c r="K9" s="182">
        <v>4.04</v>
      </c>
      <c r="L9" s="182">
        <v>14.348888888888887</v>
      </c>
      <c r="M9" s="181">
        <v>152</v>
      </c>
      <c r="N9" s="181" t="s">
        <v>527</v>
      </c>
      <c r="O9" s="181">
        <v>1115</v>
      </c>
      <c r="P9" s="138">
        <v>-2.4285330681078698</v>
      </c>
      <c r="Q9" s="138">
        <v>3.0922237174054299</v>
      </c>
      <c r="R9" s="138">
        <v>0.124803014354723</v>
      </c>
      <c r="S9" s="139">
        <v>2.7846094374053698</v>
      </c>
      <c r="T9" s="137" t="s">
        <v>304</v>
      </c>
    </row>
    <row r="10" spans="1:20" x14ac:dyDescent="0.25">
      <c r="A10" s="180" t="s">
        <v>80</v>
      </c>
      <c r="B10" s="182">
        <v>-0.33800000000000002</v>
      </c>
      <c r="C10" s="182">
        <v>-0.28999999999999998</v>
      </c>
      <c r="D10" s="182">
        <v>-2.6429999999999998</v>
      </c>
      <c r="E10" s="182">
        <v>4.5860000000000003</v>
      </c>
      <c r="F10" s="182">
        <v>3</v>
      </c>
      <c r="G10" s="181">
        <v>58</v>
      </c>
      <c r="H10" s="181">
        <v>145</v>
      </c>
      <c r="I10" s="182">
        <v>0.93</v>
      </c>
      <c r="J10" s="182">
        <v>-9.5952738767684096</v>
      </c>
      <c r="K10" s="182">
        <v>6.75</v>
      </c>
      <c r="L10" s="182">
        <v>13.6585</v>
      </c>
      <c r="M10" s="181">
        <v>206</v>
      </c>
      <c r="N10" s="181" t="s">
        <v>528</v>
      </c>
      <c r="O10" s="181">
        <v>1912</v>
      </c>
      <c r="P10" s="138">
        <v>-2.6646097334453098</v>
      </c>
      <c r="Q10" s="138" t="s">
        <v>304</v>
      </c>
      <c r="R10" s="138">
        <v>0.108073993148637</v>
      </c>
      <c r="S10" s="139">
        <v>2.1188442974054098</v>
      </c>
      <c r="T10" s="137">
        <v>727</v>
      </c>
    </row>
    <row r="11" spans="1:20" x14ac:dyDescent="0.25">
      <c r="A11" s="180" t="s">
        <v>98</v>
      </c>
      <c r="B11" s="182">
        <v>-0.26700000000000002</v>
      </c>
      <c r="C11" s="182">
        <v>-0.26700000000000002</v>
      </c>
      <c r="D11" s="182">
        <v>-2.5009999999999999</v>
      </c>
      <c r="E11" s="182">
        <v>4.76</v>
      </c>
      <c r="F11" s="182">
        <v>3</v>
      </c>
      <c r="G11" s="181">
        <v>51</v>
      </c>
      <c r="H11" s="181">
        <v>150</v>
      </c>
      <c r="I11" s="182">
        <v>0.11</v>
      </c>
      <c r="J11" s="182">
        <v>-9.9393688138052543</v>
      </c>
      <c r="K11" s="182">
        <v>4.72</v>
      </c>
      <c r="L11" s="182">
        <v>11.105500000000001</v>
      </c>
      <c r="M11" s="181">
        <v>61</v>
      </c>
      <c r="N11" s="181" t="s">
        <v>531</v>
      </c>
      <c r="O11" s="181">
        <v>1080</v>
      </c>
      <c r="P11" s="138">
        <v>-1.57324684073997</v>
      </c>
      <c r="Q11" s="138">
        <v>2.1743416374054001</v>
      </c>
      <c r="R11" s="138">
        <v>0.42132970300595002</v>
      </c>
      <c r="S11" s="138">
        <v>-0.30614277259456901</v>
      </c>
      <c r="T11" s="137">
        <v>300</v>
      </c>
    </row>
    <row r="12" spans="1:20" x14ac:dyDescent="0.25">
      <c r="A12" s="180" t="s">
        <v>99</v>
      </c>
      <c r="B12" s="182">
        <v>-0.26700000000000002</v>
      </c>
      <c r="C12" s="182">
        <v>-0.26700000000000002</v>
      </c>
      <c r="D12" s="182">
        <v>-2.444</v>
      </c>
      <c r="E12" s="182">
        <v>4.8040000000000003</v>
      </c>
      <c r="F12" s="182">
        <v>2.67</v>
      </c>
      <c r="G12" s="181">
        <v>47</v>
      </c>
      <c r="H12" s="181">
        <v>127</v>
      </c>
      <c r="I12" s="182">
        <v>0.7</v>
      </c>
      <c r="J12" s="182">
        <v>-14.383582940353422</v>
      </c>
      <c r="K12" s="182">
        <v>4.59</v>
      </c>
      <c r="L12" s="182">
        <v>11.818571428571429</v>
      </c>
      <c r="M12" s="181">
        <v>141</v>
      </c>
      <c r="N12" s="181" t="s">
        <v>530</v>
      </c>
      <c r="O12" s="181">
        <v>1567</v>
      </c>
      <c r="P12" s="138">
        <v>-1.56785432271928</v>
      </c>
      <c r="Q12" s="138">
        <v>2.6897796274054402</v>
      </c>
      <c r="R12" s="138">
        <v>0.14058912840377499</v>
      </c>
      <c r="S12" s="138">
        <v>1.51702027740543</v>
      </c>
      <c r="T12" s="137">
        <v>400</v>
      </c>
    </row>
    <row r="13" spans="1:20" x14ac:dyDescent="0.25">
      <c r="A13" s="180" t="s">
        <v>100</v>
      </c>
      <c r="B13" s="182">
        <v>-0.26700000000000002</v>
      </c>
      <c r="C13" s="182">
        <v>-0.26700000000000002</v>
      </c>
      <c r="D13" s="182">
        <v>-2.3090000000000002</v>
      </c>
      <c r="E13" s="182">
        <v>4.7640000000000002</v>
      </c>
      <c r="F13" s="182">
        <v>2</v>
      </c>
      <c r="G13" s="181">
        <v>65</v>
      </c>
      <c r="H13" s="181">
        <v>143</v>
      </c>
      <c r="I13" s="182">
        <v>1.95</v>
      </c>
      <c r="J13" s="182">
        <v>-3.9923304140539981</v>
      </c>
      <c r="K13" s="182">
        <v>5.19</v>
      </c>
      <c r="L13" s="182">
        <v>11.3475</v>
      </c>
      <c r="M13" s="181">
        <v>225</v>
      </c>
      <c r="N13" s="181" t="s">
        <v>528</v>
      </c>
      <c r="O13" s="181">
        <v>1839</v>
      </c>
      <c r="P13" s="138">
        <v>-1.6086314186572299</v>
      </c>
      <c r="Q13" s="138">
        <v>4.7865577574054399</v>
      </c>
      <c r="R13" s="138">
        <v>8.9729637784239993E-2</v>
      </c>
      <c r="S13" s="138">
        <v>4.4432239374053699</v>
      </c>
      <c r="T13" s="137">
        <v>1200</v>
      </c>
    </row>
    <row r="14" spans="1:20" x14ac:dyDescent="0.25">
      <c r="A14" s="180" t="s">
        <v>104</v>
      </c>
      <c r="B14" s="182">
        <v>-0.153</v>
      </c>
      <c r="C14" s="182">
        <v>-0.153</v>
      </c>
      <c r="D14" s="182">
        <v>-2.9460000000000002</v>
      </c>
      <c r="E14" s="182">
        <v>6.149</v>
      </c>
      <c r="F14" s="182">
        <v>4</v>
      </c>
      <c r="G14" s="181">
        <v>89</v>
      </c>
      <c r="H14" s="181">
        <v>219</v>
      </c>
      <c r="I14" s="182">
        <v>0</v>
      </c>
      <c r="J14" s="182">
        <v>-6.1035394102710265</v>
      </c>
      <c r="K14" s="182">
        <v>5.8</v>
      </c>
      <c r="L14" s="182">
        <v>12.204166666666666</v>
      </c>
      <c r="M14" s="181">
        <v>136</v>
      </c>
      <c r="N14" s="181" t="s">
        <v>530</v>
      </c>
      <c r="O14" s="181">
        <v>1100</v>
      </c>
      <c r="P14" s="138">
        <v>-0.75224628676349903</v>
      </c>
      <c r="Q14" s="138">
        <v>4.8136223274054499</v>
      </c>
      <c r="R14" s="138">
        <v>0.204857357893384</v>
      </c>
      <c r="S14" s="138">
        <v>3.54274209740549</v>
      </c>
      <c r="T14" s="137">
        <v>627</v>
      </c>
    </row>
    <row r="15" spans="1:20" x14ac:dyDescent="0.25">
      <c r="A15" s="180" t="s">
        <v>106</v>
      </c>
      <c r="B15" s="182">
        <v>-0.33800000000000002</v>
      </c>
      <c r="C15" s="182">
        <v>-0.153</v>
      </c>
      <c r="D15" s="182">
        <v>-3.0619999999999998</v>
      </c>
      <c r="E15" s="182">
        <v>5.6840000000000002</v>
      </c>
      <c r="F15" s="182">
        <v>6</v>
      </c>
      <c r="G15" s="181">
        <v>36</v>
      </c>
      <c r="H15" s="181">
        <v>33</v>
      </c>
      <c r="I15" s="182">
        <v>1.37</v>
      </c>
      <c r="J15" s="182">
        <v>-7.7224439031973882</v>
      </c>
      <c r="K15" s="182">
        <v>4.12</v>
      </c>
      <c r="L15" s="182">
        <v>14.508749999999999</v>
      </c>
      <c r="M15" s="181">
        <v>14</v>
      </c>
      <c r="N15" s="181" t="s">
        <v>529</v>
      </c>
      <c r="O15" s="181">
        <v>801</v>
      </c>
      <c r="P15" s="138">
        <v>-0.94435939114414502</v>
      </c>
      <c r="Q15" s="138">
        <v>3.05283259740545</v>
      </c>
      <c r="R15" s="138">
        <v>-0.14093733148086199</v>
      </c>
      <c r="S15" s="138">
        <v>2.7234189674054501</v>
      </c>
      <c r="T15" s="137">
        <v>377</v>
      </c>
    </row>
    <row r="16" spans="1:20" x14ac:dyDescent="0.25">
      <c r="A16" s="180" t="s">
        <v>160</v>
      </c>
      <c r="B16" s="182">
        <v>-0.33800000000000002</v>
      </c>
      <c r="C16" s="182">
        <v>-0.186</v>
      </c>
      <c r="D16" s="182">
        <v>-2.7970000000000002</v>
      </c>
      <c r="E16" s="182">
        <v>4.431</v>
      </c>
      <c r="F16" s="182">
        <v>3</v>
      </c>
      <c r="G16" s="181">
        <v>20</v>
      </c>
      <c r="H16" s="181">
        <v>19</v>
      </c>
      <c r="I16" s="182">
        <v>2.2200000000000002</v>
      </c>
      <c r="J16" s="182">
        <v>-7.4654609524796598</v>
      </c>
      <c r="K16" s="182">
        <v>5.36</v>
      </c>
      <c r="L16" s="182">
        <v>18.076499999999999</v>
      </c>
      <c r="M16" s="181">
        <v>56</v>
      </c>
      <c r="N16" s="181" t="s">
        <v>531</v>
      </c>
      <c r="O16" s="181">
        <v>656</v>
      </c>
      <c r="P16" s="138">
        <v>-2.2679323080990801</v>
      </c>
      <c r="Q16" s="138">
        <v>3.2920384774054399</v>
      </c>
      <c r="R16" s="138">
        <v>6.4521514360412494E-2</v>
      </c>
      <c r="S16" s="138">
        <v>1.5824281774054001</v>
      </c>
      <c r="T16" s="137">
        <v>550</v>
      </c>
    </row>
    <row r="17" spans="1:20" x14ac:dyDescent="0.25">
      <c r="A17" s="180" t="s">
        <v>163</v>
      </c>
      <c r="B17" s="182">
        <v>-0.33800000000000002</v>
      </c>
      <c r="C17" s="182">
        <v>-0.33800000000000002</v>
      </c>
      <c r="D17" s="182">
        <v>-2.895</v>
      </c>
      <c r="E17" s="182">
        <v>4.5090000000000003</v>
      </c>
      <c r="F17" s="182">
        <v>4</v>
      </c>
      <c r="G17" s="181">
        <v>55</v>
      </c>
      <c r="H17" s="181">
        <v>96</v>
      </c>
      <c r="I17" s="182">
        <v>1.89</v>
      </c>
      <c r="J17" s="182">
        <v>-9.4057107322381714</v>
      </c>
      <c r="K17" s="182">
        <v>6.26</v>
      </c>
      <c r="L17" s="182">
        <v>13.59375</v>
      </c>
      <c r="M17" s="181">
        <v>33</v>
      </c>
      <c r="N17" s="181" t="s">
        <v>531</v>
      </c>
      <c r="O17" s="181">
        <v>930</v>
      </c>
      <c r="P17" s="138">
        <v>-2.0928295573006701</v>
      </c>
      <c r="Q17" s="138">
        <v>2.3068136074054402</v>
      </c>
      <c r="R17" s="138">
        <v>2.36465648743483E-2</v>
      </c>
      <c r="S17" s="138">
        <v>-1.0979680625945301</v>
      </c>
      <c r="T17" s="137">
        <v>700</v>
      </c>
    </row>
    <row r="18" spans="1:20" x14ac:dyDescent="0.25">
      <c r="A18" s="180" t="s">
        <v>173</v>
      </c>
      <c r="B18" s="182">
        <v>-0.33800000000000002</v>
      </c>
      <c r="C18" s="182">
        <v>-0.33800000000000002</v>
      </c>
      <c r="D18" s="182">
        <v>-2.6640000000000001</v>
      </c>
      <c r="E18" s="182">
        <v>4.6260000000000003</v>
      </c>
      <c r="F18" s="182">
        <v>2.4</v>
      </c>
      <c r="G18" s="181">
        <v>28</v>
      </c>
      <c r="H18" s="181">
        <v>79</v>
      </c>
      <c r="I18" s="182">
        <v>1.76</v>
      </c>
      <c r="J18" s="182" t="s">
        <v>304</v>
      </c>
      <c r="K18" s="182">
        <v>5.7</v>
      </c>
      <c r="L18" s="182">
        <v>18.272727272727273</v>
      </c>
      <c r="M18" s="181">
        <v>14</v>
      </c>
      <c r="N18" s="181" t="s">
        <v>529</v>
      </c>
      <c r="O18" s="181" t="s">
        <v>304</v>
      </c>
      <c r="P18" s="138">
        <v>-2.5560708781736401</v>
      </c>
      <c r="Q18" s="138">
        <v>3.4109907274054398</v>
      </c>
      <c r="R18" s="138">
        <v>4.4790606214817202E-2</v>
      </c>
      <c r="S18" s="138">
        <v>2.5795764374054202</v>
      </c>
      <c r="T18" s="137" t="s">
        <v>304</v>
      </c>
    </row>
    <row r="19" spans="1:20" x14ac:dyDescent="0.25">
      <c r="A19" s="180" t="s">
        <v>176</v>
      </c>
      <c r="B19" s="182">
        <v>-0.33800000000000002</v>
      </c>
      <c r="C19" s="182">
        <v>-0.33800000000000002</v>
      </c>
      <c r="D19" s="182">
        <v>-2.8519999999999999</v>
      </c>
      <c r="E19" s="182">
        <v>4.9089999999999998</v>
      </c>
      <c r="F19" s="182">
        <v>4</v>
      </c>
      <c r="G19" s="181">
        <v>87</v>
      </c>
      <c r="H19" s="181">
        <v>172</v>
      </c>
      <c r="I19" s="182">
        <v>0.65</v>
      </c>
      <c r="J19" s="182">
        <v>-5.9859999999999998</v>
      </c>
      <c r="K19" s="182">
        <v>6.61</v>
      </c>
      <c r="L19" s="182">
        <v>12.621666666666668</v>
      </c>
      <c r="M19" s="181">
        <v>136</v>
      </c>
      <c r="N19" s="181" t="s">
        <v>530</v>
      </c>
      <c r="O19" s="181">
        <v>1630</v>
      </c>
      <c r="P19" s="138">
        <v>-2.5884871133272802</v>
      </c>
      <c r="Q19" s="138">
        <v>3.23383048740543</v>
      </c>
      <c r="R19" s="138">
        <v>1.19721945732916E-2</v>
      </c>
      <c r="S19" s="138">
        <v>2.33145475740548</v>
      </c>
      <c r="T19" s="137">
        <v>600</v>
      </c>
    </row>
    <row r="20" spans="1:20" x14ac:dyDescent="0.25">
      <c r="A20" s="180" t="s">
        <v>174</v>
      </c>
      <c r="B20" s="182">
        <v>-0.33800000000000002</v>
      </c>
      <c r="C20" s="182">
        <v>-0.14399999999999999</v>
      </c>
      <c r="D20" s="182">
        <v>-2.597</v>
      </c>
      <c r="E20" s="182">
        <v>4.5179999999999998</v>
      </c>
      <c r="F20" s="182">
        <v>2</v>
      </c>
      <c r="G20" s="181">
        <v>20</v>
      </c>
      <c r="H20" s="181">
        <v>32</v>
      </c>
      <c r="I20" s="182">
        <v>0.41</v>
      </c>
      <c r="J20" s="182">
        <v>-2.9092605068145305</v>
      </c>
      <c r="K20" s="182">
        <v>5.94</v>
      </c>
      <c r="L20" s="182">
        <v>18.822500000000002</v>
      </c>
      <c r="M20" s="181">
        <v>129</v>
      </c>
      <c r="N20" s="181" t="s">
        <v>530</v>
      </c>
      <c r="O20" s="181">
        <v>1080</v>
      </c>
      <c r="P20" s="138">
        <v>-2.4742622903663598</v>
      </c>
      <c r="Q20" s="138">
        <v>3.23532651740544</v>
      </c>
      <c r="R20" s="138">
        <v>-2.4514926757940601E-4</v>
      </c>
      <c r="S20" s="138">
        <v>3.69205014740538</v>
      </c>
      <c r="T20" s="137" t="s">
        <v>304</v>
      </c>
    </row>
    <row r="21" spans="1:20" x14ac:dyDescent="0.25">
      <c r="A21" s="180" t="s">
        <v>188</v>
      </c>
      <c r="B21" s="182">
        <v>-0.33800000000000002</v>
      </c>
      <c r="C21" s="182">
        <v>-0.22700000000000001</v>
      </c>
      <c r="D21" s="182">
        <v>-2.9180000000000001</v>
      </c>
      <c r="E21" s="182">
        <v>3.9769999999999999</v>
      </c>
      <c r="F21" s="182">
        <v>4</v>
      </c>
      <c r="G21" s="181">
        <v>17</v>
      </c>
      <c r="H21" s="181">
        <v>23</v>
      </c>
      <c r="I21" s="182">
        <v>2.23</v>
      </c>
      <c r="J21" s="182">
        <v>-3.3435249002435614</v>
      </c>
      <c r="K21" s="182">
        <v>5.36</v>
      </c>
      <c r="L21" s="182">
        <v>16.472916666666666</v>
      </c>
      <c r="M21" s="181">
        <v>61</v>
      </c>
      <c r="N21" s="181" t="s">
        <v>531</v>
      </c>
      <c r="O21" s="181">
        <v>733</v>
      </c>
      <c r="P21" s="138">
        <v>-1.567924493342</v>
      </c>
      <c r="Q21" s="138">
        <v>2.70142826740544</v>
      </c>
      <c r="R21" s="138">
        <v>6.1160966190277897E-3</v>
      </c>
      <c r="S21" s="138">
        <v>1.9454189574054199</v>
      </c>
      <c r="T21" s="137" t="s">
        <v>304</v>
      </c>
    </row>
    <row r="22" spans="1:20" x14ac:dyDescent="0.25">
      <c r="A22" s="180" t="s">
        <v>213</v>
      </c>
      <c r="B22" s="182">
        <v>-0.33800000000000002</v>
      </c>
      <c r="C22" s="182">
        <v>-0.20499999999999999</v>
      </c>
      <c r="D22" s="182">
        <v>-2.7789999999999999</v>
      </c>
      <c r="E22" s="182">
        <v>5.68</v>
      </c>
      <c r="F22" s="182">
        <v>5</v>
      </c>
      <c r="G22" s="181">
        <v>47</v>
      </c>
      <c r="H22" s="181">
        <v>105</v>
      </c>
      <c r="I22" s="182">
        <v>2.16</v>
      </c>
      <c r="J22" s="182">
        <v>-16.070891848473856</v>
      </c>
      <c r="K22" s="182">
        <v>3.15</v>
      </c>
      <c r="L22" s="182">
        <v>13.677857142857144</v>
      </c>
      <c r="M22" s="181">
        <v>59</v>
      </c>
      <c r="N22" s="181" t="s">
        <v>531</v>
      </c>
      <c r="O22" s="181">
        <v>670</v>
      </c>
      <c r="P22" s="138">
        <v>-1.8896498142260001</v>
      </c>
      <c r="Q22" s="138">
        <v>1.3789851174054399</v>
      </c>
      <c r="R22" s="138">
        <v>-9.9338640216688701E-2</v>
      </c>
      <c r="S22" s="138">
        <v>1.6440883274053699</v>
      </c>
      <c r="T22" s="137">
        <v>637</v>
      </c>
    </row>
    <row r="23" spans="1:20" x14ac:dyDescent="0.25">
      <c r="A23" s="180" t="s">
        <v>214</v>
      </c>
      <c r="B23" s="182">
        <v>-0.20499999999999999</v>
      </c>
      <c r="C23" s="182">
        <v>-0.20499999999999999</v>
      </c>
      <c r="D23" s="182">
        <v>-2.6</v>
      </c>
      <c r="E23" s="182">
        <v>6.14</v>
      </c>
      <c r="F23" s="182">
        <v>3.33</v>
      </c>
      <c r="G23" s="181">
        <v>85</v>
      </c>
      <c r="H23" s="181">
        <v>185</v>
      </c>
      <c r="I23" s="182">
        <v>0.95</v>
      </c>
      <c r="J23" s="182">
        <v>-20.034202207597037</v>
      </c>
      <c r="K23" s="182">
        <v>4.4400000000000004</v>
      </c>
      <c r="L23" s="182">
        <v>10.874375000000001</v>
      </c>
      <c r="M23" s="181">
        <v>13</v>
      </c>
      <c r="N23" s="181" t="s">
        <v>529</v>
      </c>
      <c r="O23" s="181" t="s">
        <v>304</v>
      </c>
      <c r="P23" s="138">
        <v>-2.3167328341362801</v>
      </c>
      <c r="Q23" s="138">
        <v>4.6105982474054397</v>
      </c>
      <c r="R23" s="138">
        <v>8.1780585302742098E-2</v>
      </c>
      <c r="S23" s="138">
        <v>2.4371837874053801</v>
      </c>
      <c r="T23" s="137" t="s">
        <v>304</v>
      </c>
    </row>
    <row r="24" spans="1:20" x14ac:dyDescent="0.25">
      <c r="A24" s="180" t="s">
        <v>215</v>
      </c>
      <c r="B24" s="182">
        <v>-0.20499999999999999</v>
      </c>
      <c r="C24" s="182">
        <v>-0.20499999999999999</v>
      </c>
      <c r="D24" s="182">
        <v>-2.7490000000000001</v>
      </c>
      <c r="E24" s="182">
        <v>5.7919999999999998</v>
      </c>
      <c r="F24" s="182">
        <v>4.67</v>
      </c>
      <c r="G24" s="181">
        <v>53</v>
      </c>
      <c r="H24" s="181">
        <v>118</v>
      </c>
      <c r="I24" s="182">
        <v>1</v>
      </c>
      <c r="J24" s="182" t="s">
        <v>304</v>
      </c>
      <c r="K24" s="182">
        <v>3.42</v>
      </c>
      <c r="L24" s="182">
        <v>12.875</v>
      </c>
      <c r="M24" s="181">
        <v>15</v>
      </c>
      <c r="N24" s="181" t="s">
        <v>529</v>
      </c>
      <c r="O24" s="181" t="s">
        <v>304</v>
      </c>
      <c r="P24" s="138">
        <v>-1.9827880216179401</v>
      </c>
      <c r="Q24" s="138">
        <v>1.63996525740543</v>
      </c>
      <c r="R24" s="138">
        <v>-8.0581676791333205E-3</v>
      </c>
      <c r="S24" s="138">
        <v>1.99464387740545</v>
      </c>
      <c r="T24" s="137" t="s">
        <v>304</v>
      </c>
    </row>
    <row r="25" spans="1:20" x14ac:dyDescent="0.25">
      <c r="A25" s="180" t="s">
        <v>218</v>
      </c>
      <c r="B25" s="182">
        <v>-0.221</v>
      </c>
      <c r="C25" s="182">
        <v>-0.221</v>
      </c>
      <c r="D25" s="182">
        <v>-3.0339999999999998</v>
      </c>
      <c r="E25" s="182">
        <v>6.7329999999999997</v>
      </c>
      <c r="F25" s="182">
        <v>4</v>
      </c>
      <c r="G25" s="181">
        <v>75</v>
      </c>
      <c r="H25" s="181">
        <v>229</v>
      </c>
      <c r="I25" s="182">
        <v>1.25</v>
      </c>
      <c r="J25" s="182">
        <v>-6.1118308545369748</v>
      </c>
      <c r="K25" s="182">
        <v>9.6</v>
      </c>
      <c r="L25" s="182">
        <v>12.442500000000001</v>
      </c>
      <c r="M25" s="181">
        <v>136</v>
      </c>
      <c r="N25" s="181" t="s">
        <v>530</v>
      </c>
      <c r="O25" s="181">
        <v>1500</v>
      </c>
      <c r="P25" s="138">
        <v>-7.7828179942835002E-2</v>
      </c>
      <c r="Q25" s="138">
        <v>5.41741480740545</v>
      </c>
      <c r="R25" s="138">
        <v>-0.116880126830938</v>
      </c>
      <c r="S25" s="138">
        <v>2.3158929874053902</v>
      </c>
      <c r="T25" s="137" t="s">
        <v>304</v>
      </c>
    </row>
    <row r="26" spans="1:20" x14ac:dyDescent="0.25">
      <c r="A26" s="180" t="s">
        <v>220</v>
      </c>
      <c r="B26" s="182">
        <v>-0.33800000000000002</v>
      </c>
      <c r="C26" s="182">
        <v>-0.221</v>
      </c>
      <c r="D26" s="182">
        <v>-3.1309999999999998</v>
      </c>
      <c r="E26" s="182">
        <v>6.3639999999999999</v>
      </c>
      <c r="F26" s="182">
        <v>6</v>
      </c>
      <c r="G26" s="181">
        <v>125</v>
      </c>
      <c r="H26" s="181">
        <v>223</v>
      </c>
      <c r="I26" s="182">
        <v>1.33</v>
      </c>
      <c r="J26" s="182">
        <v>-8.7360729647095408</v>
      </c>
      <c r="K26" s="182">
        <v>6.69</v>
      </c>
      <c r="L26" s="182">
        <v>14.393750000000001</v>
      </c>
      <c r="M26" s="181">
        <v>60</v>
      </c>
      <c r="N26" s="181" t="s">
        <v>531</v>
      </c>
      <c r="O26" s="181">
        <v>1472</v>
      </c>
      <c r="P26" s="138">
        <v>-0.801284650347036</v>
      </c>
      <c r="Q26" s="138">
        <v>4.4696641674054503</v>
      </c>
      <c r="R26" s="138">
        <v>8.3487218640498795E-2</v>
      </c>
      <c r="S26" s="138">
        <v>4.2852767774054401</v>
      </c>
      <c r="T26" s="137">
        <v>875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45F8-123A-4E4C-ABDA-CB881035D068}">
  <dimension ref="A1:AQ298"/>
  <sheetViews>
    <sheetView zoomScaleNormal="100" workbookViewId="0">
      <pane xSplit="3" topLeftCell="W1" activePane="topRight" state="frozen"/>
      <selection pane="topRight" activeCell="AC1" sqref="AC1:AQ26"/>
    </sheetView>
  </sheetViews>
  <sheetFormatPr defaultColWidth="9.140625" defaultRowHeight="15" x14ac:dyDescent="0.25"/>
  <cols>
    <col min="1" max="1" width="9.140625" style="2"/>
    <col min="2" max="2" width="45" style="1" customWidth="1"/>
    <col min="3" max="3" width="17.28515625" style="1" customWidth="1"/>
    <col min="4" max="5" width="17.28515625" style="24" customWidth="1"/>
    <col min="6" max="6" width="12.140625" style="24" customWidth="1"/>
    <col min="7" max="7" width="15.140625" style="24" customWidth="1"/>
    <col min="8" max="8" width="12.7109375" style="24" customWidth="1"/>
    <col min="9" max="9" width="14.5703125" style="29" customWidth="1"/>
    <col min="10" max="10" width="14.140625" style="29" customWidth="1"/>
    <col min="11" max="11" width="12.42578125" style="1" customWidth="1"/>
    <col min="12" max="12" width="14.28515625" style="24" customWidth="1"/>
    <col min="13" max="13" width="42.28515625" style="31" customWidth="1"/>
    <col min="14" max="14" width="15.42578125" style="1" customWidth="1"/>
    <col min="15" max="15" width="19.140625" style="1" customWidth="1"/>
    <col min="16" max="16" width="19.28515625" style="1" customWidth="1"/>
    <col min="17" max="17" width="21.28515625" style="1" customWidth="1"/>
    <col min="18" max="18" width="20.28515625" style="1" customWidth="1"/>
    <col min="19" max="19" width="16.28515625" style="1" customWidth="1"/>
    <col min="20" max="20" width="11.85546875" style="1" customWidth="1"/>
    <col min="21" max="21" width="17.28515625" style="1" customWidth="1"/>
    <col min="22" max="22" width="14.7109375" style="1" customWidth="1"/>
    <col min="23" max="23" width="19.140625" style="16" customWidth="1"/>
    <col min="24" max="24" width="14" style="1" customWidth="1"/>
    <col min="25" max="25" width="19.140625" style="16" customWidth="1"/>
    <col min="26" max="27" width="17.28515625" style="1" customWidth="1"/>
    <col min="28" max="28" width="19.140625" style="29" customWidth="1"/>
    <col min="30" max="30" width="12.28515625" style="16" customWidth="1"/>
    <col min="31" max="31" width="9" style="1" customWidth="1"/>
    <col min="32" max="32" width="12.140625" style="1" customWidth="1"/>
    <col min="33" max="33" width="14.85546875" style="1" customWidth="1"/>
    <col min="34" max="34" width="9.140625" style="1"/>
    <col min="35" max="35" width="16.7109375" style="1" customWidth="1"/>
    <col min="36" max="36" width="11.42578125" style="1" customWidth="1"/>
    <col min="37" max="37" width="9.140625" style="1"/>
    <col min="38" max="38" width="20.28515625" style="1" customWidth="1"/>
    <col min="39" max="39" width="9.140625" style="1"/>
    <col min="40" max="40" width="14" style="1" customWidth="1"/>
    <col min="41" max="41" width="11" style="1" customWidth="1"/>
    <col min="42" max="42" width="13.5703125" style="1" customWidth="1"/>
    <col min="43" max="16384" width="9.140625" style="1"/>
  </cols>
  <sheetData>
    <row r="1" spans="1:43" s="8" customFormat="1" ht="12.75" x14ac:dyDescent="0.2">
      <c r="A1" s="5" t="s">
        <v>230</v>
      </c>
      <c r="B1" s="5" t="s">
        <v>233</v>
      </c>
      <c r="C1" s="3" t="s">
        <v>496</v>
      </c>
      <c r="D1" s="25" t="s">
        <v>497</v>
      </c>
      <c r="E1" s="25" t="s">
        <v>498</v>
      </c>
      <c r="F1" s="32" t="s">
        <v>499</v>
      </c>
      <c r="G1" s="32" t="s">
        <v>500</v>
      </c>
      <c r="H1" s="32" t="s">
        <v>501</v>
      </c>
      <c r="I1" s="28" t="s">
        <v>502</v>
      </c>
      <c r="J1" s="28" t="s">
        <v>503</v>
      </c>
      <c r="K1" s="32" t="s">
        <v>504</v>
      </c>
      <c r="L1" s="32" t="s">
        <v>506</v>
      </c>
      <c r="M1" s="33" t="s">
        <v>536</v>
      </c>
      <c r="N1" s="5" t="s">
        <v>505</v>
      </c>
      <c r="O1" s="5" t="s">
        <v>507</v>
      </c>
      <c r="P1" s="5" t="s">
        <v>508</v>
      </c>
      <c r="Q1" s="5" t="s">
        <v>509</v>
      </c>
      <c r="R1" s="5" t="s">
        <v>510</v>
      </c>
      <c r="S1" s="5" t="s">
        <v>511</v>
      </c>
      <c r="T1" s="27" t="s">
        <v>512</v>
      </c>
      <c r="U1" s="27" t="s">
        <v>513</v>
      </c>
      <c r="V1" s="5" t="s">
        <v>514</v>
      </c>
      <c r="W1" s="17" t="s">
        <v>515</v>
      </c>
      <c r="X1" s="5" t="s">
        <v>517</v>
      </c>
      <c r="Y1" s="17" t="s">
        <v>516</v>
      </c>
      <c r="Z1" s="3" t="s">
        <v>350</v>
      </c>
      <c r="AA1" s="3"/>
      <c r="AB1" s="28"/>
      <c r="AC1" s="137" t="s">
        <v>615</v>
      </c>
      <c r="AD1" s="174" t="s">
        <v>497</v>
      </c>
      <c r="AE1" s="174" t="s">
        <v>498</v>
      </c>
      <c r="AF1" s="33" t="s">
        <v>499</v>
      </c>
      <c r="AG1" s="33" t="s">
        <v>500</v>
      </c>
      <c r="AH1" s="33" t="s">
        <v>501</v>
      </c>
      <c r="AI1" s="175" t="s">
        <v>502</v>
      </c>
      <c r="AJ1" s="175" t="s">
        <v>503</v>
      </c>
      <c r="AK1" s="33" t="s">
        <v>504</v>
      </c>
      <c r="AL1" s="33" t="s">
        <v>506</v>
      </c>
      <c r="AM1" s="176" t="s">
        <v>512</v>
      </c>
      <c r="AN1" s="176" t="s">
        <v>513</v>
      </c>
      <c r="AO1" s="177" t="s">
        <v>515</v>
      </c>
      <c r="AP1" s="177" t="s">
        <v>516</v>
      </c>
      <c r="AQ1" s="178" t="s">
        <v>350</v>
      </c>
    </row>
    <row r="2" spans="1:43" x14ac:dyDescent="0.2">
      <c r="A2" s="2">
        <v>1</v>
      </c>
      <c r="B2" s="2" t="s">
        <v>309</v>
      </c>
      <c r="C2" s="2" t="s">
        <v>0</v>
      </c>
      <c r="D2" s="7">
        <v>-0.33800000000000002</v>
      </c>
      <c r="E2" s="7">
        <v>-0.13800000000000001</v>
      </c>
      <c r="F2" s="7">
        <v>-2.1800000000000002</v>
      </c>
      <c r="G2" s="7">
        <v>7.016</v>
      </c>
      <c r="H2" s="7">
        <v>3</v>
      </c>
      <c r="I2" s="29">
        <v>35</v>
      </c>
      <c r="J2" s="29">
        <v>103</v>
      </c>
      <c r="K2" s="7">
        <v>3.52</v>
      </c>
      <c r="L2" s="7">
        <f>-1107/$B$25</f>
        <v>-11.473286003005649</v>
      </c>
      <c r="M2" s="30" t="s">
        <v>535</v>
      </c>
      <c r="N2" s="2"/>
      <c r="O2" s="2"/>
      <c r="P2" s="2"/>
      <c r="Q2" s="2"/>
      <c r="R2" s="2"/>
      <c r="S2" s="2"/>
      <c r="T2" s="18">
        <v>8.9700000000000006</v>
      </c>
      <c r="U2" s="18">
        <v>18.576000000000001</v>
      </c>
      <c r="V2" s="2"/>
      <c r="W2" s="16">
        <v>164</v>
      </c>
      <c r="X2" s="2"/>
      <c r="Y2" s="16" t="s">
        <v>527</v>
      </c>
      <c r="Z2" s="2">
        <v>1977</v>
      </c>
      <c r="AA2" s="2"/>
      <c r="AC2" s="137" t="s">
        <v>21</v>
      </c>
      <c r="AD2" s="179">
        <f>IF(VLOOKUP($AC2,$C$2:$Z$154,2,FALSE)="","n/a",VLOOKUP($AC2,$C$2:$Z$154,2,FALSE))</f>
        <v>-0.33800000000000002</v>
      </c>
      <c r="AE2" s="18">
        <f>IF(VLOOKUP($AC2,$C$2:$Z$154,3,FALSE)="","n/a",VLOOKUP($AC2,$C$2:$Z$154,3,FALSE))</f>
        <v>-0.18</v>
      </c>
      <c r="AF2" s="18">
        <f>IF(VLOOKUP($AC2,$C$2:$Z$154,4,FALSE)="","n/a",VLOOKUP($AC2,$C$2:$Z$154,4,FALSE))</f>
        <v>-2.78</v>
      </c>
      <c r="AG2" s="18">
        <f>IF(VLOOKUP($AC2,$C$2:$Z$154,5,FALSE)="","n/a",VLOOKUP($AC2,$C$2:$Z$154,5,FALSE))</f>
        <v>4.09</v>
      </c>
      <c r="AH2" s="18">
        <f>IF(VLOOKUP($AC2,$C$2:$Z$154,6,FALSE)="","n/a",VLOOKUP($AC2,$C$2:$Z$154,6,FALSE))</f>
        <v>3</v>
      </c>
      <c r="AI2" s="18">
        <f>IF(VLOOKUP($AC2,$C$2:$Z$154,7,FALSE)="","n/a",VLOOKUP($AC2,$C$2:$Z$154,7,FALSE))</f>
        <v>30</v>
      </c>
      <c r="AJ2" s="18">
        <f>IF(VLOOKUP($AC2,$C$2:$Z$154,8,FALSE)="","n/a",VLOOKUP($AC2,$C$2:$Z$154,8,FALSE))</f>
        <v>54</v>
      </c>
      <c r="AK2" s="18">
        <f>IF(VLOOKUP($AC2,$C$2:$Z$154,9,FALSE)="","n/a",VLOOKUP($AC2,$C$2:$Z$154,9,FALSE))</f>
        <v>2.1800000000000002</v>
      </c>
      <c r="AL2" s="18">
        <f>IF(VLOOKUP($AC2,$C$2:$Z$154,10,FALSE)="","n/a",VLOOKUP($AC2,$C$2:$Z$154,10,FALSE))</f>
        <v>-5.9480748302844999</v>
      </c>
      <c r="AM2" s="18">
        <f>IF(VLOOKUP($AC2,$C$2:$Z$154,18,FALSE)="","n/a",VLOOKUP($AC2,$C$2:$Z$154,18,FALSE))</f>
        <v>9.0399999999999991</v>
      </c>
      <c r="AN2" s="18">
        <f>IF(VLOOKUP($AC2,$C$2:$Z$154,19,FALSE)="","n/a",VLOOKUP($AC2,$C$2:$Z$154,19,FALSE))</f>
        <v>17.11</v>
      </c>
      <c r="AO2" s="29">
        <f>IF(VLOOKUP($AC2,$C$2:$Z$154,21,FALSE)="","n/a",VLOOKUP($AC2,$C$2:$Z$154,21,FALSE))</f>
        <v>14</v>
      </c>
      <c r="AP2" s="18" t="str">
        <f>IF(VLOOKUP($AC2,$C$2:$Z$154,23,FALSE)="","n/a",VLOOKUP($AC2,$C$2:$Z$154,23,FALSE))</f>
        <v>monoclinic</v>
      </c>
      <c r="AQ2" s="18">
        <f>IF(VLOOKUP($AC2,$C$2:$Z$154,24,FALSE)="","n/a",VLOOKUP($AC2,$C$2:$Z$154,24,FALSE))</f>
        <v>817</v>
      </c>
    </row>
    <row r="3" spans="1:43" ht="12.75" x14ac:dyDescent="0.2">
      <c r="A3" s="2">
        <v>2</v>
      </c>
      <c r="B3" s="2" t="s">
        <v>310</v>
      </c>
      <c r="C3" s="2" t="s">
        <v>2</v>
      </c>
      <c r="D3" s="7">
        <v>-0.29899999999999999</v>
      </c>
      <c r="E3" s="7">
        <v>-0.157</v>
      </c>
      <c r="F3" s="7">
        <v>-2.34</v>
      </c>
      <c r="G3" s="7">
        <v>3.1669999999999998</v>
      </c>
      <c r="H3" s="7">
        <v>1</v>
      </c>
      <c r="I3" s="29">
        <v>0</v>
      </c>
      <c r="J3" s="29">
        <v>68</v>
      </c>
      <c r="K3" s="7">
        <v>0</v>
      </c>
      <c r="L3" s="7">
        <f>-31.1/$B$25</f>
        <v>-0.32232989583873145</v>
      </c>
      <c r="M3" s="34"/>
      <c r="N3" s="2"/>
      <c r="O3" s="2"/>
      <c r="P3" s="2"/>
      <c r="Q3" s="2"/>
      <c r="R3" s="2"/>
      <c r="S3" s="2"/>
      <c r="T3" s="18">
        <v>6.78</v>
      </c>
      <c r="U3" s="18">
        <v>18.906666666666666</v>
      </c>
      <c r="V3" s="2"/>
      <c r="W3" s="16">
        <v>224</v>
      </c>
      <c r="X3" s="2"/>
      <c r="Y3" s="16" t="s">
        <v>528</v>
      </c>
      <c r="Z3" s="2">
        <v>200</v>
      </c>
      <c r="AA3" s="2"/>
      <c r="AC3" s="137" t="s">
        <v>27</v>
      </c>
      <c r="AD3" s="179">
        <f t="shared" ref="AD3:AD19" si="0">IF(VLOOKUP($AC3,$C$2:$Z$154,2,FALSE)="","n/a",VLOOKUP($AC3,$C$2:$Z$154,2,FALSE))</f>
        <v>-0.33800000000000002</v>
      </c>
      <c r="AE3" s="18">
        <f t="shared" ref="AE3:AE19" si="1">IF(VLOOKUP($AC3,$C$2:$Z$154,3,FALSE)="","n/a",VLOOKUP($AC3,$C$2:$Z$154,3,FALSE))</f>
        <v>-0.20399999999999999</v>
      </c>
      <c r="AF3" s="18">
        <f t="shared" ref="AF3:AF19" si="2">IF(VLOOKUP($AC3,$C$2:$Z$154,4,FALSE)="","n/a",VLOOKUP($AC3,$C$2:$Z$154,4,FALSE))</f>
        <v>-2.411</v>
      </c>
      <c r="AG3" s="18">
        <f t="shared" ref="AG3:AG19" si="3">IF(VLOOKUP($AC3,$C$2:$Z$154,5,FALSE)="","n/a",VLOOKUP($AC3,$C$2:$Z$154,5,FALSE))</f>
        <v>3.266</v>
      </c>
      <c r="AH3" s="18">
        <f t="shared" ref="AH3:AH19" si="4">IF(VLOOKUP($AC3,$C$2:$Z$154,6,FALSE)="","n/a",VLOOKUP($AC3,$C$2:$Z$154,6,FALSE))</f>
        <v>2</v>
      </c>
      <c r="AI3" s="18">
        <f t="shared" ref="AI3:AI19" si="5">IF(VLOOKUP($AC3,$C$2:$Z$154,7,FALSE)="","n/a",VLOOKUP($AC3,$C$2:$Z$154,7,FALSE))</f>
        <v>45</v>
      </c>
      <c r="AJ3" s="18">
        <f t="shared" ref="AJ3:AJ19" si="6">IF(VLOOKUP($AC3,$C$2:$Z$154,8,FALSE)="","n/a",VLOOKUP($AC3,$C$2:$Z$154,8,FALSE))</f>
        <v>126</v>
      </c>
      <c r="AK3" s="18">
        <f t="shared" ref="AK3:AK19" si="7">IF(VLOOKUP($AC3,$C$2:$Z$154,9,FALSE)="","n/a",VLOOKUP($AC3,$C$2:$Z$154,9,FALSE))</f>
        <v>0</v>
      </c>
      <c r="AL3" s="18">
        <f t="shared" ref="AL3:AL19" si="8">IF(VLOOKUP($AC3,$C$2:$Z$154,10,FALSE)="","n/a",VLOOKUP($AC3,$C$2:$Z$154,10,FALSE))</f>
        <v>-2.6781364979012281</v>
      </c>
      <c r="AM3" s="18">
        <f t="shared" ref="AM3:AM19" si="9">IF(VLOOKUP($AC3,$C$2:$Z$154,18,FALSE)="","n/a",VLOOKUP($AC3,$C$2:$Z$154,18,FALSE))</f>
        <v>7.79</v>
      </c>
      <c r="AN3" s="18">
        <f t="shared" ref="AN3:AN19" si="10">IF(VLOOKUP($AC3,$C$2:$Z$154,19,FALSE)="","n/a",VLOOKUP($AC3,$C$2:$Z$154,19,FALSE))</f>
        <v>13.685</v>
      </c>
      <c r="AO3" s="29">
        <f t="shared" ref="AO3:AO19" si="11">IF(VLOOKUP($AC3,$C$2:$Z$154,21,FALSE)="","n/a",VLOOKUP($AC3,$C$2:$Z$154,21,FALSE))</f>
        <v>225</v>
      </c>
      <c r="AP3" s="18" t="str">
        <f t="shared" ref="AP3:AP19" si="12">IF(VLOOKUP($AC3,$C$2:$Z$154,23,FALSE)="","n/a",VLOOKUP($AC3,$C$2:$Z$154,23,FALSE))</f>
        <v>cubic</v>
      </c>
      <c r="AQ3" s="18">
        <f t="shared" ref="AQ3:AQ19" si="13">IF(VLOOKUP($AC3,$C$2:$Z$154,24,FALSE)="","n/a",VLOOKUP($AC3,$C$2:$Z$154,24,FALSE))</f>
        <v>1430</v>
      </c>
    </row>
    <row r="4" spans="1:43" ht="12.75" x14ac:dyDescent="0.2">
      <c r="A4" s="2">
        <v>3</v>
      </c>
      <c r="B4" s="2" t="s">
        <v>518</v>
      </c>
      <c r="C4" s="2" t="s">
        <v>4</v>
      </c>
      <c r="D4" s="7">
        <v>-0.29899999999999999</v>
      </c>
      <c r="E4" s="7">
        <v>-0.29899999999999999</v>
      </c>
      <c r="F4" s="7">
        <v>-2.6850000000000001</v>
      </c>
      <c r="G4" s="7">
        <v>3.1739999999999999</v>
      </c>
      <c r="H4" s="7">
        <v>2.67</v>
      </c>
      <c r="I4" s="29">
        <v>22</v>
      </c>
      <c r="J4" s="29">
        <v>87</v>
      </c>
      <c r="K4" s="7">
        <v>0</v>
      </c>
      <c r="L4" s="7" t="s">
        <v>304</v>
      </c>
      <c r="M4" s="34"/>
      <c r="N4" s="2"/>
      <c r="O4" s="2"/>
      <c r="P4" s="2"/>
      <c r="Q4" s="2"/>
      <c r="R4" s="2"/>
      <c r="S4" s="2"/>
      <c r="T4" s="18">
        <v>6.55</v>
      </c>
      <c r="U4" s="18">
        <v>14.027142857142858</v>
      </c>
      <c r="V4" s="2"/>
      <c r="W4" s="16">
        <v>14</v>
      </c>
      <c r="X4" s="2"/>
      <c r="Y4" s="16" t="s">
        <v>529</v>
      </c>
      <c r="Z4" s="2">
        <v>100</v>
      </c>
      <c r="AA4" s="2"/>
      <c r="AC4" s="137" t="s">
        <v>37</v>
      </c>
      <c r="AD4" s="179">
        <f t="shared" si="0"/>
        <v>-0.32200000000000001</v>
      </c>
      <c r="AE4" s="18">
        <f t="shared" si="1"/>
        <v>-0.32200000000000001</v>
      </c>
      <c r="AF4" s="18">
        <f t="shared" si="2"/>
        <v>-2.6549999999999998</v>
      </c>
      <c r="AG4" s="18">
        <f t="shared" si="3"/>
        <v>4.7880000000000003</v>
      </c>
      <c r="AH4" s="18">
        <f t="shared" si="4"/>
        <v>2.67</v>
      </c>
      <c r="AI4" s="18">
        <f t="shared" si="5"/>
        <v>61</v>
      </c>
      <c r="AJ4" s="18">
        <f t="shared" si="6"/>
        <v>166</v>
      </c>
      <c r="AK4" s="18">
        <f t="shared" si="7"/>
        <v>0</v>
      </c>
      <c r="AL4" s="18">
        <f t="shared" si="8"/>
        <v>-9.2345960511996683</v>
      </c>
      <c r="AM4" s="18">
        <f t="shared" si="9"/>
        <v>5.93</v>
      </c>
      <c r="AN4" s="18">
        <f t="shared" si="10"/>
        <v>9.6257142857142846</v>
      </c>
      <c r="AO4" s="29">
        <f t="shared" si="11"/>
        <v>227</v>
      </c>
      <c r="AP4" s="18" t="str">
        <f t="shared" si="12"/>
        <v>cubic</v>
      </c>
      <c r="AQ4" s="18">
        <f t="shared" si="13"/>
        <v>900</v>
      </c>
    </row>
    <row r="5" spans="1:43" ht="12.75" x14ac:dyDescent="0.2">
      <c r="A5" s="2">
        <v>4</v>
      </c>
      <c r="B5" s="2" t="s">
        <v>520</v>
      </c>
      <c r="C5" s="2" t="s">
        <v>5</v>
      </c>
      <c r="D5" s="7">
        <v>-0.29899999999999999</v>
      </c>
      <c r="E5" s="7">
        <v>-0.29899999999999999</v>
      </c>
      <c r="F5" s="7">
        <v>-2.577</v>
      </c>
      <c r="G5" s="7">
        <v>3.2349999999999999</v>
      </c>
      <c r="H5" s="7">
        <v>2</v>
      </c>
      <c r="I5" s="29">
        <v>21</v>
      </c>
      <c r="J5" s="29">
        <v>84</v>
      </c>
      <c r="K5" s="7">
        <v>0</v>
      </c>
      <c r="L5" s="7">
        <v>-0.252</v>
      </c>
      <c r="M5" s="34"/>
      <c r="N5" s="2">
        <v>2.9529999999999998</v>
      </c>
      <c r="O5" s="2">
        <v>4</v>
      </c>
      <c r="P5" s="2">
        <v>4</v>
      </c>
      <c r="Q5" s="2">
        <v>0.80200000000000005</v>
      </c>
      <c r="R5" s="2">
        <v>2.165</v>
      </c>
      <c r="S5" s="2">
        <v>1.67</v>
      </c>
      <c r="T5" s="18">
        <v>6.82</v>
      </c>
      <c r="U5" s="18">
        <v>15.0875</v>
      </c>
      <c r="V5" s="2">
        <v>0.59499999999999997</v>
      </c>
      <c r="W5" s="16">
        <v>15</v>
      </c>
      <c r="X5" s="2">
        <v>5</v>
      </c>
      <c r="Y5" s="16" t="s">
        <v>529</v>
      </c>
      <c r="Z5" s="2">
        <v>100</v>
      </c>
      <c r="AA5" s="2"/>
      <c r="AC5" s="137" t="s">
        <v>38</v>
      </c>
      <c r="AD5" s="179">
        <f t="shared" si="0"/>
        <v>-0.32200000000000001</v>
      </c>
      <c r="AE5" s="18">
        <f t="shared" si="1"/>
        <v>-0.32200000000000001</v>
      </c>
      <c r="AF5" s="18">
        <f t="shared" si="2"/>
        <v>-2.5430000000000001</v>
      </c>
      <c r="AG5" s="18">
        <f t="shared" si="3"/>
        <v>4.8280000000000003</v>
      </c>
      <c r="AH5" s="18">
        <f t="shared" si="4"/>
        <v>2</v>
      </c>
      <c r="AI5" s="18">
        <f t="shared" si="5"/>
        <v>33</v>
      </c>
      <c r="AJ5" s="18">
        <f t="shared" si="6"/>
        <v>130</v>
      </c>
      <c r="AK5" s="18">
        <f t="shared" si="7"/>
        <v>0.59</v>
      </c>
      <c r="AL5" s="18">
        <f t="shared" si="8"/>
        <v>-2.4660000000000002</v>
      </c>
      <c r="AM5" s="18">
        <f t="shared" si="9"/>
        <v>5.14</v>
      </c>
      <c r="AN5" s="18">
        <f t="shared" si="10"/>
        <v>12.112500000000001</v>
      </c>
      <c r="AO5" s="29">
        <f t="shared" si="11"/>
        <v>216</v>
      </c>
      <c r="AP5" s="18" t="str">
        <f t="shared" si="12"/>
        <v>cubic</v>
      </c>
      <c r="AQ5" s="18">
        <f t="shared" si="13"/>
        <v>1830</v>
      </c>
    </row>
    <row r="6" spans="1:43" ht="12.75" x14ac:dyDescent="0.2">
      <c r="A6" s="2">
        <v>5</v>
      </c>
      <c r="B6" s="2" t="s">
        <v>519</v>
      </c>
      <c r="C6" s="2" t="s">
        <v>8</v>
      </c>
      <c r="D6" s="7">
        <v>-0.33800000000000002</v>
      </c>
      <c r="E6" s="7">
        <v>-0.19700000000000001</v>
      </c>
      <c r="F6" s="7">
        <v>-2.8660000000000001</v>
      </c>
      <c r="G6" s="7">
        <v>4.3929999999999998</v>
      </c>
      <c r="H6" s="7">
        <v>3</v>
      </c>
      <c r="I6" s="29">
        <v>8</v>
      </c>
      <c r="J6" s="29">
        <v>10</v>
      </c>
      <c r="K6" s="7">
        <v>3.62</v>
      </c>
      <c r="L6" s="7">
        <f>-654.796/$B$25</f>
        <v>-6.7865056744571701</v>
      </c>
      <c r="M6" s="34"/>
      <c r="N6" s="2"/>
      <c r="O6" s="2"/>
      <c r="P6" s="2"/>
      <c r="Q6" s="2"/>
      <c r="R6" s="2"/>
      <c r="S6" s="2"/>
      <c r="T6" s="18">
        <v>3.47</v>
      </c>
      <c r="U6" s="18">
        <v>18.948500000000003</v>
      </c>
      <c r="V6" s="2"/>
      <c r="W6" s="16">
        <v>14</v>
      </c>
      <c r="X6" s="2"/>
      <c r="Y6" s="16" t="s">
        <v>529</v>
      </c>
      <c r="Z6" s="2">
        <v>312</v>
      </c>
      <c r="AA6" s="2"/>
      <c r="AC6" s="137" t="s">
        <v>62</v>
      </c>
      <c r="AD6" s="179">
        <f t="shared" si="0"/>
        <v>-0.29499999999999998</v>
      </c>
      <c r="AE6" s="18">
        <f t="shared" si="1"/>
        <v>-0.29499999999999998</v>
      </c>
      <c r="AF6" s="18">
        <f t="shared" si="2"/>
        <v>-2.6720000000000002</v>
      </c>
      <c r="AG6" s="18">
        <f t="shared" si="3"/>
        <v>5.1619999999999999</v>
      </c>
      <c r="AH6" s="18">
        <f t="shared" si="4"/>
        <v>3</v>
      </c>
      <c r="AI6" s="18">
        <f t="shared" si="5"/>
        <v>79</v>
      </c>
      <c r="AJ6" s="18">
        <f t="shared" si="6"/>
        <v>178</v>
      </c>
      <c r="AK6" s="18">
        <f t="shared" si="7"/>
        <v>2.02</v>
      </c>
      <c r="AL6" s="18">
        <f t="shared" si="8"/>
        <v>-8.5422604549930039</v>
      </c>
      <c r="AM6" s="18">
        <f t="shared" si="9"/>
        <v>4.9400000000000004</v>
      </c>
      <c r="AN6" s="18">
        <f t="shared" si="10"/>
        <v>10.74225</v>
      </c>
      <c r="AO6" s="29">
        <f t="shared" si="11"/>
        <v>5</v>
      </c>
      <c r="AP6" s="18" t="str">
        <f t="shared" si="12"/>
        <v>monoclinic</v>
      </c>
      <c r="AQ6" s="18">
        <f t="shared" si="13"/>
        <v>1565</v>
      </c>
    </row>
    <row r="7" spans="1:43" ht="12.75" x14ac:dyDescent="0.2">
      <c r="A7" s="2">
        <v>6</v>
      </c>
      <c r="B7" s="2" t="s">
        <v>521</v>
      </c>
      <c r="C7" s="2" t="s">
        <v>10</v>
      </c>
      <c r="D7" s="7">
        <v>-0.33800000000000002</v>
      </c>
      <c r="E7" s="7">
        <v>-0.33800000000000002</v>
      </c>
      <c r="F7" s="7">
        <v>-3.02</v>
      </c>
      <c r="G7" s="7">
        <v>4.2869999999999999</v>
      </c>
      <c r="H7" s="7">
        <v>5</v>
      </c>
      <c r="I7" s="29">
        <v>47</v>
      </c>
      <c r="J7" s="29">
        <v>93</v>
      </c>
      <c r="K7" s="7">
        <v>1.34</v>
      </c>
      <c r="L7" s="7">
        <f>-924.9/$B$25</f>
        <v>-9.5859460019692175</v>
      </c>
      <c r="M7" s="34"/>
      <c r="N7" s="2"/>
      <c r="O7" s="2"/>
      <c r="P7" s="2"/>
      <c r="Q7" s="2"/>
      <c r="R7" s="2"/>
      <c r="S7" s="2"/>
      <c r="T7" s="18">
        <v>4.22</v>
      </c>
      <c r="U7" s="18">
        <v>12.927857142857144</v>
      </c>
      <c r="V7" s="2"/>
      <c r="W7" s="16">
        <v>92</v>
      </c>
      <c r="X7" s="2"/>
      <c r="Y7" s="16" t="s">
        <v>530</v>
      </c>
      <c r="Z7" s="2">
        <v>315</v>
      </c>
      <c r="AA7" s="2"/>
      <c r="AC7" s="137" t="s">
        <v>63</v>
      </c>
      <c r="AD7" s="179">
        <f t="shared" si="0"/>
        <v>-0.29499999999999998</v>
      </c>
      <c r="AE7" s="18">
        <f t="shared" si="1"/>
        <v>-0.29499999999999998</v>
      </c>
      <c r="AF7" s="18">
        <f t="shared" si="2"/>
        <v>-2.625</v>
      </c>
      <c r="AG7" s="18">
        <f t="shared" si="3"/>
        <v>5.1639999999999997</v>
      </c>
      <c r="AH7" s="18">
        <f t="shared" si="4"/>
        <v>2.67</v>
      </c>
      <c r="AI7" s="18">
        <f t="shared" si="5"/>
        <v>64</v>
      </c>
      <c r="AJ7" s="18">
        <f t="shared" si="6"/>
        <v>176</v>
      </c>
      <c r="AK7" s="18">
        <f t="shared" si="7"/>
        <v>0</v>
      </c>
      <c r="AL7" s="18">
        <f t="shared" si="8"/>
        <v>-11.591439083795409</v>
      </c>
      <c r="AM7" s="18">
        <f t="shared" si="9"/>
        <v>4.95</v>
      </c>
      <c r="AN7" s="18">
        <f t="shared" si="10"/>
        <v>11.095714285714285</v>
      </c>
      <c r="AO7" s="29">
        <f t="shared" si="11"/>
        <v>227</v>
      </c>
      <c r="AP7" s="18" t="str">
        <f t="shared" si="12"/>
        <v>cubic</v>
      </c>
      <c r="AQ7" s="18">
        <f t="shared" si="13"/>
        <v>1597</v>
      </c>
    </row>
    <row r="8" spans="1:43" ht="12.75" x14ac:dyDescent="0.2">
      <c r="A8" s="2">
        <v>7</v>
      </c>
      <c r="B8" s="2" t="s">
        <v>522</v>
      </c>
      <c r="C8" s="2" t="s">
        <v>11</v>
      </c>
      <c r="D8" s="7">
        <v>-0.30499999999999999</v>
      </c>
      <c r="E8" s="7">
        <v>-0.30499999999999999</v>
      </c>
      <c r="F8" s="7">
        <v>-3.0470000000000002</v>
      </c>
      <c r="G8" s="7">
        <v>3.5550000000000002</v>
      </c>
      <c r="H8" s="7">
        <v>3</v>
      </c>
      <c r="I8" s="29">
        <v>38</v>
      </c>
      <c r="J8" s="29">
        <v>81</v>
      </c>
      <c r="K8" s="7">
        <v>0.82</v>
      </c>
      <c r="L8" s="7">
        <v>-1.7999999999999999E-2</v>
      </c>
      <c r="M8" s="34"/>
      <c r="N8" s="2">
        <v>3.8159999999999998</v>
      </c>
      <c r="O8" s="2">
        <v>4</v>
      </c>
      <c r="P8" s="2">
        <v>3</v>
      </c>
      <c r="Q8" s="2">
        <v>0.877</v>
      </c>
      <c r="R8" s="2">
        <v>1.9910000000000001</v>
      </c>
      <c r="S8" s="2">
        <v>2.5779999999999998</v>
      </c>
      <c r="T8" s="18">
        <v>10.41</v>
      </c>
      <c r="U8" s="18">
        <v>14.103</v>
      </c>
      <c r="V8" s="2">
        <v>0.33100000000000002</v>
      </c>
      <c r="W8" s="16">
        <v>43</v>
      </c>
      <c r="X8" s="2">
        <v>5</v>
      </c>
      <c r="Y8" s="16" t="s">
        <v>531</v>
      </c>
      <c r="Z8" s="2">
        <v>150</v>
      </c>
      <c r="AA8" s="2"/>
      <c r="AC8" s="137" t="s">
        <v>64</v>
      </c>
      <c r="AD8" s="179">
        <f t="shared" si="0"/>
        <v>-0.29499999999999998</v>
      </c>
      <c r="AE8" s="18">
        <f t="shared" si="1"/>
        <v>-0.29499999999999998</v>
      </c>
      <c r="AF8" s="18">
        <f t="shared" si="2"/>
        <v>-2.5089999999999999</v>
      </c>
      <c r="AG8" s="18">
        <f t="shared" si="3"/>
        <v>5.1219999999999999</v>
      </c>
      <c r="AH8" s="18">
        <f t="shared" si="4"/>
        <v>2</v>
      </c>
      <c r="AI8" s="18">
        <f t="shared" si="5"/>
        <v>60</v>
      </c>
      <c r="AJ8" s="18">
        <f t="shared" si="6"/>
        <v>180</v>
      </c>
      <c r="AK8" s="18">
        <f t="shared" si="7"/>
        <v>1.27</v>
      </c>
      <c r="AL8" s="18">
        <f t="shared" si="8"/>
        <v>-2.8190910504223456</v>
      </c>
      <c r="AM8" s="18">
        <f t="shared" si="9"/>
        <v>5.59</v>
      </c>
      <c r="AN8" s="18">
        <f t="shared" si="10"/>
        <v>10.68</v>
      </c>
      <c r="AO8" s="29">
        <f t="shared" si="11"/>
        <v>12</v>
      </c>
      <c r="AP8" s="18" t="str">
        <f t="shared" si="12"/>
        <v>monoclinic</v>
      </c>
      <c r="AQ8" s="18">
        <f t="shared" si="13"/>
        <v>1377</v>
      </c>
    </row>
    <row r="9" spans="1:43" ht="12.75" x14ac:dyDescent="0.2">
      <c r="A9" s="2">
        <v>8</v>
      </c>
      <c r="B9" s="2" t="s">
        <v>523</v>
      </c>
      <c r="C9" s="2" t="s">
        <v>13</v>
      </c>
      <c r="D9" s="7">
        <v>-0.33800000000000002</v>
      </c>
      <c r="E9" s="7">
        <v>-0.33800000000000002</v>
      </c>
      <c r="F9" s="7">
        <v>-2.7909999999999999</v>
      </c>
      <c r="G9" s="7">
        <v>6.7</v>
      </c>
      <c r="H9" s="7">
        <v>3</v>
      </c>
      <c r="I9" s="29">
        <v>36</v>
      </c>
      <c r="J9" s="29">
        <v>33</v>
      </c>
      <c r="K9" s="7">
        <v>6.31</v>
      </c>
      <c r="L9" s="7">
        <f>-1273.5/$B$25</f>
        <v>-13.198942840856091</v>
      </c>
      <c r="M9" s="34"/>
      <c r="N9" s="2"/>
      <c r="O9" s="2"/>
      <c r="P9" s="2"/>
      <c r="Q9" s="2"/>
      <c r="R9" s="2"/>
      <c r="S9" s="2"/>
      <c r="T9" s="18">
        <v>2.4</v>
      </c>
      <c r="U9" s="18">
        <v>9.640666666666668</v>
      </c>
      <c r="V9" s="2"/>
      <c r="W9" s="16">
        <v>152</v>
      </c>
      <c r="X9" s="2"/>
      <c r="Y9" s="16" t="s">
        <v>527</v>
      </c>
      <c r="Z9" s="2">
        <v>450</v>
      </c>
      <c r="AA9" s="2"/>
      <c r="AC9" s="137" t="s">
        <v>70</v>
      </c>
      <c r="AD9" s="179">
        <f t="shared" si="0"/>
        <v>-0.33800000000000002</v>
      </c>
      <c r="AE9" s="18">
        <f t="shared" si="1"/>
        <v>-0.33800000000000002</v>
      </c>
      <c r="AF9" s="18">
        <f t="shared" si="2"/>
        <v>-2.8759999999999999</v>
      </c>
      <c r="AG9" s="18">
        <f t="shared" si="3"/>
        <v>5.1150000000000002</v>
      </c>
      <c r="AH9" s="18">
        <f t="shared" si="4"/>
        <v>4</v>
      </c>
      <c r="AI9" s="18">
        <f t="shared" si="5"/>
        <v>28</v>
      </c>
      <c r="AJ9" s="18">
        <f t="shared" si="6"/>
        <v>38</v>
      </c>
      <c r="AK9" s="18">
        <f t="shared" si="7"/>
        <v>3.25</v>
      </c>
      <c r="AL9" s="18">
        <f t="shared" si="8"/>
        <v>-6.0112970928123541</v>
      </c>
      <c r="AM9" s="18">
        <f t="shared" si="9"/>
        <v>4.04</v>
      </c>
      <c r="AN9" s="18">
        <f t="shared" si="10"/>
        <v>14.348888888888887</v>
      </c>
      <c r="AO9" s="29">
        <f t="shared" si="11"/>
        <v>152</v>
      </c>
      <c r="AP9" s="18" t="str">
        <f t="shared" si="12"/>
        <v>trigonal</v>
      </c>
      <c r="AQ9" s="18">
        <f t="shared" si="13"/>
        <v>1115</v>
      </c>
    </row>
    <row r="10" spans="1:43" ht="14.25" customHeight="1" x14ac:dyDescent="0.2">
      <c r="A10" s="2">
        <v>9</v>
      </c>
      <c r="B10" s="2" t="s">
        <v>285</v>
      </c>
      <c r="C10" s="2" t="s">
        <v>14</v>
      </c>
      <c r="D10" s="7">
        <v>-0.13700000000000001</v>
      </c>
      <c r="E10" s="7">
        <v>-0.13700000000000001</v>
      </c>
      <c r="F10" s="7">
        <v>-2.198</v>
      </c>
      <c r="G10" s="7">
        <v>6.1609999999999996</v>
      </c>
      <c r="H10" s="7" t="s">
        <v>304</v>
      </c>
      <c r="I10" s="29">
        <v>207</v>
      </c>
      <c r="J10" s="29">
        <v>227</v>
      </c>
      <c r="K10" s="7">
        <v>1.93</v>
      </c>
      <c r="L10" s="7">
        <f>527/$B$25</f>
        <v>5.4619889101932939</v>
      </c>
      <c r="M10" s="35" t="s">
        <v>534</v>
      </c>
      <c r="N10" s="2"/>
      <c r="O10" s="2"/>
      <c r="P10" s="2"/>
      <c r="Q10" s="2"/>
      <c r="R10" s="2"/>
      <c r="S10" s="2"/>
      <c r="T10" s="18">
        <v>2.6</v>
      </c>
      <c r="U10" s="18">
        <v>7.3892857142857142</v>
      </c>
      <c r="V10" s="2"/>
      <c r="W10" s="16">
        <v>166</v>
      </c>
      <c r="X10" s="2"/>
      <c r="Y10" s="16" t="s">
        <v>527</v>
      </c>
      <c r="Z10" s="2">
        <v>2000</v>
      </c>
      <c r="AA10" s="2"/>
      <c r="AC10" s="137" t="s">
        <v>80</v>
      </c>
      <c r="AD10" s="179">
        <f t="shared" si="0"/>
        <v>-0.33800000000000002</v>
      </c>
      <c r="AE10" s="18">
        <f t="shared" si="1"/>
        <v>-0.28999999999999998</v>
      </c>
      <c r="AF10" s="18">
        <f t="shared" si="2"/>
        <v>-2.6429999999999998</v>
      </c>
      <c r="AG10" s="18">
        <f t="shared" si="3"/>
        <v>4.5860000000000003</v>
      </c>
      <c r="AH10" s="18">
        <f t="shared" si="4"/>
        <v>3</v>
      </c>
      <c r="AI10" s="18">
        <f t="shared" si="5"/>
        <v>58</v>
      </c>
      <c r="AJ10" s="18">
        <f t="shared" si="6"/>
        <v>145</v>
      </c>
      <c r="AK10" s="18">
        <f t="shared" si="7"/>
        <v>0.93</v>
      </c>
      <c r="AL10" s="18">
        <f t="shared" si="8"/>
        <v>-9.5952738767684096</v>
      </c>
      <c r="AM10" s="18">
        <f t="shared" si="9"/>
        <v>6.75</v>
      </c>
      <c r="AN10" s="18">
        <f t="shared" si="10"/>
        <v>13.6585</v>
      </c>
      <c r="AO10" s="29">
        <f t="shared" si="11"/>
        <v>206</v>
      </c>
      <c r="AP10" s="18" t="str">
        <f t="shared" si="12"/>
        <v>cubic</v>
      </c>
      <c r="AQ10" s="18">
        <f t="shared" si="13"/>
        <v>1912</v>
      </c>
    </row>
    <row r="11" spans="1:43" ht="12.75" x14ac:dyDescent="0.2">
      <c r="A11" s="2">
        <v>10</v>
      </c>
      <c r="B11" s="2" t="s">
        <v>286</v>
      </c>
      <c r="C11" s="2" t="s">
        <v>16</v>
      </c>
      <c r="D11" s="7">
        <v>-0.33800000000000002</v>
      </c>
      <c r="E11" s="7">
        <v>-0.11899999999999999</v>
      </c>
      <c r="F11" s="7">
        <v>-1.75</v>
      </c>
      <c r="G11" s="7">
        <v>5.0880000000000001</v>
      </c>
      <c r="H11" s="7">
        <v>2</v>
      </c>
      <c r="I11" s="29">
        <v>38</v>
      </c>
      <c r="J11" s="29">
        <v>68</v>
      </c>
      <c r="K11" s="7">
        <v>2.09</v>
      </c>
      <c r="L11" s="7">
        <f>-548/$B$25</f>
        <v>-5.679639322174431</v>
      </c>
      <c r="M11" s="34"/>
      <c r="N11" s="2"/>
      <c r="O11" s="2"/>
      <c r="P11" s="2"/>
      <c r="Q11" s="2"/>
      <c r="R11" s="2"/>
      <c r="S11" s="2"/>
      <c r="T11" s="18">
        <v>5.75</v>
      </c>
      <c r="U11" s="18">
        <v>22.125</v>
      </c>
      <c r="V11" s="2"/>
      <c r="W11" s="16">
        <v>225</v>
      </c>
      <c r="X11" s="2"/>
      <c r="Y11" s="16" t="s">
        <v>528</v>
      </c>
      <c r="Z11" s="2">
        <v>1972</v>
      </c>
      <c r="AA11" s="2"/>
      <c r="AC11" s="137" t="s">
        <v>98</v>
      </c>
      <c r="AD11" s="179">
        <f t="shared" si="0"/>
        <v>-0.26700000000000002</v>
      </c>
      <c r="AE11" s="18">
        <f t="shared" si="1"/>
        <v>-0.26700000000000002</v>
      </c>
      <c r="AF11" s="18">
        <f t="shared" si="2"/>
        <v>-2.5009999999999999</v>
      </c>
      <c r="AG11" s="18">
        <f t="shared" si="3"/>
        <v>4.76</v>
      </c>
      <c r="AH11" s="18">
        <f t="shared" si="4"/>
        <v>3</v>
      </c>
      <c r="AI11" s="18">
        <f t="shared" si="5"/>
        <v>51</v>
      </c>
      <c r="AJ11" s="18">
        <f t="shared" si="6"/>
        <v>150</v>
      </c>
      <c r="AK11" s="18">
        <f t="shared" si="7"/>
        <v>0.11</v>
      </c>
      <c r="AL11" s="18">
        <f t="shared" si="8"/>
        <v>-9.9393688138052543</v>
      </c>
      <c r="AM11" s="18">
        <f t="shared" si="9"/>
        <v>4.72</v>
      </c>
      <c r="AN11" s="18">
        <f t="shared" si="10"/>
        <v>11.105500000000001</v>
      </c>
      <c r="AO11" s="29">
        <f t="shared" si="11"/>
        <v>61</v>
      </c>
      <c r="AP11" s="18" t="str">
        <f t="shared" si="12"/>
        <v>orthorhombic</v>
      </c>
      <c r="AQ11" s="18">
        <f t="shared" si="13"/>
        <v>1080</v>
      </c>
    </row>
    <row r="12" spans="1:43" ht="12.75" x14ac:dyDescent="0.2">
      <c r="A12" s="2">
        <v>11</v>
      </c>
      <c r="B12" s="2" t="s">
        <v>311</v>
      </c>
      <c r="C12" s="2" t="s">
        <v>18</v>
      </c>
      <c r="D12" s="7">
        <v>-0.33800000000000002</v>
      </c>
      <c r="E12" s="7">
        <v>-0.33800000000000002</v>
      </c>
      <c r="F12" s="7">
        <v>-2.1920000000000002</v>
      </c>
      <c r="G12" s="7">
        <v>4.54</v>
      </c>
      <c r="H12" s="7">
        <v>4</v>
      </c>
      <c r="I12" s="29">
        <v>35</v>
      </c>
      <c r="J12" s="29">
        <v>67</v>
      </c>
      <c r="K12" s="7">
        <v>2.2400000000000002</v>
      </c>
      <c r="L12" s="7">
        <f>-634.294/$B$25</f>
        <v>-6.5740166865315848</v>
      </c>
      <c r="M12" s="34"/>
      <c r="N12" s="2"/>
      <c r="O12" s="2"/>
      <c r="P12" s="2"/>
      <c r="Q12" s="2"/>
      <c r="R12" s="2"/>
      <c r="S12" s="2"/>
      <c r="T12" s="18">
        <v>5.39</v>
      </c>
      <c r="U12" s="18">
        <v>17.383333333333333</v>
      </c>
      <c r="V12" s="2"/>
      <c r="W12" s="16">
        <v>139</v>
      </c>
      <c r="X12" s="2"/>
      <c r="Y12" s="16" t="s">
        <v>530</v>
      </c>
      <c r="Z12" s="2">
        <v>450</v>
      </c>
      <c r="AA12" s="2"/>
      <c r="AC12" s="137" t="s">
        <v>99</v>
      </c>
      <c r="AD12" s="179">
        <f t="shared" si="0"/>
        <v>-0.26700000000000002</v>
      </c>
      <c r="AE12" s="18">
        <f t="shared" si="1"/>
        <v>-0.26700000000000002</v>
      </c>
      <c r="AF12" s="18">
        <f t="shared" si="2"/>
        <v>-2.444</v>
      </c>
      <c r="AG12" s="18">
        <f t="shared" si="3"/>
        <v>4.8040000000000003</v>
      </c>
      <c r="AH12" s="18">
        <f t="shared" si="4"/>
        <v>2.67</v>
      </c>
      <c r="AI12" s="18">
        <f t="shared" si="5"/>
        <v>47</v>
      </c>
      <c r="AJ12" s="18">
        <f t="shared" si="6"/>
        <v>127</v>
      </c>
      <c r="AK12" s="18">
        <f t="shared" si="7"/>
        <v>0.7</v>
      </c>
      <c r="AL12" s="18">
        <f t="shared" si="8"/>
        <v>-14.383582940353422</v>
      </c>
      <c r="AM12" s="18">
        <f t="shared" si="9"/>
        <v>4.59</v>
      </c>
      <c r="AN12" s="18">
        <f t="shared" si="10"/>
        <v>11.818571428571429</v>
      </c>
      <c r="AO12" s="29">
        <f t="shared" si="11"/>
        <v>141</v>
      </c>
      <c r="AP12" s="18" t="str">
        <f t="shared" si="12"/>
        <v>tetragonal</v>
      </c>
      <c r="AQ12" s="18">
        <f t="shared" si="13"/>
        <v>1567</v>
      </c>
    </row>
    <row r="13" spans="1:43" ht="12.75" x14ac:dyDescent="0.2">
      <c r="A13" s="2">
        <v>12</v>
      </c>
      <c r="B13" s="2" t="s">
        <v>287</v>
      </c>
      <c r="C13" s="2" t="s">
        <v>19</v>
      </c>
      <c r="D13" s="7">
        <v>-0.33800000000000002</v>
      </c>
      <c r="E13" s="7">
        <v>-0.20599999999999999</v>
      </c>
      <c r="F13" s="7">
        <v>-2.3239999999999998</v>
      </c>
      <c r="G13" s="7">
        <v>6.085</v>
      </c>
      <c r="H13" s="7">
        <v>2</v>
      </c>
      <c r="I13" s="29">
        <v>156</v>
      </c>
      <c r="J13" s="29">
        <v>208</v>
      </c>
      <c r="K13" s="7">
        <v>7.46</v>
      </c>
      <c r="L13" s="7">
        <f>-609.4/$B$25</f>
        <v>-6.3160076695859457</v>
      </c>
      <c r="M13" s="34"/>
      <c r="N13" s="2"/>
      <c r="O13" s="2"/>
      <c r="P13" s="2"/>
      <c r="Q13" s="2"/>
      <c r="R13" s="2"/>
      <c r="S13" s="2"/>
      <c r="T13" s="18">
        <v>2.97</v>
      </c>
      <c r="U13" s="18">
        <v>7.0025000000000004</v>
      </c>
      <c r="V13" s="2"/>
      <c r="W13" s="16">
        <v>186</v>
      </c>
      <c r="X13" s="2"/>
      <c r="Y13" s="16" t="s">
        <v>532</v>
      </c>
      <c r="Z13" s="2">
        <v>2577</v>
      </c>
      <c r="AA13" s="2"/>
      <c r="AC13" s="137" t="s">
        <v>100</v>
      </c>
      <c r="AD13" s="179">
        <f t="shared" si="0"/>
        <v>-0.26700000000000002</v>
      </c>
      <c r="AE13" s="18">
        <f t="shared" si="1"/>
        <v>-0.26700000000000002</v>
      </c>
      <c r="AF13" s="18">
        <f t="shared" si="2"/>
        <v>-2.3090000000000002</v>
      </c>
      <c r="AG13" s="18">
        <f t="shared" si="3"/>
        <v>4.7640000000000002</v>
      </c>
      <c r="AH13" s="18">
        <f t="shared" si="4"/>
        <v>2</v>
      </c>
      <c r="AI13" s="18">
        <f t="shared" si="5"/>
        <v>65</v>
      </c>
      <c r="AJ13" s="18">
        <f t="shared" si="6"/>
        <v>143</v>
      </c>
      <c r="AK13" s="18">
        <f t="shared" si="7"/>
        <v>1.95</v>
      </c>
      <c r="AL13" s="18">
        <f t="shared" si="8"/>
        <v>-3.9923304140539981</v>
      </c>
      <c r="AM13" s="18">
        <f t="shared" si="9"/>
        <v>5.19</v>
      </c>
      <c r="AN13" s="18">
        <f t="shared" si="10"/>
        <v>11.3475</v>
      </c>
      <c r="AO13" s="29">
        <f t="shared" si="11"/>
        <v>225</v>
      </c>
      <c r="AP13" s="18" t="str">
        <f t="shared" si="12"/>
        <v>cubic</v>
      </c>
      <c r="AQ13" s="18">
        <f t="shared" si="13"/>
        <v>1839</v>
      </c>
    </row>
    <row r="14" spans="1:43" ht="12.75" x14ac:dyDescent="0.2">
      <c r="A14" s="2">
        <v>13</v>
      </c>
      <c r="B14" s="2" t="s">
        <v>289</v>
      </c>
      <c r="C14" s="2" t="s">
        <v>21</v>
      </c>
      <c r="D14" s="7">
        <v>-0.33800000000000002</v>
      </c>
      <c r="E14" s="7">
        <v>-0.18</v>
      </c>
      <c r="F14" s="7">
        <v>-2.78</v>
      </c>
      <c r="G14" s="7">
        <v>4.09</v>
      </c>
      <c r="H14" s="7">
        <v>3</v>
      </c>
      <c r="I14" s="29">
        <v>30</v>
      </c>
      <c r="J14" s="29">
        <v>54</v>
      </c>
      <c r="K14" s="7">
        <v>2.1800000000000002</v>
      </c>
      <c r="L14" s="7">
        <f>-573.9/$B$25</f>
        <v>-5.9480748302844999</v>
      </c>
      <c r="M14" s="34"/>
      <c r="N14" s="2"/>
      <c r="O14" s="2"/>
      <c r="P14" s="2"/>
      <c r="Q14" s="2"/>
      <c r="R14" s="2"/>
      <c r="S14" s="2"/>
      <c r="T14" s="18">
        <v>9.0399999999999991</v>
      </c>
      <c r="U14" s="18">
        <v>17.11</v>
      </c>
      <c r="V14" s="2"/>
      <c r="W14" s="16">
        <v>14</v>
      </c>
      <c r="X14" s="2"/>
      <c r="Y14" s="16" t="s">
        <v>529</v>
      </c>
      <c r="Z14" s="2">
        <v>817</v>
      </c>
      <c r="AA14" s="2"/>
      <c r="AC14" s="137" t="s">
        <v>104</v>
      </c>
      <c r="AD14" s="179">
        <f t="shared" si="0"/>
        <v>-0.153</v>
      </c>
      <c r="AE14" s="18">
        <f t="shared" si="1"/>
        <v>-0.153</v>
      </c>
      <c r="AF14" s="18">
        <f t="shared" si="2"/>
        <v>-2.9460000000000002</v>
      </c>
      <c r="AG14" s="18">
        <f t="shared" si="3"/>
        <v>6.149</v>
      </c>
      <c r="AH14" s="18">
        <f t="shared" si="4"/>
        <v>4</v>
      </c>
      <c r="AI14" s="18">
        <f t="shared" si="5"/>
        <v>89</v>
      </c>
      <c r="AJ14" s="18">
        <f t="shared" si="6"/>
        <v>219</v>
      </c>
      <c r="AK14" s="18">
        <f t="shared" si="7"/>
        <v>0</v>
      </c>
      <c r="AL14" s="18">
        <f t="shared" si="8"/>
        <v>-6.1035394102710265</v>
      </c>
      <c r="AM14" s="18">
        <f t="shared" si="9"/>
        <v>5.8</v>
      </c>
      <c r="AN14" s="18">
        <f t="shared" si="10"/>
        <v>12.204166666666666</v>
      </c>
      <c r="AO14" s="29">
        <f t="shared" si="11"/>
        <v>136</v>
      </c>
      <c r="AP14" s="18" t="str">
        <f t="shared" si="12"/>
        <v>tetragonal</v>
      </c>
      <c r="AQ14" s="18">
        <f t="shared" si="13"/>
        <v>1100</v>
      </c>
    </row>
    <row r="15" spans="1:43" ht="12.75" x14ac:dyDescent="0.2">
      <c r="A15" s="2">
        <v>14</v>
      </c>
      <c r="B15" s="2" t="s">
        <v>288</v>
      </c>
      <c r="C15" s="2" t="s">
        <v>23</v>
      </c>
      <c r="D15" s="7">
        <v>-0.33800000000000002</v>
      </c>
      <c r="E15" s="7">
        <v>-0.33800000000000002</v>
      </c>
      <c r="F15" s="7">
        <v>-2.835</v>
      </c>
      <c r="G15" s="7">
        <v>4.0339999999999998</v>
      </c>
      <c r="H15" s="7">
        <v>3.5</v>
      </c>
      <c r="I15" s="29">
        <v>0</v>
      </c>
      <c r="J15" s="29">
        <v>0</v>
      </c>
      <c r="K15" s="7">
        <v>0.89</v>
      </c>
      <c r="L15" s="7" t="s">
        <v>304</v>
      </c>
      <c r="M15" s="34"/>
      <c r="N15" s="2"/>
      <c r="O15" s="2"/>
      <c r="P15" s="2"/>
      <c r="Q15" s="2"/>
      <c r="R15" s="2"/>
      <c r="S15" s="2"/>
      <c r="T15" s="18">
        <v>8.91</v>
      </c>
      <c r="U15" s="18">
        <v>16.063181818181818</v>
      </c>
      <c r="V15" s="2"/>
      <c r="W15" s="16">
        <v>2</v>
      </c>
      <c r="X15" s="2"/>
      <c r="Y15" s="16" t="s">
        <v>533</v>
      </c>
      <c r="Z15" s="2" t="s">
        <v>304</v>
      </c>
      <c r="AA15" s="2"/>
      <c r="AC15" s="137" t="s">
        <v>106</v>
      </c>
      <c r="AD15" s="179">
        <f t="shared" si="0"/>
        <v>-0.33800000000000002</v>
      </c>
      <c r="AE15" s="18">
        <f t="shared" si="1"/>
        <v>-0.153</v>
      </c>
      <c r="AF15" s="18">
        <f t="shared" si="2"/>
        <v>-3.0619999999999998</v>
      </c>
      <c r="AG15" s="18">
        <f t="shared" si="3"/>
        <v>5.6840000000000002</v>
      </c>
      <c r="AH15" s="18">
        <f t="shared" si="4"/>
        <v>6</v>
      </c>
      <c r="AI15" s="18">
        <f t="shared" si="5"/>
        <v>36</v>
      </c>
      <c r="AJ15" s="18">
        <f t="shared" si="6"/>
        <v>33</v>
      </c>
      <c r="AK15" s="18">
        <f t="shared" si="7"/>
        <v>1.37</v>
      </c>
      <c r="AL15" s="18">
        <f t="shared" si="8"/>
        <v>-7.7224439031973882</v>
      </c>
      <c r="AM15" s="18">
        <f t="shared" si="9"/>
        <v>4.12</v>
      </c>
      <c r="AN15" s="18">
        <f t="shared" si="10"/>
        <v>14.508749999999999</v>
      </c>
      <c r="AO15" s="29">
        <f t="shared" si="11"/>
        <v>14</v>
      </c>
      <c r="AP15" s="18" t="str">
        <f t="shared" si="12"/>
        <v>monoclinic</v>
      </c>
      <c r="AQ15" s="18">
        <f t="shared" si="13"/>
        <v>801</v>
      </c>
    </row>
    <row r="16" spans="1:43" ht="12.75" x14ac:dyDescent="0.2">
      <c r="A16" s="2">
        <v>15</v>
      </c>
      <c r="B16" s="2" t="s">
        <v>290</v>
      </c>
      <c r="C16" s="2" t="s">
        <v>24</v>
      </c>
      <c r="D16" s="7">
        <v>-0.33800000000000002</v>
      </c>
      <c r="E16" s="7">
        <v>-0.33800000000000002</v>
      </c>
      <c r="F16" s="7">
        <v>-2.8809999999999998</v>
      </c>
      <c r="G16" s="7">
        <v>3.9380000000000002</v>
      </c>
      <c r="H16" s="7">
        <v>4</v>
      </c>
      <c r="I16" s="29">
        <v>24</v>
      </c>
      <c r="J16" s="29">
        <v>41</v>
      </c>
      <c r="K16" s="7">
        <v>1.02</v>
      </c>
      <c r="L16" s="7" t="s">
        <v>304</v>
      </c>
      <c r="M16" s="34"/>
      <c r="N16" s="2"/>
      <c r="O16" s="2"/>
      <c r="P16" s="2"/>
      <c r="Q16" s="2"/>
      <c r="R16" s="2"/>
      <c r="S16" s="2"/>
      <c r="T16" s="18">
        <v>8.9499999999999993</v>
      </c>
      <c r="U16" s="18">
        <v>14.909999999999998</v>
      </c>
      <c r="V16" s="2"/>
      <c r="W16" s="16">
        <v>15</v>
      </c>
      <c r="X16" s="2"/>
      <c r="Y16" s="16" t="s">
        <v>529</v>
      </c>
      <c r="Z16" s="2">
        <v>305</v>
      </c>
      <c r="AA16" s="2"/>
      <c r="AC16" s="137" t="s">
        <v>160</v>
      </c>
      <c r="AD16" s="179">
        <f t="shared" si="0"/>
        <v>-0.33800000000000002</v>
      </c>
      <c r="AE16" s="18">
        <f t="shared" si="1"/>
        <v>-0.186</v>
      </c>
      <c r="AF16" s="18">
        <f t="shared" si="2"/>
        <v>-2.7970000000000002</v>
      </c>
      <c r="AG16" s="18">
        <f t="shared" si="3"/>
        <v>4.431</v>
      </c>
      <c r="AH16" s="18">
        <f t="shared" si="4"/>
        <v>3</v>
      </c>
      <c r="AI16" s="18">
        <f t="shared" si="5"/>
        <v>20</v>
      </c>
      <c r="AJ16" s="18">
        <f t="shared" si="6"/>
        <v>19</v>
      </c>
      <c r="AK16" s="18">
        <f t="shared" si="7"/>
        <v>2.2200000000000002</v>
      </c>
      <c r="AL16" s="18">
        <f t="shared" si="8"/>
        <v>-7.4654609524796598</v>
      </c>
      <c r="AM16" s="18">
        <f t="shared" si="9"/>
        <v>5.36</v>
      </c>
      <c r="AN16" s="18">
        <f t="shared" si="10"/>
        <v>18.076499999999999</v>
      </c>
      <c r="AO16" s="29">
        <f t="shared" si="11"/>
        <v>56</v>
      </c>
      <c r="AP16" s="18" t="str">
        <f t="shared" si="12"/>
        <v>orthorhombic</v>
      </c>
      <c r="AQ16" s="18">
        <f t="shared" si="13"/>
        <v>656</v>
      </c>
    </row>
    <row r="17" spans="1:43" ht="12.75" x14ac:dyDescent="0.2">
      <c r="A17" s="2">
        <v>16</v>
      </c>
      <c r="B17" s="2" t="s">
        <v>291</v>
      </c>
      <c r="C17" s="2" t="s">
        <v>25</v>
      </c>
      <c r="D17" s="7">
        <v>-0.33800000000000002</v>
      </c>
      <c r="E17" s="7">
        <v>-0.14099999999999999</v>
      </c>
      <c r="F17" s="7">
        <v>-1.855</v>
      </c>
      <c r="G17" s="7">
        <v>5.5449999999999999</v>
      </c>
      <c r="H17" s="7">
        <v>2</v>
      </c>
      <c r="I17" s="29">
        <v>74</v>
      </c>
      <c r="J17" s="29">
        <v>105</v>
      </c>
      <c r="K17" s="7">
        <v>3.64</v>
      </c>
      <c r="L17" s="7">
        <f>-634.9/$B$25</f>
        <v>-6.5802974555630405</v>
      </c>
      <c r="M17" s="34"/>
      <c r="N17" s="2"/>
      <c r="O17" s="2"/>
      <c r="P17" s="2"/>
      <c r="Q17" s="2"/>
      <c r="R17" s="2"/>
      <c r="S17" s="2"/>
      <c r="T17" s="18">
        <v>3.29</v>
      </c>
      <c r="U17" s="18">
        <v>14.164999999999999</v>
      </c>
      <c r="V17" s="2"/>
      <c r="W17" s="16">
        <v>225</v>
      </c>
      <c r="X17" s="2"/>
      <c r="Y17" s="16" t="s">
        <v>528</v>
      </c>
      <c r="Z17" s="2">
        <v>2898</v>
      </c>
      <c r="AA17" s="2"/>
      <c r="AC17" s="137" t="s">
        <v>163</v>
      </c>
      <c r="AD17" s="179">
        <f t="shared" si="0"/>
        <v>-0.33800000000000002</v>
      </c>
      <c r="AE17" s="18">
        <f t="shared" si="1"/>
        <v>-0.33800000000000002</v>
      </c>
      <c r="AF17" s="18">
        <f t="shared" si="2"/>
        <v>-2.895</v>
      </c>
      <c r="AG17" s="18">
        <f t="shared" si="3"/>
        <v>4.5090000000000003</v>
      </c>
      <c r="AH17" s="18">
        <f t="shared" si="4"/>
        <v>4</v>
      </c>
      <c r="AI17" s="18">
        <f t="shared" si="5"/>
        <v>55</v>
      </c>
      <c r="AJ17" s="18">
        <f t="shared" si="6"/>
        <v>96</v>
      </c>
      <c r="AK17" s="18">
        <f t="shared" si="7"/>
        <v>1.89</v>
      </c>
      <c r="AL17" s="18">
        <f t="shared" si="8"/>
        <v>-9.4057107322381714</v>
      </c>
      <c r="AM17" s="18">
        <f t="shared" si="9"/>
        <v>6.26</v>
      </c>
      <c r="AN17" s="18">
        <f t="shared" si="10"/>
        <v>13.59375</v>
      </c>
      <c r="AO17" s="29">
        <f t="shared" si="11"/>
        <v>33</v>
      </c>
      <c r="AP17" s="18" t="str">
        <f t="shared" si="12"/>
        <v>orthorhombic</v>
      </c>
      <c r="AQ17" s="18">
        <f t="shared" si="13"/>
        <v>930</v>
      </c>
    </row>
    <row r="18" spans="1:43" ht="12.75" x14ac:dyDescent="0.2">
      <c r="A18" s="2">
        <v>17</v>
      </c>
      <c r="B18" s="2" t="s">
        <v>524</v>
      </c>
      <c r="C18" s="2" t="s">
        <v>27</v>
      </c>
      <c r="D18" s="7">
        <v>-0.33800000000000002</v>
      </c>
      <c r="E18" s="7">
        <v>-0.20399999999999999</v>
      </c>
      <c r="F18" s="7">
        <v>-2.411</v>
      </c>
      <c r="G18" s="7">
        <v>3.266</v>
      </c>
      <c r="H18" s="7">
        <v>2</v>
      </c>
      <c r="I18" s="29">
        <v>45</v>
      </c>
      <c r="J18" s="29">
        <v>126</v>
      </c>
      <c r="K18" s="7">
        <v>0</v>
      </c>
      <c r="L18" s="7">
        <f>-258.4/$B$25</f>
        <v>-2.6781364979012281</v>
      </c>
      <c r="M18" s="34"/>
      <c r="N18" s="2"/>
      <c r="O18" s="2"/>
      <c r="P18" s="2"/>
      <c r="Q18" s="2"/>
      <c r="R18" s="2"/>
      <c r="S18" s="2"/>
      <c r="T18" s="18">
        <v>7.79</v>
      </c>
      <c r="U18" s="18">
        <v>13.685</v>
      </c>
      <c r="V18" s="2"/>
      <c r="W18" s="16">
        <v>225</v>
      </c>
      <c r="X18" s="2"/>
      <c r="Y18" s="16" t="s">
        <v>528</v>
      </c>
      <c r="Z18" s="2">
        <v>1430</v>
      </c>
      <c r="AA18" s="2"/>
      <c r="AC18" s="137" t="s">
        <v>173</v>
      </c>
      <c r="AD18" s="179">
        <f t="shared" si="0"/>
        <v>-0.33800000000000002</v>
      </c>
      <c r="AE18" s="18">
        <f t="shared" si="1"/>
        <v>-0.33800000000000002</v>
      </c>
      <c r="AF18" s="18">
        <f t="shared" si="2"/>
        <v>-2.6640000000000001</v>
      </c>
      <c r="AG18" s="18">
        <f t="shared" si="3"/>
        <v>4.6260000000000003</v>
      </c>
      <c r="AH18" s="18">
        <f t="shared" si="4"/>
        <v>2.4</v>
      </c>
      <c r="AI18" s="18">
        <f t="shared" si="5"/>
        <v>28</v>
      </c>
      <c r="AJ18" s="18">
        <f t="shared" si="6"/>
        <v>79</v>
      </c>
      <c r="AK18" s="18">
        <f t="shared" si="7"/>
        <v>1.76</v>
      </c>
      <c r="AL18" s="18" t="str">
        <f t="shared" si="8"/>
        <v>-</v>
      </c>
      <c r="AM18" s="18">
        <f t="shared" si="9"/>
        <v>5.7</v>
      </c>
      <c r="AN18" s="18">
        <f t="shared" si="10"/>
        <v>18.272727272727273</v>
      </c>
      <c r="AO18" s="29">
        <f t="shared" si="11"/>
        <v>14</v>
      </c>
      <c r="AP18" s="18" t="str">
        <f t="shared" si="12"/>
        <v>monoclinic</v>
      </c>
      <c r="AQ18" s="18" t="str">
        <f t="shared" si="13"/>
        <v>-</v>
      </c>
    </row>
    <row r="19" spans="1:43" ht="12.75" x14ac:dyDescent="0.2">
      <c r="A19" s="2">
        <v>18</v>
      </c>
      <c r="B19" s="2" t="s">
        <v>292</v>
      </c>
      <c r="C19" s="2" t="s">
        <v>29</v>
      </c>
      <c r="D19" s="7">
        <v>-0.33700000000000002</v>
      </c>
      <c r="E19" s="7">
        <v>-0.33700000000000002</v>
      </c>
      <c r="F19" s="7">
        <v>-2.31</v>
      </c>
      <c r="G19" s="7">
        <v>7.1710000000000003</v>
      </c>
      <c r="H19" s="7">
        <v>3.6360000000000001</v>
      </c>
      <c r="I19" s="29">
        <v>79</v>
      </c>
      <c r="J19" s="29">
        <v>180</v>
      </c>
      <c r="K19" s="7">
        <v>0</v>
      </c>
      <c r="L19" s="7" t="s">
        <v>304</v>
      </c>
      <c r="M19" s="34"/>
      <c r="N19" s="2"/>
      <c r="O19" s="2"/>
      <c r="P19" s="2"/>
      <c r="Q19" s="2"/>
      <c r="R19" s="2"/>
      <c r="S19" s="2"/>
      <c r="T19" s="18">
        <v>6.69</v>
      </c>
      <c r="U19" s="18">
        <v>14.896774193548387</v>
      </c>
      <c r="V19" s="2"/>
      <c r="W19" s="16">
        <v>2</v>
      </c>
      <c r="X19" s="2"/>
      <c r="Y19" s="16" t="s">
        <v>533</v>
      </c>
      <c r="Z19" s="2" t="s">
        <v>304</v>
      </c>
      <c r="AA19" s="2"/>
      <c r="AC19" s="137" t="s">
        <v>176</v>
      </c>
      <c r="AD19" s="179">
        <f t="shared" si="0"/>
        <v>-0.33800000000000002</v>
      </c>
      <c r="AE19" s="18">
        <f t="shared" si="1"/>
        <v>-0.33800000000000002</v>
      </c>
      <c r="AF19" s="18">
        <f t="shared" si="2"/>
        <v>-2.8519999999999999</v>
      </c>
      <c r="AG19" s="18">
        <f t="shared" si="3"/>
        <v>4.9089999999999998</v>
      </c>
      <c r="AH19" s="18">
        <f t="shared" si="4"/>
        <v>4</v>
      </c>
      <c r="AI19" s="18">
        <f t="shared" si="5"/>
        <v>87</v>
      </c>
      <c r="AJ19" s="18">
        <f t="shared" si="6"/>
        <v>172</v>
      </c>
      <c r="AK19" s="18">
        <f t="shared" si="7"/>
        <v>0.65</v>
      </c>
      <c r="AL19" s="18">
        <f t="shared" si="8"/>
        <v>-5.9859999999999998</v>
      </c>
      <c r="AM19" s="18">
        <f t="shared" si="9"/>
        <v>6.61</v>
      </c>
      <c r="AN19" s="18">
        <f t="shared" si="10"/>
        <v>12.621666666666668</v>
      </c>
      <c r="AO19" s="29">
        <f t="shared" si="11"/>
        <v>136</v>
      </c>
      <c r="AP19" s="18" t="str">
        <f t="shared" si="12"/>
        <v>tetragonal</v>
      </c>
      <c r="AQ19" s="18">
        <f t="shared" si="13"/>
        <v>1630</v>
      </c>
    </row>
    <row r="20" spans="1:43" ht="12.75" x14ac:dyDescent="0.2">
      <c r="A20" s="2">
        <v>19</v>
      </c>
      <c r="B20" s="2" t="s">
        <v>307</v>
      </c>
      <c r="C20" s="2" t="s">
        <v>35</v>
      </c>
      <c r="D20" s="7">
        <v>-0.33700000000000002</v>
      </c>
      <c r="E20" s="7">
        <v>-0.33700000000000002</v>
      </c>
      <c r="F20" s="7">
        <v>-2.331</v>
      </c>
      <c r="G20" s="7">
        <v>7.1550000000000002</v>
      </c>
      <c r="H20" s="7">
        <v>3.7646999999999999</v>
      </c>
      <c r="I20" s="29">
        <v>82</v>
      </c>
      <c r="J20" s="29">
        <v>184</v>
      </c>
      <c r="K20" s="7">
        <v>0</v>
      </c>
      <c r="L20" s="7" t="s">
        <v>304</v>
      </c>
      <c r="M20" s="34"/>
      <c r="N20" s="2"/>
      <c r="O20" s="2"/>
      <c r="P20" s="2"/>
      <c r="Q20" s="2"/>
      <c r="R20" s="2"/>
      <c r="S20" s="2"/>
      <c r="T20" s="18">
        <v>6.78</v>
      </c>
      <c r="U20" s="18">
        <v>14.471632653061224</v>
      </c>
      <c r="V20" s="2"/>
      <c r="W20" s="16">
        <v>2</v>
      </c>
      <c r="X20" s="2"/>
      <c r="Y20" s="16" t="s">
        <v>533</v>
      </c>
      <c r="Z20" s="2" t="s">
        <v>304</v>
      </c>
      <c r="AA20" s="2"/>
      <c r="AC20" s="137" t="s">
        <v>174</v>
      </c>
      <c r="AD20" s="179">
        <f>IF(VLOOKUP($AC20,$C$2:$Z$154,2,FALSE)="","n/a",VLOOKUP($AC20,$C$2:$Z$154,2,FALSE))</f>
        <v>-0.33800000000000002</v>
      </c>
      <c r="AE20" s="18">
        <f>IF(VLOOKUP($AC20,$C$2:$Z$154,3,FALSE)="","n/a",VLOOKUP($AC20,$C$2:$Z$154,3,FALSE))</f>
        <v>-0.14399999999999999</v>
      </c>
      <c r="AF20" s="18">
        <f>IF(VLOOKUP($AC20,$C$2:$Z$154,4,FALSE)="","n/a",VLOOKUP($AC20,$C$2:$Z$154,4,FALSE))</f>
        <v>-2.597</v>
      </c>
      <c r="AG20" s="18">
        <f>IF(VLOOKUP($AC20,$C$2:$Z$154,5,FALSE)="","n/a",VLOOKUP($AC20,$C$2:$Z$154,5,FALSE))</f>
        <v>4.5179999999999998</v>
      </c>
      <c r="AH20" s="18">
        <f>IF(VLOOKUP($AC20,$C$2:$Z$154,6,FALSE)="","n/a",VLOOKUP($AC20,$C$2:$Z$154,6,FALSE))</f>
        <v>2</v>
      </c>
      <c r="AI20" s="18">
        <f>IF(VLOOKUP($AC20,$C$2:$Z$154,7,FALSE)="","n/a",VLOOKUP($AC20,$C$2:$Z$154,7,FALSE))</f>
        <v>20</v>
      </c>
      <c r="AJ20" s="18">
        <f>IF(VLOOKUP($AC20,$C$2:$Z$154,8,FALSE)="","n/a",VLOOKUP($AC20,$C$2:$Z$154,8,FALSE))</f>
        <v>32</v>
      </c>
      <c r="AK20" s="18">
        <f>IF(VLOOKUP($AC20,$C$2:$Z$154,9,FALSE)="","n/a",VLOOKUP($AC20,$C$2:$Z$154,9,FALSE))</f>
        <v>0.41</v>
      </c>
      <c r="AL20" s="18">
        <f>IF(VLOOKUP($AC20,$C$2:$Z$154,10,FALSE)="","n/a",VLOOKUP($AC20,$C$2:$Z$154,10,FALSE))</f>
        <v>-2.9092605068145305</v>
      </c>
      <c r="AM20" s="18">
        <f>IF(VLOOKUP($AC20,$C$2:$Z$154,18,FALSE)="","n/a",VLOOKUP($AC20,$C$2:$Z$154,18,FALSE))</f>
        <v>5.94</v>
      </c>
      <c r="AN20" s="18">
        <f>IF(VLOOKUP($AC20,$C$2:$Z$154,19,FALSE)="","n/a",VLOOKUP($AC20,$C$2:$Z$154,19,FALSE))</f>
        <v>18.822500000000002</v>
      </c>
      <c r="AO20" s="29">
        <f>IF(VLOOKUP($AC20,$C$2:$Z$154,21,FALSE)="","n/a",VLOOKUP($AC20,$C$2:$Z$154,21,FALSE))</f>
        <v>129</v>
      </c>
      <c r="AP20" s="18" t="str">
        <f>IF(VLOOKUP($AC20,$C$2:$Z$154,23,FALSE)="","n/a",VLOOKUP($AC20,$C$2:$Z$154,23,FALSE))</f>
        <v>tetragonal</v>
      </c>
      <c r="AQ20" s="18">
        <f>IF(VLOOKUP($AC20,$C$2:$Z$154,24,FALSE)="","n/a",VLOOKUP($AC20,$C$2:$Z$154,24,FALSE))</f>
        <v>1080</v>
      </c>
    </row>
    <row r="21" spans="1:43" ht="12.75" x14ac:dyDescent="0.2">
      <c r="A21" s="2">
        <v>20</v>
      </c>
      <c r="B21" s="2" t="s">
        <v>308</v>
      </c>
      <c r="C21" s="2" t="s">
        <v>31</v>
      </c>
      <c r="D21" s="7">
        <v>-0.33700000000000002</v>
      </c>
      <c r="E21" s="7">
        <v>-0.33700000000000002</v>
      </c>
      <c r="F21" s="7">
        <v>-2.1960000000000002</v>
      </c>
      <c r="G21" s="7">
        <v>7.069</v>
      </c>
      <c r="H21" s="7">
        <v>3</v>
      </c>
      <c r="I21" s="29">
        <v>65</v>
      </c>
      <c r="J21" s="29">
        <v>157</v>
      </c>
      <c r="K21" s="7">
        <v>0</v>
      </c>
      <c r="L21" s="7">
        <f>-1796.2/$B$25</f>
        <v>-18.616365238119915</v>
      </c>
      <c r="M21" s="34"/>
      <c r="N21" s="2"/>
      <c r="O21" s="2"/>
      <c r="P21" s="2"/>
      <c r="Q21" s="2"/>
      <c r="R21" s="2"/>
      <c r="S21" s="2"/>
      <c r="T21" s="18">
        <v>6.37</v>
      </c>
      <c r="U21" s="18">
        <v>17.121500000000001</v>
      </c>
      <c r="V21" s="2"/>
      <c r="W21" s="16">
        <v>206</v>
      </c>
      <c r="X21" s="2"/>
      <c r="Y21" s="16" t="s">
        <v>528</v>
      </c>
      <c r="Z21" s="2">
        <v>2210</v>
      </c>
      <c r="AA21" s="2"/>
      <c r="AC21" s="137" t="s">
        <v>188</v>
      </c>
      <c r="AD21" s="179">
        <f>IF(VLOOKUP($AC21,$C$2:$Z$154,2,FALSE)="","n/a",VLOOKUP($AC21,$C$2:$Z$154,2,FALSE))</f>
        <v>-0.33800000000000002</v>
      </c>
      <c r="AE21" s="18">
        <f>IF(VLOOKUP($AC21,$C$2:$Z$154,3,FALSE)="","n/a",VLOOKUP($AC21,$C$2:$Z$154,3,FALSE))</f>
        <v>-0.22700000000000001</v>
      </c>
      <c r="AF21" s="18">
        <f>IF(VLOOKUP($AC21,$C$2:$Z$154,4,FALSE)="","n/a",VLOOKUP($AC21,$C$2:$Z$154,4,FALSE))</f>
        <v>-2.9180000000000001</v>
      </c>
      <c r="AG21" s="18">
        <f>IF(VLOOKUP($AC21,$C$2:$Z$154,5,FALSE)="","n/a",VLOOKUP($AC21,$C$2:$Z$154,5,FALSE))</f>
        <v>3.9769999999999999</v>
      </c>
      <c r="AH21" s="18">
        <f>IF(VLOOKUP($AC21,$C$2:$Z$154,6,FALSE)="","n/a",VLOOKUP($AC21,$C$2:$Z$154,6,FALSE))</f>
        <v>4</v>
      </c>
      <c r="AI21" s="18">
        <f>IF(VLOOKUP($AC21,$C$2:$Z$154,7,FALSE)="","n/a",VLOOKUP($AC21,$C$2:$Z$154,7,FALSE))</f>
        <v>17</v>
      </c>
      <c r="AJ21" s="18">
        <f>IF(VLOOKUP($AC21,$C$2:$Z$154,8,FALSE)="","n/a",VLOOKUP($AC21,$C$2:$Z$154,8,FALSE))</f>
        <v>23</v>
      </c>
      <c r="AK21" s="18">
        <f>IF(VLOOKUP($AC21,$C$2:$Z$154,9,FALSE)="","n/a",VLOOKUP($AC21,$C$2:$Z$154,9,FALSE))</f>
        <v>2.23</v>
      </c>
      <c r="AL21" s="18">
        <f>IF(VLOOKUP($AC21,$C$2:$Z$154,10,FALSE)="","n/a",VLOOKUP($AC21,$C$2:$Z$154,10,FALSE))</f>
        <v>-3.3435249002435614</v>
      </c>
      <c r="AM21" s="18">
        <f>IF(VLOOKUP($AC21,$C$2:$Z$154,18,FALSE)="","n/a",VLOOKUP($AC21,$C$2:$Z$154,18,FALSE))</f>
        <v>5.36</v>
      </c>
      <c r="AN21" s="18">
        <f>IF(VLOOKUP($AC21,$C$2:$Z$154,19,FALSE)="","n/a",VLOOKUP($AC21,$C$2:$Z$154,19,FALSE))</f>
        <v>16.472916666666666</v>
      </c>
      <c r="AO21" s="29">
        <f>IF(VLOOKUP($AC21,$C$2:$Z$154,21,FALSE)="","n/a",VLOOKUP($AC21,$C$2:$Z$154,21,FALSE))</f>
        <v>61</v>
      </c>
      <c r="AP21" s="18" t="str">
        <f>IF(VLOOKUP($AC21,$C$2:$Z$154,23,FALSE)="","n/a",VLOOKUP($AC21,$C$2:$Z$154,23,FALSE))</f>
        <v>orthorhombic</v>
      </c>
      <c r="AQ21" s="18">
        <f>IF(VLOOKUP($AC21,$C$2:$Z$154,24,FALSE)="","n/a",VLOOKUP($AC21,$C$2:$Z$154,24,FALSE))</f>
        <v>733</v>
      </c>
    </row>
    <row r="22" spans="1:43" ht="12.75" x14ac:dyDescent="0.2">
      <c r="A22" s="2">
        <v>21</v>
      </c>
      <c r="B22" s="2" t="s">
        <v>525</v>
      </c>
      <c r="C22" s="2" t="s">
        <v>30</v>
      </c>
      <c r="D22" s="7">
        <v>-0.33700000000000002</v>
      </c>
      <c r="E22" s="7">
        <v>-0.33700000000000002</v>
      </c>
      <c r="F22" s="7">
        <v>-2.3039999999999998</v>
      </c>
      <c r="G22" s="7">
        <v>7.1710000000000003</v>
      </c>
      <c r="H22" s="7">
        <v>3.6</v>
      </c>
      <c r="I22" s="29">
        <v>78</v>
      </c>
      <c r="J22" s="29">
        <v>179</v>
      </c>
      <c r="K22" s="7">
        <v>0</v>
      </c>
      <c r="L22" s="7" t="s">
        <v>304</v>
      </c>
      <c r="M22" s="34"/>
      <c r="N22" s="2"/>
      <c r="O22" s="2"/>
      <c r="P22" s="2"/>
      <c r="Q22" s="2"/>
      <c r="R22" s="2"/>
      <c r="S22" s="2"/>
      <c r="T22" s="18">
        <v>6.66</v>
      </c>
      <c r="U22" s="18">
        <v>15.032500000000001</v>
      </c>
      <c r="V22" s="2"/>
      <c r="W22" s="16">
        <v>2</v>
      </c>
      <c r="X22" s="2"/>
      <c r="Y22" s="16" t="s">
        <v>533</v>
      </c>
      <c r="Z22" s="2" t="s">
        <v>304</v>
      </c>
      <c r="AA22" s="2"/>
      <c r="AC22" s="137" t="s">
        <v>213</v>
      </c>
      <c r="AD22" s="179">
        <f t="shared" ref="AD22" si="14">IF(VLOOKUP($AC22,$C$2:$Z$154,2,FALSE)="","n/a",VLOOKUP($AC22,$C$2:$Z$154,2,FALSE))</f>
        <v>-0.33800000000000002</v>
      </c>
      <c r="AE22" s="18">
        <f t="shared" ref="AE22" si="15">IF(VLOOKUP($AC22,$C$2:$Z$154,3,FALSE)="","n/a",VLOOKUP($AC22,$C$2:$Z$154,3,FALSE))</f>
        <v>-0.20499999999999999</v>
      </c>
      <c r="AF22" s="18">
        <f t="shared" ref="AF22" si="16">IF(VLOOKUP($AC22,$C$2:$Z$154,4,FALSE)="","n/a",VLOOKUP($AC22,$C$2:$Z$154,4,FALSE))</f>
        <v>-2.7789999999999999</v>
      </c>
      <c r="AG22" s="18">
        <f t="shared" ref="AG22" si="17">IF(VLOOKUP($AC22,$C$2:$Z$154,5,FALSE)="","n/a",VLOOKUP($AC22,$C$2:$Z$154,5,FALSE))</f>
        <v>5.68</v>
      </c>
      <c r="AH22" s="18">
        <f t="shared" ref="AH22" si="18">IF(VLOOKUP($AC22,$C$2:$Z$154,6,FALSE)="","n/a",VLOOKUP($AC22,$C$2:$Z$154,6,FALSE))</f>
        <v>5</v>
      </c>
      <c r="AI22" s="18">
        <f t="shared" ref="AI22" si="19">IF(VLOOKUP($AC22,$C$2:$Z$154,7,FALSE)="","n/a",VLOOKUP($AC22,$C$2:$Z$154,7,FALSE))</f>
        <v>47</v>
      </c>
      <c r="AJ22" s="18">
        <f t="shared" ref="AJ22" si="20">IF(VLOOKUP($AC22,$C$2:$Z$154,8,FALSE)="","n/a",VLOOKUP($AC22,$C$2:$Z$154,8,FALSE))</f>
        <v>105</v>
      </c>
      <c r="AK22" s="18">
        <f t="shared" ref="AK22" si="21">IF(VLOOKUP($AC22,$C$2:$Z$154,9,FALSE)="","n/a",VLOOKUP($AC22,$C$2:$Z$154,9,FALSE))</f>
        <v>2.16</v>
      </c>
      <c r="AL22" s="18">
        <f t="shared" ref="AL22" si="22">IF(VLOOKUP($AC22,$C$2:$Z$154,10,FALSE)="","n/a",VLOOKUP($AC22,$C$2:$Z$154,10,FALSE))</f>
        <v>-16.070891848473856</v>
      </c>
      <c r="AM22" s="18">
        <f t="shared" ref="AM22" si="23">IF(VLOOKUP($AC22,$C$2:$Z$154,18,FALSE)="","n/a",VLOOKUP($AC22,$C$2:$Z$154,18,FALSE))</f>
        <v>3.15</v>
      </c>
      <c r="AN22" s="18">
        <f t="shared" ref="AN22" si="24">IF(VLOOKUP($AC22,$C$2:$Z$154,19,FALSE)="","n/a",VLOOKUP($AC22,$C$2:$Z$154,19,FALSE))</f>
        <v>13.677857142857144</v>
      </c>
      <c r="AO22" s="29">
        <f t="shared" ref="AO22" si="25">IF(VLOOKUP($AC22,$C$2:$Z$154,21,FALSE)="","n/a",VLOOKUP($AC22,$C$2:$Z$154,21,FALSE))</f>
        <v>59</v>
      </c>
      <c r="AP22" s="18" t="str">
        <f t="shared" ref="AP22" si="26">IF(VLOOKUP($AC22,$C$2:$Z$154,23,FALSE)="","n/a",VLOOKUP($AC22,$C$2:$Z$154,23,FALSE))</f>
        <v>orthorhombic</v>
      </c>
      <c r="AQ22" s="18">
        <f t="shared" ref="AQ22" si="27">IF(VLOOKUP($AC22,$C$2:$Z$154,24,FALSE)="","n/a",VLOOKUP($AC22,$C$2:$Z$154,24,FALSE))</f>
        <v>670</v>
      </c>
    </row>
    <row r="23" spans="1:43" ht="12.75" x14ac:dyDescent="0.2">
      <c r="A23" s="2">
        <v>22</v>
      </c>
      <c r="B23" s="2" t="s">
        <v>526</v>
      </c>
      <c r="C23" s="2" t="s">
        <v>33</v>
      </c>
      <c r="D23" s="7">
        <v>-0.33700000000000002</v>
      </c>
      <c r="E23" s="7">
        <v>-0.33700000000000002</v>
      </c>
      <c r="F23" s="7">
        <v>-2.2749999999999999</v>
      </c>
      <c r="G23" s="7">
        <v>7.1660000000000004</v>
      </c>
      <c r="H23" s="7">
        <v>3.4285700000000001</v>
      </c>
      <c r="I23" s="29">
        <v>74</v>
      </c>
      <c r="J23" s="29">
        <v>172</v>
      </c>
      <c r="K23" s="7">
        <v>0</v>
      </c>
      <c r="L23" s="7" t="s">
        <v>304</v>
      </c>
      <c r="M23" s="34"/>
      <c r="N23" s="2"/>
      <c r="O23" s="2"/>
      <c r="P23" s="2"/>
      <c r="Q23" s="2"/>
      <c r="R23" s="2"/>
      <c r="S23" s="2"/>
      <c r="T23" s="18">
        <v>6.53</v>
      </c>
      <c r="U23" s="18">
        <v>15.685263157894736</v>
      </c>
      <c r="V23" s="2"/>
      <c r="W23" s="16">
        <v>148</v>
      </c>
      <c r="X23" s="2"/>
      <c r="Y23" s="16" t="s">
        <v>527</v>
      </c>
      <c r="Z23" s="2" t="s">
        <v>304</v>
      </c>
      <c r="AA23" s="2"/>
      <c r="AC23" s="137" t="s">
        <v>214</v>
      </c>
      <c r="AD23" s="179">
        <f>IF(VLOOKUP($AC23,$C$2:$Z$154,2,FALSE)="","n/a",VLOOKUP($AC23,$C$2:$Z$154,2,FALSE))</f>
        <v>-0.20499999999999999</v>
      </c>
      <c r="AE23" s="18">
        <f>IF(VLOOKUP($AC23,$C$2:$Z$154,3,FALSE)="","n/a",VLOOKUP($AC23,$C$2:$Z$154,3,FALSE))</f>
        <v>-0.20499999999999999</v>
      </c>
      <c r="AF23" s="18">
        <f>IF(VLOOKUP($AC23,$C$2:$Z$154,4,FALSE)="","n/a",VLOOKUP($AC23,$C$2:$Z$154,4,FALSE))</f>
        <v>-2.6</v>
      </c>
      <c r="AG23" s="18">
        <f>IF(VLOOKUP($AC23,$C$2:$Z$154,5,FALSE)="","n/a",VLOOKUP($AC23,$C$2:$Z$154,5,FALSE))</f>
        <v>6.14</v>
      </c>
      <c r="AH23" s="18">
        <f>IF(VLOOKUP($AC23,$C$2:$Z$154,6,FALSE)="","n/a",VLOOKUP($AC23,$C$2:$Z$154,6,FALSE))</f>
        <v>3.33</v>
      </c>
      <c r="AI23" s="18">
        <f>IF(VLOOKUP($AC23,$C$2:$Z$154,7,FALSE)="","n/a",VLOOKUP($AC23,$C$2:$Z$154,7,FALSE))</f>
        <v>85</v>
      </c>
      <c r="AJ23" s="18">
        <f>IF(VLOOKUP($AC23,$C$2:$Z$154,8,FALSE)="","n/a",VLOOKUP($AC23,$C$2:$Z$154,8,FALSE))</f>
        <v>185</v>
      </c>
      <c r="AK23" s="18">
        <f>IF(VLOOKUP($AC23,$C$2:$Z$154,9,FALSE)="","n/a",VLOOKUP($AC23,$C$2:$Z$154,9,FALSE))</f>
        <v>0.95</v>
      </c>
      <c r="AL23" s="18">
        <f>IF(VLOOKUP($AC23,$C$2:$Z$154,10,FALSE)="","n/a",VLOOKUP($AC23,$C$2:$Z$154,10,FALSE))</f>
        <v>-20.034202207597037</v>
      </c>
      <c r="AM23" s="18">
        <f>IF(VLOOKUP($AC23,$C$2:$Z$154,18,FALSE)="","n/a",VLOOKUP($AC23,$C$2:$Z$154,18,FALSE))</f>
        <v>4.4400000000000004</v>
      </c>
      <c r="AN23" s="18">
        <f>IF(VLOOKUP($AC23,$C$2:$Z$154,19,FALSE)="","n/a",VLOOKUP($AC23,$C$2:$Z$154,19,FALSE))</f>
        <v>10.874375000000001</v>
      </c>
      <c r="AO23" s="29">
        <f>IF(VLOOKUP($AC23,$C$2:$Z$154,21,FALSE)="","n/a",VLOOKUP($AC23,$C$2:$Z$154,21,FALSE))</f>
        <v>13</v>
      </c>
      <c r="AP23" s="18" t="str">
        <f>IF(VLOOKUP($AC23,$C$2:$Z$154,23,FALSE)="","n/a",VLOOKUP($AC23,$C$2:$Z$154,23,FALSE))</f>
        <v>monoclinic</v>
      </c>
      <c r="AQ23" s="18" t="str">
        <f>IF(VLOOKUP($AC23,$C$2:$Z$154,24,FALSE)="","n/a",VLOOKUP($AC23,$C$2:$Z$154,24,FALSE))</f>
        <v>-</v>
      </c>
    </row>
    <row r="24" spans="1:43" ht="12.75" x14ac:dyDescent="0.2">
      <c r="B24" s="2" t="s">
        <v>495</v>
      </c>
      <c r="C24" s="2" t="s">
        <v>32</v>
      </c>
      <c r="D24" s="7">
        <v>-0.33700000000000002</v>
      </c>
      <c r="E24" s="7">
        <v>-0.33700000000000002</v>
      </c>
      <c r="F24" s="7">
        <v>-1.9630000000000001</v>
      </c>
      <c r="G24" s="7">
        <v>6.7060000000000004</v>
      </c>
      <c r="H24" s="7">
        <v>2</v>
      </c>
      <c r="I24" s="29">
        <v>85</v>
      </c>
      <c r="J24" s="29">
        <v>126</v>
      </c>
      <c r="K24" s="7">
        <v>0</v>
      </c>
      <c r="L24" s="7" t="s">
        <v>304</v>
      </c>
      <c r="M24" s="34"/>
      <c r="N24" s="2"/>
      <c r="O24" s="2"/>
      <c r="P24" s="2"/>
      <c r="Q24" s="2"/>
      <c r="R24" s="2"/>
      <c r="S24" s="2"/>
      <c r="T24" s="18">
        <v>8.3699999999999992</v>
      </c>
      <c r="U24" s="18">
        <v>15.49</v>
      </c>
      <c r="V24" s="2"/>
      <c r="W24" s="16">
        <v>225</v>
      </c>
      <c r="X24" s="2"/>
      <c r="Y24" s="16" t="s">
        <v>528</v>
      </c>
      <c r="Z24" s="2" t="s">
        <v>304</v>
      </c>
      <c r="AA24" s="2"/>
      <c r="AC24" s="137" t="s">
        <v>215</v>
      </c>
      <c r="AD24" s="179">
        <f t="shared" ref="AD24:AD25" si="28">IF(VLOOKUP($AC24,$C$2:$Z$154,2,FALSE)="","n/a",VLOOKUP($AC24,$C$2:$Z$154,2,FALSE))</f>
        <v>-0.20499999999999999</v>
      </c>
      <c r="AE24" s="18">
        <f t="shared" ref="AE24:AE25" si="29">IF(VLOOKUP($AC24,$C$2:$Z$154,3,FALSE)="","n/a",VLOOKUP($AC24,$C$2:$Z$154,3,FALSE))</f>
        <v>-0.20499999999999999</v>
      </c>
      <c r="AF24" s="18">
        <f t="shared" ref="AF24:AF25" si="30">IF(VLOOKUP($AC24,$C$2:$Z$154,4,FALSE)="","n/a",VLOOKUP($AC24,$C$2:$Z$154,4,FALSE))</f>
        <v>-2.7490000000000001</v>
      </c>
      <c r="AG24" s="18">
        <f t="shared" ref="AG24:AG25" si="31">IF(VLOOKUP($AC24,$C$2:$Z$154,5,FALSE)="","n/a",VLOOKUP($AC24,$C$2:$Z$154,5,FALSE))</f>
        <v>5.7919999999999998</v>
      </c>
      <c r="AH24" s="18">
        <f t="shared" ref="AH24:AH25" si="32">IF(VLOOKUP($AC24,$C$2:$Z$154,6,FALSE)="","n/a",VLOOKUP($AC24,$C$2:$Z$154,6,FALSE))</f>
        <v>4.67</v>
      </c>
      <c r="AI24" s="18">
        <f t="shared" ref="AI24:AI25" si="33">IF(VLOOKUP($AC24,$C$2:$Z$154,7,FALSE)="","n/a",VLOOKUP($AC24,$C$2:$Z$154,7,FALSE))</f>
        <v>53</v>
      </c>
      <c r="AJ24" s="18">
        <f t="shared" ref="AJ24:AJ25" si="34">IF(VLOOKUP($AC24,$C$2:$Z$154,8,FALSE)="","n/a",VLOOKUP($AC24,$C$2:$Z$154,8,FALSE))</f>
        <v>118</v>
      </c>
      <c r="AK24" s="18">
        <f t="shared" ref="AK24:AK25" si="35">IF(VLOOKUP($AC24,$C$2:$Z$154,9,FALSE)="","n/a",VLOOKUP($AC24,$C$2:$Z$154,9,FALSE))</f>
        <v>1</v>
      </c>
      <c r="AL24" s="18" t="str">
        <f t="shared" ref="AL24:AL25" si="36">IF(VLOOKUP($AC24,$C$2:$Z$154,10,FALSE)="","n/a",VLOOKUP($AC24,$C$2:$Z$154,10,FALSE))</f>
        <v>-</v>
      </c>
      <c r="AM24" s="18">
        <f t="shared" ref="AM24:AM25" si="37">IF(VLOOKUP($AC24,$C$2:$Z$154,18,FALSE)="","n/a",VLOOKUP($AC24,$C$2:$Z$154,18,FALSE))</f>
        <v>3.42</v>
      </c>
      <c r="AN24" s="18">
        <f t="shared" ref="AN24:AN25" si="38">IF(VLOOKUP($AC24,$C$2:$Z$154,19,FALSE)="","n/a",VLOOKUP($AC24,$C$2:$Z$154,19,FALSE))</f>
        <v>12.875</v>
      </c>
      <c r="AO24" s="29">
        <f t="shared" ref="AO24:AO25" si="39">IF(VLOOKUP($AC24,$C$2:$Z$154,21,FALSE)="","n/a",VLOOKUP($AC24,$C$2:$Z$154,21,FALSE))</f>
        <v>15</v>
      </c>
      <c r="AP24" s="18" t="str">
        <f t="shared" ref="AP24:AP25" si="40">IF(VLOOKUP($AC24,$C$2:$Z$154,23,FALSE)="","n/a",VLOOKUP($AC24,$C$2:$Z$154,23,FALSE))</f>
        <v>monoclinic</v>
      </c>
      <c r="AQ24" s="18" t="str">
        <f t="shared" ref="AQ24:AQ25" si="41">IF(VLOOKUP($AC24,$C$2:$Z$154,24,FALSE)="","n/a",VLOOKUP($AC24,$C$2:$Z$154,24,FALSE))</f>
        <v>-</v>
      </c>
    </row>
    <row r="25" spans="1:43" ht="12.75" x14ac:dyDescent="0.2">
      <c r="B25" s="2">
        <v>96.484999999999999</v>
      </c>
      <c r="C25" s="2" t="s">
        <v>36</v>
      </c>
      <c r="D25" s="7">
        <v>-0.33800000000000002</v>
      </c>
      <c r="E25" s="7">
        <v>-0.33700000000000002</v>
      </c>
      <c r="F25" s="7">
        <v>-2.367</v>
      </c>
      <c r="G25" s="7">
        <v>7.1230000000000002</v>
      </c>
      <c r="H25" s="7">
        <v>4</v>
      </c>
      <c r="I25" s="29">
        <v>72</v>
      </c>
      <c r="J25" s="29">
        <v>177</v>
      </c>
      <c r="K25" s="7">
        <v>1.87</v>
      </c>
      <c r="L25" s="7">
        <v>-11.284000000000001</v>
      </c>
      <c r="M25" s="34"/>
      <c r="N25" s="2">
        <v>4.3840000000000003</v>
      </c>
      <c r="O25" s="2">
        <v>8</v>
      </c>
      <c r="P25" s="2">
        <v>4</v>
      </c>
      <c r="Q25" s="2">
        <v>0.99299999999999999</v>
      </c>
      <c r="R25" s="2">
        <v>2.3730000000000002</v>
      </c>
      <c r="S25" s="2">
        <v>3.145</v>
      </c>
      <c r="T25" s="18">
        <v>6.99</v>
      </c>
      <c r="U25" s="18">
        <v>13.62</v>
      </c>
      <c r="V25" s="2">
        <v>0.68799999999999994</v>
      </c>
      <c r="W25" s="16">
        <v>225</v>
      </c>
      <c r="X25" s="2">
        <v>1</v>
      </c>
      <c r="Y25" s="16" t="s">
        <v>528</v>
      </c>
      <c r="Z25" s="2">
        <v>2400</v>
      </c>
      <c r="AA25" s="2"/>
      <c r="AC25" s="137" t="s">
        <v>218</v>
      </c>
      <c r="AD25" s="179">
        <f t="shared" si="28"/>
        <v>-0.221</v>
      </c>
      <c r="AE25" s="18">
        <f t="shared" si="29"/>
        <v>-0.221</v>
      </c>
      <c r="AF25" s="18">
        <f t="shared" si="30"/>
        <v>-3.0339999999999998</v>
      </c>
      <c r="AG25" s="18">
        <f t="shared" si="31"/>
        <v>6.7329999999999997</v>
      </c>
      <c r="AH25" s="18">
        <f t="shared" si="32"/>
        <v>4</v>
      </c>
      <c r="AI25" s="18">
        <f t="shared" si="33"/>
        <v>75</v>
      </c>
      <c r="AJ25" s="18">
        <f t="shared" si="34"/>
        <v>229</v>
      </c>
      <c r="AK25" s="18">
        <f t="shared" si="35"/>
        <v>1.25</v>
      </c>
      <c r="AL25" s="18">
        <f t="shared" si="36"/>
        <v>-6.1118308545369748</v>
      </c>
      <c r="AM25" s="18">
        <f t="shared" si="37"/>
        <v>9.6</v>
      </c>
      <c r="AN25" s="18">
        <f t="shared" si="38"/>
        <v>12.442500000000001</v>
      </c>
      <c r="AO25" s="29">
        <f t="shared" si="39"/>
        <v>136</v>
      </c>
      <c r="AP25" s="18" t="str">
        <f t="shared" si="40"/>
        <v>tetragonal</v>
      </c>
      <c r="AQ25" s="18">
        <f t="shared" si="41"/>
        <v>1500</v>
      </c>
    </row>
    <row r="26" spans="1:43" ht="12.75" x14ac:dyDescent="0.2">
      <c r="B26" s="2"/>
      <c r="C26" s="2" t="s">
        <v>37</v>
      </c>
      <c r="D26" s="7">
        <v>-0.32200000000000001</v>
      </c>
      <c r="E26" s="7">
        <v>-0.32200000000000001</v>
      </c>
      <c r="F26" s="7">
        <v>-2.6549999999999998</v>
      </c>
      <c r="G26" s="7">
        <v>4.7880000000000003</v>
      </c>
      <c r="H26" s="7">
        <v>2.67</v>
      </c>
      <c r="I26" s="29">
        <v>61</v>
      </c>
      <c r="J26" s="29">
        <v>166</v>
      </c>
      <c r="K26" s="7">
        <v>0</v>
      </c>
      <c r="L26" s="7">
        <f>-891/$B$25</f>
        <v>-9.2345960511996683</v>
      </c>
      <c r="M26" s="34"/>
      <c r="N26" s="2"/>
      <c r="O26" s="2"/>
      <c r="P26" s="2"/>
      <c r="Q26" s="2"/>
      <c r="R26" s="2"/>
      <c r="S26" s="2"/>
      <c r="T26" s="18">
        <v>5.93</v>
      </c>
      <c r="U26" s="18">
        <v>9.6257142857142846</v>
      </c>
      <c r="V26" s="2"/>
      <c r="W26" s="16">
        <v>227</v>
      </c>
      <c r="X26" s="2"/>
      <c r="Y26" s="16" t="s">
        <v>528</v>
      </c>
      <c r="Z26" s="2">
        <v>900</v>
      </c>
      <c r="AA26" s="2"/>
      <c r="AC26" s="137" t="s">
        <v>220</v>
      </c>
      <c r="AD26" s="179">
        <f>IF(VLOOKUP($AC26,$C$2:$Z$154,2,FALSE)="","n/a",VLOOKUP($AC26,$C$2:$Z$154,2,FALSE))</f>
        <v>-0.33800000000000002</v>
      </c>
      <c r="AE26" s="18">
        <f>IF(VLOOKUP($AC26,$C$2:$Z$154,3,FALSE)="","n/a",VLOOKUP($AC26,$C$2:$Z$154,3,FALSE))</f>
        <v>-0.221</v>
      </c>
      <c r="AF26" s="18">
        <f>IF(VLOOKUP($AC26,$C$2:$Z$154,4,FALSE)="","n/a",VLOOKUP($AC26,$C$2:$Z$154,4,FALSE))</f>
        <v>-3.1309999999999998</v>
      </c>
      <c r="AG26" s="18">
        <f>IF(VLOOKUP($AC26,$C$2:$Z$154,5,FALSE)="","n/a",VLOOKUP($AC26,$C$2:$Z$154,5,FALSE))</f>
        <v>6.3639999999999999</v>
      </c>
      <c r="AH26" s="18">
        <f>IF(VLOOKUP($AC26,$C$2:$Z$154,6,FALSE)="","n/a",VLOOKUP($AC26,$C$2:$Z$154,6,FALSE))</f>
        <v>6</v>
      </c>
      <c r="AI26" s="18">
        <f>IF(VLOOKUP($AC26,$C$2:$Z$154,7,FALSE)="","n/a",VLOOKUP($AC26,$C$2:$Z$154,7,FALSE))</f>
        <v>125</v>
      </c>
      <c r="AJ26" s="18">
        <f>IF(VLOOKUP($AC26,$C$2:$Z$154,8,FALSE)="","n/a",VLOOKUP($AC26,$C$2:$Z$154,8,FALSE))</f>
        <v>223</v>
      </c>
      <c r="AK26" s="18">
        <f>IF(VLOOKUP($AC26,$C$2:$Z$154,9,FALSE)="","n/a",VLOOKUP($AC26,$C$2:$Z$154,9,FALSE))</f>
        <v>1.33</v>
      </c>
      <c r="AL26" s="18">
        <f>IF(VLOOKUP($AC26,$C$2:$Z$154,10,FALSE)="","n/a",VLOOKUP($AC26,$C$2:$Z$154,10,FALSE))</f>
        <v>-8.7360729647095408</v>
      </c>
      <c r="AM26" s="18">
        <f>IF(VLOOKUP($AC26,$C$2:$Z$154,18,FALSE)="","n/a",VLOOKUP($AC26,$C$2:$Z$154,18,FALSE))</f>
        <v>6.69</v>
      </c>
      <c r="AN26" s="18">
        <f>IF(VLOOKUP($AC26,$C$2:$Z$154,19,FALSE)="","n/a",VLOOKUP($AC26,$C$2:$Z$154,19,FALSE))</f>
        <v>14.393750000000001</v>
      </c>
      <c r="AO26" s="29">
        <f>IF(VLOOKUP($AC26,$C$2:$Z$154,21,FALSE)="","n/a",VLOOKUP($AC26,$C$2:$Z$154,21,FALSE))</f>
        <v>60</v>
      </c>
      <c r="AP26" s="18" t="str">
        <f>IF(VLOOKUP($AC26,$C$2:$Z$154,23,FALSE)="","n/a",VLOOKUP($AC26,$C$2:$Z$154,23,FALSE))</f>
        <v>orthorhombic</v>
      </c>
      <c r="AQ26" s="18">
        <f>IF(VLOOKUP($AC26,$C$2:$Z$154,24,FALSE)="","n/a",VLOOKUP($AC26,$C$2:$Z$154,24,FALSE))</f>
        <v>1472</v>
      </c>
    </row>
    <row r="27" spans="1:43" x14ac:dyDescent="0.25">
      <c r="B27" s="2"/>
      <c r="C27" s="2" t="s">
        <v>38</v>
      </c>
      <c r="D27" s="7">
        <v>-0.32200000000000001</v>
      </c>
      <c r="E27" s="7">
        <v>-0.32200000000000001</v>
      </c>
      <c r="F27" s="7">
        <v>-2.5430000000000001</v>
      </c>
      <c r="G27" s="7">
        <v>4.8280000000000003</v>
      </c>
      <c r="H27" s="7">
        <v>2</v>
      </c>
      <c r="I27" s="29">
        <v>33</v>
      </c>
      <c r="J27" s="29">
        <v>130</v>
      </c>
      <c r="K27" s="7">
        <v>0.59</v>
      </c>
      <c r="L27" s="7">
        <v>-2.4660000000000002</v>
      </c>
      <c r="M27" s="34"/>
      <c r="N27" s="2">
        <v>4.4020000000000001</v>
      </c>
      <c r="O27" s="2">
        <v>6</v>
      </c>
      <c r="P27" s="2">
        <v>6</v>
      </c>
      <c r="Q27" s="2">
        <v>0.91300000000000003</v>
      </c>
      <c r="R27" s="2">
        <v>2.125</v>
      </c>
      <c r="S27" s="2">
        <v>1.8280000000000001</v>
      </c>
      <c r="T27" s="18">
        <v>5.14</v>
      </c>
      <c r="U27" s="18">
        <v>12.112500000000001</v>
      </c>
      <c r="V27" s="2">
        <v>0.57899999999999996</v>
      </c>
      <c r="W27" s="16">
        <v>216</v>
      </c>
      <c r="X27" s="2">
        <v>1</v>
      </c>
      <c r="Y27" s="16" t="s">
        <v>528</v>
      </c>
      <c r="Z27" s="2">
        <v>1830</v>
      </c>
      <c r="AA27" s="2"/>
      <c r="AD27" s="179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1:43" x14ac:dyDescent="0.25">
      <c r="B28" s="2"/>
      <c r="C28" s="2" t="s">
        <v>40</v>
      </c>
      <c r="D28" s="7">
        <v>-0.32200000000000001</v>
      </c>
      <c r="E28" s="7">
        <v>-0.32200000000000001</v>
      </c>
      <c r="F28" s="7">
        <v>-2.8119999999999998</v>
      </c>
      <c r="G28" s="7">
        <v>4.3390000000000004</v>
      </c>
      <c r="H28" s="7">
        <v>4</v>
      </c>
      <c r="I28" s="29">
        <v>35</v>
      </c>
      <c r="J28" s="29">
        <v>83</v>
      </c>
      <c r="K28" s="7">
        <v>0.51</v>
      </c>
      <c r="L28" s="7" t="s">
        <v>304</v>
      </c>
      <c r="M28" s="34"/>
      <c r="N28" s="2"/>
      <c r="O28" s="2"/>
      <c r="P28" s="2"/>
      <c r="Q28" s="2"/>
      <c r="R28" s="2"/>
      <c r="S28" s="2"/>
      <c r="T28" s="18">
        <v>4.66</v>
      </c>
      <c r="U28" s="18">
        <v>10.803333333333333</v>
      </c>
      <c r="V28" s="2"/>
      <c r="W28" s="16">
        <v>87</v>
      </c>
      <c r="X28" s="2"/>
      <c r="Y28" s="16" t="s">
        <v>530</v>
      </c>
      <c r="Z28" s="2" t="s">
        <v>304</v>
      </c>
      <c r="AA28" s="2"/>
      <c r="AD28" s="18"/>
      <c r="AE28" s="2"/>
      <c r="AF28" s="26"/>
      <c r="AG28" s="2"/>
      <c r="AH28" s="179"/>
      <c r="AI28" s="7"/>
      <c r="AJ28" s="7"/>
      <c r="AK28" s="2"/>
      <c r="AL28" s="2"/>
    </row>
    <row r="29" spans="1:43" x14ac:dyDescent="0.25">
      <c r="B29" s="2"/>
      <c r="C29" s="2" t="s">
        <v>41</v>
      </c>
      <c r="D29" s="7">
        <v>-0.11799999999999999</v>
      </c>
      <c r="E29" s="7">
        <v>-0.11799999999999999</v>
      </c>
      <c r="F29" s="7">
        <v>-2.57</v>
      </c>
      <c r="G29" s="7">
        <v>5.5490000000000004</v>
      </c>
      <c r="H29" s="7">
        <v>3</v>
      </c>
      <c r="I29" s="29">
        <v>113</v>
      </c>
      <c r="J29" s="29">
        <v>203</v>
      </c>
      <c r="K29" s="7">
        <v>2.4300000000000002</v>
      </c>
      <c r="L29" s="7">
        <f>-1139.7/$B$25</f>
        <v>-11.812198787376277</v>
      </c>
      <c r="M29" s="34"/>
      <c r="N29" s="2">
        <v>4.1100000000000003</v>
      </c>
      <c r="O29" s="2">
        <v>6</v>
      </c>
      <c r="P29" s="2">
        <v>4</v>
      </c>
      <c r="Q29" s="2">
        <v>0.98699999999999999</v>
      </c>
      <c r="R29" s="2">
        <v>2.0089999999999999</v>
      </c>
      <c r="S29" s="2">
        <v>2.617</v>
      </c>
      <c r="T29" s="18">
        <v>4.96</v>
      </c>
      <c r="U29" s="18">
        <v>10.168000000000001</v>
      </c>
      <c r="V29" s="2">
        <v>0.5</v>
      </c>
      <c r="W29" s="16">
        <v>167</v>
      </c>
      <c r="X29" s="2">
        <v>3</v>
      </c>
      <c r="Y29" s="16" t="s">
        <v>527</v>
      </c>
      <c r="Z29" s="2">
        <v>2329</v>
      </c>
      <c r="AA29" s="2"/>
      <c r="AD29" s="18"/>
      <c r="AE29" s="2"/>
      <c r="AF29" s="26"/>
      <c r="AG29" s="2"/>
      <c r="AH29" s="179"/>
      <c r="AI29" s="179"/>
      <c r="AJ29" s="7"/>
      <c r="AK29" s="2"/>
      <c r="AL29" s="2"/>
    </row>
    <row r="30" spans="1:43" x14ac:dyDescent="0.25">
      <c r="B30" s="2"/>
      <c r="C30" s="2" t="s">
        <v>43</v>
      </c>
      <c r="D30" s="7">
        <v>-0.15</v>
      </c>
      <c r="E30" s="7">
        <v>-0.15</v>
      </c>
      <c r="F30" s="7">
        <v>-2.7759999999999998</v>
      </c>
      <c r="G30" s="7">
        <v>4.8929999999999998</v>
      </c>
      <c r="H30" s="7">
        <v>4.8</v>
      </c>
      <c r="I30" s="29">
        <v>42</v>
      </c>
      <c r="J30" s="29">
        <v>57</v>
      </c>
      <c r="K30" s="7">
        <v>1.79</v>
      </c>
      <c r="L30" s="7" t="s">
        <v>304</v>
      </c>
      <c r="M30" s="34"/>
      <c r="N30" s="2"/>
      <c r="O30" s="2"/>
      <c r="P30" s="2"/>
      <c r="Q30" s="2"/>
      <c r="R30" s="2"/>
      <c r="S30" s="2"/>
      <c r="T30" s="18">
        <v>2.94</v>
      </c>
      <c r="U30" s="18">
        <v>15.005441176470589</v>
      </c>
      <c r="V30" s="2"/>
      <c r="W30" s="16">
        <v>60</v>
      </c>
      <c r="X30" s="2"/>
      <c r="Y30" s="16" t="s">
        <v>531</v>
      </c>
      <c r="Z30" s="2">
        <v>300</v>
      </c>
      <c r="AA30" s="2"/>
      <c r="AD30" s="18"/>
      <c r="AE30" s="2"/>
      <c r="AF30" s="26"/>
      <c r="AG30" s="2"/>
      <c r="AH30" s="179"/>
      <c r="AI30" s="179"/>
      <c r="AJ30" s="7"/>
      <c r="AK30" s="2"/>
      <c r="AL30" s="2"/>
    </row>
    <row r="31" spans="1:43" x14ac:dyDescent="0.25">
      <c r="B31" s="2"/>
      <c r="C31" s="2" t="s">
        <v>44</v>
      </c>
      <c r="D31" s="7">
        <v>-0.15</v>
      </c>
      <c r="E31" s="7">
        <v>-0.11799999999999999</v>
      </c>
      <c r="F31" s="7">
        <v>-2.698</v>
      </c>
      <c r="G31" s="7">
        <v>5.1319999999999997</v>
      </c>
      <c r="H31" s="7">
        <v>4</v>
      </c>
      <c r="I31" s="29">
        <v>101</v>
      </c>
      <c r="J31" s="29">
        <v>197</v>
      </c>
      <c r="K31" s="7" t="s">
        <v>304</v>
      </c>
      <c r="L31" s="7">
        <f>-598/$B$25</f>
        <v>-6.1978545887961856</v>
      </c>
      <c r="M31" s="34"/>
      <c r="N31" s="2"/>
      <c r="O31" s="2"/>
      <c r="P31" s="2"/>
      <c r="Q31" s="2"/>
      <c r="R31" s="2"/>
      <c r="S31" s="2"/>
      <c r="T31" s="18" t="s">
        <v>304</v>
      </c>
      <c r="U31" s="18" t="s">
        <v>304</v>
      </c>
      <c r="V31" s="2"/>
      <c r="W31" s="16" t="s">
        <v>304</v>
      </c>
      <c r="X31" s="2"/>
      <c r="Y31" s="16" t="s">
        <v>304</v>
      </c>
      <c r="Z31" s="2">
        <v>400</v>
      </c>
      <c r="AA31" s="2"/>
      <c r="AD31" s="18"/>
      <c r="AE31" s="2"/>
      <c r="AF31" s="26"/>
      <c r="AG31" s="2"/>
      <c r="AH31" s="179"/>
      <c r="AI31" s="179"/>
      <c r="AJ31" s="7"/>
      <c r="AK31" s="2"/>
      <c r="AL31" s="2"/>
    </row>
    <row r="32" spans="1:43" x14ac:dyDescent="0.25">
      <c r="B32" s="2"/>
      <c r="C32" s="2" t="s">
        <v>45</v>
      </c>
      <c r="D32" s="7">
        <v>-7.9000000000000001E-2</v>
      </c>
      <c r="E32" s="7">
        <v>-7.9000000000000001E-2</v>
      </c>
      <c r="F32" s="7">
        <v>-1.083</v>
      </c>
      <c r="G32" s="7">
        <v>1.9890000000000001</v>
      </c>
      <c r="H32" s="7" t="s">
        <v>304</v>
      </c>
      <c r="I32" s="29">
        <v>3</v>
      </c>
      <c r="J32" s="29">
        <v>7</v>
      </c>
      <c r="K32" s="7" t="s">
        <v>304</v>
      </c>
      <c r="L32" s="7" t="s">
        <v>304</v>
      </c>
      <c r="M32" s="34"/>
      <c r="N32" s="2"/>
      <c r="O32" s="2"/>
      <c r="P32" s="2"/>
      <c r="Q32" s="2"/>
      <c r="R32" s="2"/>
      <c r="S32" s="2"/>
      <c r="T32" s="18" t="s">
        <v>304</v>
      </c>
      <c r="U32" s="18" t="s">
        <v>304</v>
      </c>
      <c r="V32" s="2"/>
      <c r="W32" s="16" t="s">
        <v>304</v>
      </c>
      <c r="X32" s="2"/>
      <c r="Y32" s="16" t="s">
        <v>304</v>
      </c>
      <c r="Z32" s="2" t="s">
        <v>304</v>
      </c>
      <c r="AA32" s="2"/>
      <c r="AD32" s="18"/>
      <c r="AE32" s="2"/>
      <c r="AF32" s="26"/>
      <c r="AG32" s="2"/>
      <c r="AH32" s="179"/>
      <c r="AI32" s="179"/>
      <c r="AJ32" s="7"/>
      <c r="AK32" s="2"/>
      <c r="AL32" s="2"/>
    </row>
    <row r="33" spans="2:38" x14ac:dyDescent="0.25">
      <c r="B33" s="2"/>
      <c r="C33" s="2" t="s">
        <v>47</v>
      </c>
      <c r="D33" s="7">
        <v>-0.33800000000000002</v>
      </c>
      <c r="E33" s="7">
        <v>-7.9000000000000001E-2</v>
      </c>
      <c r="F33" s="7">
        <v>-1.29</v>
      </c>
      <c r="G33" s="7">
        <v>2.6019999999999999</v>
      </c>
      <c r="H33" s="7">
        <v>1</v>
      </c>
      <c r="I33" s="29">
        <v>2</v>
      </c>
      <c r="J33" s="29">
        <v>5</v>
      </c>
      <c r="K33" s="7">
        <v>0.59</v>
      </c>
      <c r="L33" s="7">
        <f>-345.8/$B$25</f>
        <v>-3.5839767839560555</v>
      </c>
      <c r="M33" s="34"/>
      <c r="N33" s="2"/>
      <c r="O33" s="2"/>
      <c r="P33" s="2"/>
      <c r="Q33" s="2"/>
      <c r="R33" s="2"/>
      <c r="S33" s="2"/>
      <c r="T33" s="18">
        <v>4.05</v>
      </c>
      <c r="U33" s="18">
        <v>38.533333333333331</v>
      </c>
      <c r="V33" s="2"/>
      <c r="W33" s="16">
        <v>166</v>
      </c>
      <c r="X33" s="2"/>
      <c r="Y33" s="16" t="s">
        <v>527</v>
      </c>
      <c r="Z33" s="2">
        <v>490</v>
      </c>
      <c r="AA33" s="2"/>
      <c r="AD33" s="18"/>
      <c r="AE33" s="2"/>
      <c r="AF33" s="26"/>
      <c r="AG33" s="2"/>
      <c r="AH33" s="179"/>
      <c r="AI33" s="179"/>
      <c r="AJ33" s="7"/>
      <c r="AK33" s="2"/>
      <c r="AL33" s="2"/>
    </row>
    <row r="34" spans="2:38" x14ac:dyDescent="0.25">
      <c r="B34" s="2"/>
      <c r="C34" s="2" t="s">
        <v>49</v>
      </c>
      <c r="D34" s="7">
        <v>-0.33800000000000002</v>
      </c>
      <c r="E34" s="7">
        <v>-0.33800000000000002</v>
      </c>
      <c r="F34" s="7">
        <v>-1.649</v>
      </c>
      <c r="G34" s="7">
        <v>2.9359999999999999</v>
      </c>
      <c r="H34" s="7">
        <v>1</v>
      </c>
      <c r="I34" s="29">
        <v>10</v>
      </c>
      <c r="J34" s="29">
        <v>30</v>
      </c>
      <c r="K34" s="7">
        <v>1.66</v>
      </c>
      <c r="L34" s="7" t="s">
        <v>304</v>
      </c>
      <c r="M34" s="34"/>
      <c r="N34" s="2"/>
      <c r="O34" s="2"/>
      <c r="P34" s="2"/>
      <c r="Q34" s="2"/>
      <c r="R34" s="2"/>
      <c r="S34" s="2"/>
      <c r="T34" s="18">
        <v>4.4800000000000004</v>
      </c>
      <c r="U34" s="18">
        <v>27.6175</v>
      </c>
      <c r="V34" s="2"/>
      <c r="W34" s="16">
        <v>71</v>
      </c>
      <c r="X34" s="2"/>
      <c r="Y34" s="16" t="s">
        <v>531</v>
      </c>
      <c r="Z34" s="2">
        <v>590</v>
      </c>
      <c r="AA34" s="2"/>
      <c r="AD34" s="18"/>
      <c r="AE34" s="2"/>
      <c r="AF34" s="26"/>
      <c r="AG34" s="2"/>
      <c r="AH34" s="179"/>
      <c r="AI34" s="179"/>
      <c r="AJ34" s="7"/>
      <c r="AK34" s="2"/>
      <c r="AL34" s="2"/>
    </row>
    <row r="35" spans="2:38" x14ac:dyDescent="0.25">
      <c r="B35" s="2"/>
      <c r="C35" s="2" t="s">
        <v>48</v>
      </c>
      <c r="D35" s="7">
        <v>-7.9000000000000001E-2</v>
      </c>
      <c r="E35" s="7">
        <v>-7.9000000000000001E-2</v>
      </c>
      <c r="F35" s="7">
        <v>-1.141</v>
      </c>
      <c r="G35" s="7">
        <v>2.19</v>
      </c>
      <c r="H35" s="7" t="s">
        <v>304</v>
      </c>
      <c r="I35" s="29">
        <v>4</v>
      </c>
      <c r="J35" s="29">
        <v>8</v>
      </c>
      <c r="K35" s="7">
        <v>0</v>
      </c>
      <c r="L35" s="7" t="s">
        <v>304</v>
      </c>
      <c r="M35" s="34"/>
      <c r="N35" s="2"/>
      <c r="O35" s="2"/>
      <c r="P35" s="2"/>
      <c r="Q35" s="2"/>
      <c r="R35" s="2"/>
      <c r="S35" s="2"/>
      <c r="T35" s="18">
        <v>2.73</v>
      </c>
      <c r="U35" s="18">
        <v>63.097499999999997</v>
      </c>
      <c r="V35" s="2"/>
      <c r="W35" s="16">
        <v>193</v>
      </c>
      <c r="X35" s="2"/>
      <c r="Y35" s="16" t="s">
        <v>532</v>
      </c>
      <c r="Z35" s="2">
        <v>164</v>
      </c>
      <c r="AA35" s="2"/>
      <c r="AD35" s="18"/>
      <c r="AE35" s="2"/>
      <c r="AF35" s="26"/>
      <c r="AG35" s="2"/>
      <c r="AH35" s="179"/>
      <c r="AI35" s="179"/>
      <c r="AJ35" s="7"/>
      <c r="AK35" s="2"/>
      <c r="AL35" s="2"/>
    </row>
    <row r="36" spans="2:38" x14ac:dyDescent="0.25">
      <c r="B36" s="2"/>
      <c r="C36" s="2" t="s">
        <v>50</v>
      </c>
      <c r="D36" s="7">
        <v>-0.33800000000000002</v>
      </c>
      <c r="E36" s="7">
        <v>-0.33800000000000002</v>
      </c>
      <c r="F36" s="7">
        <v>-2.1070000000000002</v>
      </c>
      <c r="G36" s="7">
        <v>2.976</v>
      </c>
      <c r="H36" s="7">
        <v>4</v>
      </c>
      <c r="I36" s="29">
        <v>5</v>
      </c>
      <c r="J36" s="29">
        <v>18</v>
      </c>
      <c r="K36" s="7">
        <v>0</v>
      </c>
      <c r="L36" s="7">
        <f>-286.2/$B$25</f>
        <v>-2.9662641861429235</v>
      </c>
      <c r="M36" s="34"/>
      <c r="N36" s="2"/>
      <c r="O36" s="2"/>
      <c r="P36" s="2"/>
      <c r="Q36" s="2"/>
      <c r="R36" s="2"/>
      <c r="S36" s="2"/>
      <c r="T36" s="18">
        <v>3.73</v>
      </c>
      <c r="U36" s="18">
        <v>24.456666666666667</v>
      </c>
      <c r="V36" s="2"/>
      <c r="W36" s="16">
        <v>139</v>
      </c>
      <c r="X36" s="2"/>
      <c r="Y36" s="16" t="s">
        <v>530</v>
      </c>
      <c r="Z36" s="2">
        <v>432</v>
      </c>
      <c r="AA36" s="2"/>
      <c r="AD36" s="18"/>
      <c r="AE36" s="2"/>
      <c r="AF36" s="26"/>
      <c r="AG36" s="2"/>
      <c r="AH36" s="179"/>
      <c r="AI36" s="179"/>
      <c r="AJ36" s="7"/>
      <c r="AK36" s="2"/>
      <c r="AL36" s="2"/>
    </row>
    <row r="37" spans="2:38" x14ac:dyDescent="0.25">
      <c r="B37" s="2"/>
      <c r="C37" s="2" t="s">
        <v>51</v>
      </c>
      <c r="D37" s="7">
        <v>-0.20200000000000001</v>
      </c>
      <c r="E37" s="7">
        <v>-0.17199999999999999</v>
      </c>
      <c r="F37" s="7">
        <v>-2.3159999999999998</v>
      </c>
      <c r="G37" s="7">
        <v>3.8439999999999999</v>
      </c>
      <c r="H37" s="7">
        <v>1</v>
      </c>
      <c r="I37" s="29">
        <v>8</v>
      </c>
      <c r="J37" s="29">
        <v>111</v>
      </c>
      <c r="K37" s="7">
        <v>0.5</v>
      </c>
      <c r="L37" s="7">
        <f>-168.6/$B$25</f>
        <v>-1.7474218790485567</v>
      </c>
      <c r="M37" s="34"/>
      <c r="N37" s="2"/>
      <c r="O37" s="2"/>
      <c r="P37" s="2"/>
      <c r="Q37" s="2"/>
      <c r="R37" s="2"/>
      <c r="S37" s="2"/>
      <c r="T37" s="18">
        <v>6.01</v>
      </c>
      <c r="U37" s="18">
        <v>13.168333333333335</v>
      </c>
      <c r="V37" s="2"/>
      <c r="W37" s="16">
        <v>224</v>
      </c>
      <c r="X37" s="2"/>
      <c r="Y37" s="16" t="s">
        <v>528</v>
      </c>
      <c r="Z37" s="2">
        <v>1235</v>
      </c>
      <c r="AA37" s="2"/>
      <c r="AD37" s="18"/>
      <c r="AE37" s="2"/>
      <c r="AF37" s="26"/>
      <c r="AG37" s="2"/>
      <c r="AH37" s="179"/>
      <c r="AI37" s="179"/>
      <c r="AJ37" s="7"/>
      <c r="AK37" s="2"/>
      <c r="AL37" s="2"/>
    </row>
    <row r="38" spans="2:38" x14ac:dyDescent="0.25">
      <c r="B38" s="2"/>
      <c r="C38" s="2" t="s">
        <v>53</v>
      </c>
      <c r="D38" s="7">
        <v>-0.20200000000000001</v>
      </c>
      <c r="E38" s="7">
        <v>-0.20200000000000001</v>
      </c>
      <c r="F38" s="7">
        <v>-2.7130000000000001</v>
      </c>
      <c r="G38" s="7">
        <v>3.8029999999999999</v>
      </c>
      <c r="H38" s="7">
        <v>3</v>
      </c>
      <c r="I38" s="29">
        <v>56</v>
      </c>
      <c r="J38" s="29">
        <v>160</v>
      </c>
      <c r="K38" s="7">
        <v>0</v>
      </c>
      <c r="L38" s="7" t="s">
        <v>304</v>
      </c>
      <c r="M38" s="34"/>
      <c r="N38" s="2"/>
      <c r="O38" s="2"/>
      <c r="P38" s="2"/>
      <c r="Q38" s="2"/>
      <c r="R38" s="2"/>
      <c r="S38" s="2"/>
      <c r="T38" s="18">
        <v>5.71</v>
      </c>
      <c r="U38" s="18">
        <v>10.185500000000001</v>
      </c>
      <c r="V38" s="2"/>
      <c r="W38" s="16">
        <v>206</v>
      </c>
      <c r="X38" s="2"/>
      <c r="Y38" s="16" t="s">
        <v>528</v>
      </c>
      <c r="Z38" s="2" t="s">
        <v>304</v>
      </c>
      <c r="AA38" s="2"/>
      <c r="AD38" s="18"/>
      <c r="AE38" s="2"/>
      <c r="AF38" s="26"/>
      <c r="AG38" s="2"/>
      <c r="AH38" s="179"/>
      <c r="AI38" s="179"/>
      <c r="AJ38" s="7"/>
      <c r="AK38" s="2"/>
      <c r="AL38" s="2"/>
    </row>
    <row r="39" spans="2:38" x14ac:dyDescent="0.25">
      <c r="B39" s="2"/>
      <c r="C39" s="2" t="s">
        <v>54</v>
      </c>
      <c r="D39" s="7">
        <v>-0.20200000000000001</v>
      </c>
      <c r="E39" s="7">
        <v>-0.20200000000000001</v>
      </c>
      <c r="F39" s="7">
        <v>-2.5569999999999999</v>
      </c>
      <c r="G39" s="7">
        <v>4</v>
      </c>
      <c r="H39" s="7">
        <v>2</v>
      </c>
      <c r="I39" s="29">
        <v>25</v>
      </c>
      <c r="J39" s="29">
        <v>143</v>
      </c>
      <c r="K39" s="7">
        <v>0</v>
      </c>
      <c r="L39" s="7">
        <f>-157.3/$B$25</f>
        <v>-1.6303052287920403</v>
      </c>
      <c r="M39" s="34"/>
      <c r="N39" s="2">
        <v>3.4969999999999999</v>
      </c>
      <c r="O39" s="2">
        <v>4</v>
      </c>
      <c r="P39" s="2">
        <v>4</v>
      </c>
      <c r="Q39" s="2">
        <v>0.90200000000000002</v>
      </c>
      <c r="R39" s="2">
        <v>1.9390000000000001</v>
      </c>
      <c r="S39" s="2">
        <v>1.7969999999999999</v>
      </c>
      <c r="T39" s="18">
        <v>5.93</v>
      </c>
      <c r="U39" s="18">
        <v>11.135</v>
      </c>
      <c r="V39" s="2">
        <v>0.52700000000000002</v>
      </c>
      <c r="W39" s="16">
        <v>131</v>
      </c>
      <c r="X39" s="2">
        <v>6</v>
      </c>
      <c r="Y39" s="16" t="s">
        <v>530</v>
      </c>
      <c r="Z39" s="2">
        <v>1446</v>
      </c>
      <c r="AA39" s="2"/>
      <c r="AD39" s="18"/>
      <c r="AE39" s="2"/>
      <c r="AF39" s="26"/>
      <c r="AG39" s="2"/>
      <c r="AH39" s="179"/>
      <c r="AI39" s="179"/>
      <c r="AJ39" s="7"/>
      <c r="AK39" s="2"/>
      <c r="AL39" s="2"/>
    </row>
    <row r="40" spans="2:38" x14ac:dyDescent="0.25">
      <c r="B40" s="2"/>
      <c r="C40" s="2" t="s">
        <v>55</v>
      </c>
      <c r="D40" s="7">
        <v>-0.26500000000000001</v>
      </c>
      <c r="E40" s="7">
        <v>-0.26500000000000001</v>
      </c>
      <c r="F40" s="7">
        <v>-2.2719999999999998</v>
      </c>
      <c r="G40" s="7">
        <v>6.8070000000000004</v>
      </c>
      <c r="H40" s="7">
        <v>3</v>
      </c>
      <c r="I40" s="29">
        <v>64</v>
      </c>
      <c r="J40" s="29">
        <v>142</v>
      </c>
      <c r="K40" s="7">
        <v>3.93</v>
      </c>
      <c r="L40" s="7">
        <f>-1863.1/$B$25</f>
        <v>-19.309737264859823</v>
      </c>
      <c r="M40" s="34"/>
      <c r="N40" s="2"/>
      <c r="O40" s="2"/>
      <c r="P40" s="2"/>
      <c r="Q40" s="2"/>
      <c r="R40" s="2"/>
      <c r="S40" s="2"/>
      <c r="T40" s="18">
        <v>8.14</v>
      </c>
      <c r="U40" s="18">
        <v>15.209999999999999</v>
      </c>
      <c r="V40" s="2"/>
      <c r="W40" s="16">
        <v>206</v>
      </c>
      <c r="X40" s="2"/>
      <c r="Y40" s="16" t="s">
        <v>528</v>
      </c>
      <c r="Z40" s="2">
        <v>2228</v>
      </c>
      <c r="AA40" s="2"/>
      <c r="AD40" s="18"/>
      <c r="AE40" s="2"/>
      <c r="AF40" s="26"/>
      <c r="AG40" s="2"/>
      <c r="AH40" s="179"/>
      <c r="AI40" s="179"/>
      <c r="AJ40" s="7"/>
      <c r="AK40" s="2"/>
      <c r="AL40" s="2"/>
    </row>
    <row r="41" spans="2:38" x14ac:dyDescent="0.25">
      <c r="B41" s="2"/>
      <c r="C41" s="2" t="s">
        <v>57</v>
      </c>
      <c r="D41" s="7">
        <v>-0.27900000000000003</v>
      </c>
      <c r="E41" s="7">
        <v>-0.27900000000000003</v>
      </c>
      <c r="F41" s="7">
        <v>-2.2869999999999999</v>
      </c>
      <c r="G41" s="7">
        <v>6.9539999999999997</v>
      </c>
      <c r="H41" s="7">
        <v>3</v>
      </c>
      <c r="I41" s="29">
        <v>67</v>
      </c>
      <c r="J41" s="29">
        <v>148</v>
      </c>
      <c r="K41" s="7">
        <v>3.96</v>
      </c>
      <c r="L41" s="7">
        <f>-1897.9/$B$25</f>
        <v>-19.670415090428566</v>
      </c>
      <c r="M41" s="34"/>
      <c r="N41" s="2"/>
      <c r="O41" s="2"/>
      <c r="P41" s="2"/>
      <c r="Q41" s="2"/>
      <c r="R41" s="2"/>
      <c r="S41" s="2"/>
      <c r="T41" s="18">
        <v>8.65</v>
      </c>
      <c r="U41" s="18">
        <v>14.680000000000001</v>
      </c>
      <c r="V41" s="2"/>
      <c r="W41" s="16">
        <v>206</v>
      </c>
      <c r="X41" s="2"/>
      <c r="Y41" s="16" t="s">
        <v>528</v>
      </c>
      <c r="Z41" s="2">
        <v>2344</v>
      </c>
      <c r="AA41" s="2"/>
      <c r="AD41" s="18"/>
      <c r="AE41" s="2"/>
      <c r="AF41" s="26"/>
      <c r="AG41" s="2"/>
      <c r="AH41" s="179"/>
      <c r="AI41" s="179"/>
      <c r="AJ41" s="7"/>
      <c r="AK41" s="2"/>
      <c r="AL41" s="2"/>
    </row>
    <row r="42" spans="2:38" x14ac:dyDescent="0.25">
      <c r="B42" s="2"/>
      <c r="C42" s="2" t="s">
        <v>59</v>
      </c>
      <c r="D42" s="7">
        <v>-0.23300000000000001</v>
      </c>
      <c r="E42" s="7">
        <v>-0.23300000000000001</v>
      </c>
      <c r="F42" s="7">
        <v>-2.2570000000000001</v>
      </c>
      <c r="G42" s="7">
        <v>5.49</v>
      </c>
      <c r="H42" s="7">
        <v>3</v>
      </c>
      <c r="I42" s="29">
        <v>43</v>
      </c>
      <c r="J42" s="29">
        <v>142</v>
      </c>
      <c r="K42" s="7">
        <v>0</v>
      </c>
      <c r="L42" s="7">
        <f>-1651.4/$B$25</f>
        <v>-17.115613825983313</v>
      </c>
      <c r="M42" s="34"/>
      <c r="N42" s="2"/>
      <c r="O42" s="2"/>
      <c r="P42" s="2"/>
      <c r="Q42" s="2"/>
      <c r="R42" s="2"/>
      <c r="S42" s="2"/>
      <c r="T42" s="18">
        <v>7.06</v>
      </c>
      <c r="U42" s="18">
        <v>16.544750000000001</v>
      </c>
      <c r="V42" s="2"/>
      <c r="W42" s="16">
        <v>206</v>
      </c>
      <c r="X42" s="2"/>
      <c r="Y42" s="16" t="s">
        <v>528</v>
      </c>
      <c r="Z42" s="2">
        <v>2291</v>
      </c>
      <c r="AA42" s="2"/>
      <c r="AD42" s="18"/>
      <c r="AE42" s="2"/>
      <c r="AF42" s="26"/>
      <c r="AG42" s="2"/>
      <c r="AH42" s="179"/>
      <c r="AI42" s="179"/>
      <c r="AJ42" s="7"/>
      <c r="AK42" s="2"/>
      <c r="AL42" s="2"/>
    </row>
    <row r="43" spans="2:38" x14ac:dyDescent="0.25">
      <c r="B43" s="2"/>
      <c r="C43" s="2" t="s">
        <v>60</v>
      </c>
      <c r="D43" s="7">
        <v>-0.23300000000000001</v>
      </c>
      <c r="E43" s="7">
        <v>-0.23300000000000001</v>
      </c>
      <c r="F43" s="7">
        <v>-2.032</v>
      </c>
      <c r="G43" s="7">
        <v>5.37</v>
      </c>
      <c r="H43" s="7">
        <v>2</v>
      </c>
      <c r="I43" s="29">
        <v>45</v>
      </c>
      <c r="J43" s="29">
        <v>160</v>
      </c>
      <c r="K43" s="7">
        <v>0</v>
      </c>
      <c r="L43" s="7" t="s">
        <v>304</v>
      </c>
      <c r="M43" s="34"/>
      <c r="N43" s="2"/>
      <c r="O43" s="2"/>
      <c r="P43" s="2"/>
      <c r="Q43" s="2"/>
      <c r="R43" s="2"/>
      <c r="S43" s="2"/>
      <c r="T43" s="18">
        <v>8.49</v>
      </c>
      <c r="U43" s="18">
        <v>16.414999999999999</v>
      </c>
      <c r="V43" s="2"/>
      <c r="W43" s="16">
        <v>225</v>
      </c>
      <c r="X43" s="2"/>
      <c r="Y43" s="16" t="s">
        <v>528</v>
      </c>
      <c r="Z43" s="2" t="s">
        <v>304</v>
      </c>
      <c r="AA43" s="2"/>
      <c r="AD43" s="18"/>
      <c r="AE43" s="2"/>
      <c r="AF43" s="26"/>
      <c r="AG43" s="2"/>
      <c r="AH43" s="179"/>
      <c r="AI43" s="179"/>
      <c r="AJ43" s="7"/>
      <c r="AK43" s="2"/>
      <c r="AL43" s="2"/>
    </row>
    <row r="44" spans="2:38" x14ac:dyDescent="0.25">
      <c r="B44" s="2"/>
      <c r="C44" s="2" t="s">
        <v>62</v>
      </c>
      <c r="D44" s="7">
        <v>-0.29499999999999998</v>
      </c>
      <c r="E44" s="7">
        <v>-0.29499999999999998</v>
      </c>
      <c r="F44" s="7">
        <v>-2.6720000000000002</v>
      </c>
      <c r="G44" s="7">
        <v>5.1619999999999999</v>
      </c>
      <c r="H44" s="7">
        <v>3</v>
      </c>
      <c r="I44" s="29">
        <v>79</v>
      </c>
      <c r="J44" s="29">
        <v>178</v>
      </c>
      <c r="K44" s="7">
        <v>2.02</v>
      </c>
      <c r="L44" s="7">
        <f>-824.2/$B$25</f>
        <v>-8.5422604549930039</v>
      </c>
      <c r="M44" s="34"/>
      <c r="N44" s="2">
        <v>4.3150000000000004</v>
      </c>
      <c r="O44" s="2">
        <v>6</v>
      </c>
      <c r="P44" s="2">
        <v>4</v>
      </c>
      <c r="Q44" s="2">
        <v>0.89700000000000002</v>
      </c>
      <c r="R44" s="2">
        <v>2.129</v>
      </c>
      <c r="S44" s="2">
        <v>2.78</v>
      </c>
      <c r="T44" s="18">
        <v>4.9400000000000004</v>
      </c>
      <c r="U44" s="18">
        <v>10.74225</v>
      </c>
      <c r="V44" s="2">
        <v>0.49299999999999999</v>
      </c>
      <c r="W44" s="16">
        <v>5</v>
      </c>
      <c r="X44" s="2">
        <v>3</v>
      </c>
      <c r="Y44" s="16" t="s">
        <v>529</v>
      </c>
      <c r="Z44" s="2">
        <v>1565</v>
      </c>
      <c r="AA44" s="2"/>
      <c r="AD44" s="18"/>
      <c r="AE44" s="2"/>
      <c r="AF44" s="26"/>
      <c r="AG44" s="2"/>
      <c r="AH44" s="179"/>
      <c r="AI44" s="179"/>
      <c r="AJ44" s="7"/>
      <c r="AK44" s="2"/>
      <c r="AL44" s="2"/>
    </row>
    <row r="45" spans="2:38" x14ac:dyDescent="0.25">
      <c r="B45" s="2"/>
      <c r="C45" s="2" t="s">
        <v>63</v>
      </c>
      <c r="D45" s="7">
        <v>-0.29499999999999998</v>
      </c>
      <c r="E45" s="7">
        <v>-0.29499999999999998</v>
      </c>
      <c r="F45" s="7">
        <v>-2.625</v>
      </c>
      <c r="G45" s="7">
        <v>5.1639999999999997</v>
      </c>
      <c r="H45" s="7">
        <v>2.67</v>
      </c>
      <c r="I45" s="29">
        <v>64</v>
      </c>
      <c r="J45" s="29">
        <v>176</v>
      </c>
      <c r="K45" s="7">
        <v>0</v>
      </c>
      <c r="L45" s="7">
        <f>-1118.4/$B$25</f>
        <v>-11.591439083795409</v>
      </c>
      <c r="M45" s="34"/>
      <c r="N45" s="2"/>
      <c r="O45" s="2"/>
      <c r="P45" s="2"/>
      <c r="Q45" s="2"/>
      <c r="R45" s="2"/>
      <c r="S45" s="2"/>
      <c r="T45" s="18">
        <v>4.95</v>
      </c>
      <c r="U45" s="18">
        <v>11.095714285714285</v>
      </c>
      <c r="V45" s="2"/>
      <c r="W45" s="16">
        <v>227</v>
      </c>
      <c r="X45" s="2"/>
      <c r="Y45" s="16" t="s">
        <v>528</v>
      </c>
      <c r="Z45" s="2">
        <v>1597</v>
      </c>
      <c r="AA45" s="2"/>
      <c r="AD45" s="18"/>
      <c r="AE45" s="2"/>
      <c r="AF45" s="26"/>
      <c r="AG45" s="2"/>
      <c r="AH45" s="179"/>
      <c r="AI45" s="179"/>
      <c r="AJ45" s="7"/>
      <c r="AK45" s="2"/>
      <c r="AL45" s="2"/>
    </row>
    <row r="46" spans="2:38" x14ac:dyDescent="0.25">
      <c r="B46" s="2"/>
      <c r="C46" s="2" t="s">
        <v>64</v>
      </c>
      <c r="D46" s="7">
        <v>-0.29499999999999998</v>
      </c>
      <c r="E46" s="7">
        <v>-0.29499999999999998</v>
      </c>
      <c r="F46" s="7">
        <v>-2.5089999999999999</v>
      </c>
      <c r="G46" s="7">
        <v>5.1219999999999999</v>
      </c>
      <c r="H46" s="7">
        <v>2</v>
      </c>
      <c r="I46" s="29">
        <v>60</v>
      </c>
      <c r="J46" s="29">
        <v>180</v>
      </c>
      <c r="K46" s="7">
        <v>1.27</v>
      </c>
      <c r="L46" s="7">
        <f>-272/$B$25</f>
        <v>-2.8190910504223456</v>
      </c>
      <c r="M46" s="34"/>
      <c r="N46" s="2"/>
      <c r="O46" s="2"/>
      <c r="P46" s="2"/>
      <c r="Q46" s="2"/>
      <c r="R46" s="2"/>
      <c r="S46" s="2"/>
      <c r="T46" s="18">
        <v>5.59</v>
      </c>
      <c r="U46" s="18">
        <v>10.68</v>
      </c>
      <c r="V46" s="2"/>
      <c r="W46" s="16">
        <v>12</v>
      </c>
      <c r="X46" s="2"/>
      <c r="Y46" s="16" t="s">
        <v>529</v>
      </c>
      <c r="Z46" s="2">
        <v>1377</v>
      </c>
      <c r="AA46" s="2"/>
      <c r="AD46" s="18"/>
      <c r="AE46" s="2"/>
      <c r="AF46" s="26"/>
      <c r="AG46" s="2"/>
      <c r="AH46" s="179"/>
      <c r="AI46" s="179"/>
      <c r="AJ46" s="7"/>
      <c r="AK46" s="2"/>
      <c r="AL46" s="2"/>
    </row>
    <row r="47" spans="2:38" x14ac:dyDescent="0.25">
      <c r="B47" s="2"/>
      <c r="C47" s="2" t="s">
        <v>66</v>
      </c>
      <c r="D47" s="7">
        <v>-0.33800000000000002</v>
      </c>
      <c r="E47" s="7">
        <v>-0.32800000000000001</v>
      </c>
      <c r="F47" s="7">
        <v>-2.661</v>
      </c>
      <c r="G47" s="7">
        <v>4.9720000000000004</v>
      </c>
      <c r="H47" s="7">
        <v>3</v>
      </c>
      <c r="I47" s="29">
        <v>69</v>
      </c>
      <c r="J47" s="29">
        <v>155</v>
      </c>
      <c r="K47" s="7">
        <v>2.0099999999999998</v>
      </c>
      <c r="L47" s="7">
        <f>-1089.1/$B$25</f>
        <v>-11.287764937555059</v>
      </c>
      <c r="M47" s="34"/>
      <c r="N47" s="2"/>
      <c r="O47" s="2"/>
      <c r="P47" s="2"/>
      <c r="Q47" s="2"/>
      <c r="R47" s="2"/>
      <c r="S47" s="2"/>
      <c r="T47" s="18">
        <v>5.68</v>
      </c>
      <c r="U47" s="18">
        <v>10.959</v>
      </c>
      <c r="V47" s="2"/>
      <c r="W47" s="16">
        <v>12</v>
      </c>
      <c r="X47" s="2"/>
      <c r="Y47" s="16" t="s">
        <v>529</v>
      </c>
      <c r="Z47" s="2">
        <v>1806</v>
      </c>
      <c r="AA47" s="2"/>
      <c r="AD47" s="18"/>
      <c r="AE47" s="2"/>
      <c r="AF47" s="26"/>
      <c r="AG47" s="2"/>
      <c r="AH47" s="179"/>
      <c r="AI47" s="179"/>
      <c r="AJ47" s="7"/>
      <c r="AK47" s="2"/>
      <c r="AL47" s="2"/>
    </row>
    <row r="48" spans="2:38" x14ac:dyDescent="0.25">
      <c r="B48" s="2"/>
      <c r="C48" s="2" t="s">
        <v>68</v>
      </c>
      <c r="D48" s="7">
        <v>-0.33800000000000002</v>
      </c>
      <c r="E48" s="7">
        <v>-0.33800000000000002</v>
      </c>
      <c r="F48" s="7">
        <v>-2.2570000000000001</v>
      </c>
      <c r="G48" s="7">
        <v>7.1289999999999996</v>
      </c>
      <c r="H48" s="7">
        <v>3</v>
      </c>
      <c r="I48" s="29">
        <v>55</v>
      </c>
      <c r="J48" s="29">
        <v>131</v>
      </c>
      <c r="K48" s="7">
        <v>2.89</v>
      </c>
      <c r="L48" s="7">
        <f>-1819.6/$B$25</f>
        <v>-18.858889982898894</v>
      </c>
      <c r="M48" s="34"/>
      <c r="N48" s="2"/>
      <c r="O48" s="2"/>
      <c r="P48" s="2"/>
      <c r="Q48" s="2"/>
      <c r="R48" s="2"/>
      <c r="S48" s="2"/>
      <c r="T48" s="18">
        <v>7.51</v>
      </c>
      <c r="U48" s="18">
        <v>16.0365</v>
      </c>
      <c r="V48" s="2"/>
      <c r="W48" s="16">
        <v>206</v>
      </c>
      <c r="X48" s="2"/>
      <c r="Y48" s="16" t="s">
        <v>528</v>
      </c>
      <c r="Z48" s="2">
        <v>2339</v>
      </c>
      <c r="AA48" s="2"/>
      <c r="AD48" s="18"/>
      <c r="AE48" s="2"/>
      <c r="AF48" s="26"/>
      <c r="AG48" s="2"/>
      <c r="AH48" s="179"/>
      <c r="AI48" s="179"/>
      <c r="AJ48" s="7"/>
      <c r="AK48" s="2"/>
      <c r="AL48" s="2"/>
    </row>
    <row r="49" spans="2:38" x14ac:dyDescent="0.25">
      <c r="B49" s="2"/>
      <c r="C49" s="2" t="s">
        <v>70</v>
      </c>
      <c r="D49" s="7">
        <v>-0.33800000000000002</v>
      </c>
      <c r="E49" s="7">
        <v>-0.33800000000000002</v>
      </c>
      <c r="F49" s="7">
        <v>-2.8759999999999999</v>
      </c>
      <c r="G49" s="7">
        <v>5.1150000000000002</v>
      </c>
      <c r="H49" s="7">
        <v>4</v>
      </c>
      <c r="I49" s="29">
        <v>28</v>
      </c>
      <c r="J49" s="29">
        <v>38</v>
      </c>
      <c r="K49" s="7">
        <v>3.25</v>
      </c>
      <c r="L49" s="7">
        <f>-580/$B$25</f>
        <v>-6.0112970928123541</v>
      </c>
      <c r="M49" s="34"/>
      <c r="N49" s="2"/>
      <c r="O49" s="2"/>
      <c r="P49" s="2"/>
      <c r="Q49" s="2"/>
      <c r="R49" s="2"/>
      <c r="S49" s="2"/>
      <c r="T49" s="18">
        <v>4.04</v>
      </c>
      <c r="U49" s="18">
        <v>14.348888888888887</v>
      </c>
      <c r="V49" s="2"/>
      <c r="W49" s="16">
        <v>152</v>
      </c>
      <c r="X49" s="2"/>
      <c r="Y49" s="16" t="s">
        <v>527</v>
      </c>
      <c r="Z49" s="2">
        <v>1115</v>
      </c>
      <c r="AA49" s="2"/>
      <c r="AD49" s="18"/>
      <c r="AE49" s="2"/>
      <c r="AF49" s="26"/>
      <c r="AG49" s="2"/>
      <c r="AH49" s="179"/>
      <c r="AI49" s="179"/>
      <c r="AJ49" s="7"/>
      <c r="AK49" s="2"/>
      <c r="AL49" s="2"/>
    </row>
    <row r="50" spans="2:38" x14ac:dyDescent="0.25">
      <c r="B50" s="2"/>
      <c r="C50" s="2" t="s">
        <v>72</v>
      </c>
      <c r="D50" s="7">
        <v>-0.33800000000000002</v>
      </c>
      <c r="E50" s="7">
        <v>-0.16600000000000001</v>
      </c>
      <c r="F50" s="7">
        <v>-2.4870000000000001</v>
      </c>
      <c r="G50" s="7">
        <v>7.9240000000000004</v>
      </c>
      <c r="H50" s="7">
        <v>4</v>
      </c>
      <c r="I50" s="29">
        <v>99</v>
      </c>
      <c r="J50" s="29">
        <v>205</v>
      </c>
      <c r="K50" s="7">
        <v>4.0199999999999996</v>
      </c>
      <c r="L50" s="7">
        <f>-1144.7/$B$25</f>
        <v>-11.864020314038452</v>
      </c>
      <c r="M50" s="34"/>
      <c r="N50" s="2"/>
      <c r="O50" s="2"/>
      <c r="P50" s="2"/>
      <c r="Q50" s="2"/>
      <c r="R50" s="2"/>
      <c r="S50" s="2"/>
      <c r="T50" s="18">
        <v>9.9700000000000006</v>
      </c>
      <c r="U50" s="18">
        <v>11.688333333333333</v>
      </c>
      <c r="V50" s="2"/>
      <c r="W50" s="16">
        <v>14</v>
      </c>
      <c r="X50" s="2"/>
      <c r="Y50" s="16" t="s">
        <v>529</v>
      </c>
      <c r="Z50" s="2">
        <v>2774</v>
      </c>
      <c r="AA50" s="2"/>
      <c r="AD50" s="18"/>
      <c r="AE50" s="2"/>
      <c r="AF50" s="26"/>
      <c r="AG50" s="2"/>
      <c r="AH50" s="179"/>
      <c r="AI50" s="179"/>
      <c r="AJ50" s="7"/>
      <c r="AK50" s="2"/>
      <c r="AL50" s="2"/>
    </row>
    <row r="51" spans="2:38" x14ac:dyDescent="0.25">
      <c r="B51" s="2"/>
      <c r="C51" s="2" t="s">
        <v>74</v>
      </c>
      <c r="D51" s="7">
        <v>-0.33800000000000002</v>
      </c>
      <c r="E51" s="7">
        <v>-0.20499999999999999</v>
      </c>
      <c r="F51" s="7">
        <v>-2.6230000000000002</v>
      </c>
      <c r="G51" s="7">
        <v>2.2850000000000001</v>
      </c>
      <c r="H51" s="7">
        <v>2</v>
      </c>
      <c r="I51" s="29">
        <v>10</v>
      </c>
      <c r="J51" s="29">
        <v>24</v>
      </c>
      <c r="K51" s="7">
        <v>1.19</v>
      </c>
      <c r="L51" s="7">
        <f>-90.8/$B$25</f>
        <v>-0.94107892418510652</v>
      </c>
      <c r="M51" s="34"/>
      <c r="N51" s="2"/>
      <c r="O51" s="2"/>
      <c r="P51" s="2"/>
      <c r="Q51" s="2"/>
      <c r="R51" s="2"/>
      <c r="S51" s="2"/>
      <c r="T51" s="18">
        <v>9.85</v>
      </c>
      <c r="U51" s="18">
        <v>18.258749999999999</v>
      </c>
      <c r="V51" s="2"/>
      <c r="W51" s="16">
        <v>62</v>
      </c>
      <c r="X51" s="2"/>
      <c r="Y51" s="16" t="s">
        <v>531</v>
      </c>
      <c r="Z51" s="2">
        <v>500</v>
      </c>
      <c r="AA51" s="2"/>
      <c r="AD51" s="18"/>
      <c r="AE51" s="2"/>
      <c r="AF51" s="26"/>
      <c r="AG51" s="2"/>
      <c r="AH51" s="179"/>
      <c r="AI51" s="179"/>
      <c r="AJ51" s="7"/>
      <c r="AK51" s="2"/>
      <c r="AL51" s="2"/>
    </row>
    <row r="52" spans="2:38" x14ac:dyDescent="0.25">
      <c r="B52" s="2"/>
      <c r="C52" s="2" t="s">
        <v>76</v>
      </c>
      <c r="D52" s="7">
        <v>-0.27300000000000002</v>
      </c>
      <c r="E52" s="7">
        <v>-0.27300000000000002</v>
      </c>
      <c r="F52" s="7">
        <v>-2.2799999999999998</v>
      </c>
      <c r="G52" s="7">
        <v>6.8719999999999999</v>
      </c>
      <c r="H52" s="7">
        <v>3</v>
      </c>
      <c r="I52" s="29">
        <v>65</v>
      </c>
      <c r="J52" s="29">
        <v>145</v>
      </c>
      <c r="K52" s="7">
        <v>3.95</v>
      </c>
      <c r="L52" s="7">
        <f>-1880.7/$B$25</f>
        <v>-19.492149038710682</v>
      </c>
      <c r="M52" s="34"/>
      <c r="N52" s="2"/>
      <c r="O52" s="2"/>
      <c r="P52" s="2"/>
      <c r="Q52" s="2"/>
      <c r="R52" s="2"/>
      <c r="S52" s="2"/>
      <c r="T52" s="18">
        <v>8.4</v>
      </c>
      <c r="U52" s="18">
        <v>14.93225</v>
      </c>
      <c r="V52" s="2"/>
      <c r="W52" s="16">
        <v>206</v>
      </c>
      <c r="X52" s="2"/>
      <c r="Y52" s="16" t="s">
        <v>528</v>
      </c>
      <c r="Z52" s="2">
        <v>2330</v>
      </c>
      <c r="AA52" s="2"/>
      <c r="AD52" s="18"/>
      <c r="AE52" s="2"/>
      <c r="AF52" s="26"/>
      <c r="AG52" s="2"/>
      <c r="AH52" s="179"/>
      <c r="AI52" s="7"/>
      <c r="AJ52" s="7"/>
      <c r="AK52" s="2"/>
      <c r="AL52" s="2"/>
    </row>
    <row r="53" spans="2:38" x14ac:dyDescent="0.25">
      <c r="B53" s="2"/>
      <c r="C53" s="2" t="s">
        <v>78</v>
      </c>
      <c r="D53" s="7">
        <v>-0.33800000000000002</v>
      </c>
      <c r="E53" s="7">
        <v>-0.26800000000000002</v>
      </c>
      <c r="F53" s="7">
        <v>-3.1960000000000002</v>
      </c>
      <c r="G53" s="7">
        <v>2.9510000000000001</v>
      </c>
      <c r="H53" s="7">
        <v>5</v>
      </c>
      <c r="I53" s="29">
        <v>15</v>
      </c>
      <c r="J53" s="29">
        <v>48</v>
      </c>
      <c r="K53" s="7">
        <v>2.67</v>
      </c>
      <c r="L53" s="7" t="s">
        <v>304</v>
      </c>
      <c r="M53" s="34"/>
      <c r="N53" s="2"/>
      <c r="O53" s="2"/>
      <c r="P53" s="2"/>
      <c r="Q53" s="2"/>
      <c r="R53" s="2"/>
      <c r="S53" s="2"/>
      <c r="T53" s="18">
        <v>4.72</v>
      </c>
      <c r="U53" s="18">
        <v>16.786071428571429</v>
      </c>
      <c r="V53" s="2"/>
      <c r="W53" s="16">
        <v>14</v>
      </c>
      <c r="X53" s="2"/>
      <c r="Y53" s="16" t="s">
        <v>529</v>
      </c>
      <c r="Z53" s="2">
        <v>300</v>
      </c>
      <c r="AA53" s="2"/>
      <c r="AD53" s="18"/>
      <c r="AE53" s="2"/>
      <c r="AF53" s="26"/>
      <c r="AG53" s="2"/>
      <c r="AH53" s="179"/>
      <c r="AI53" s="7"/>
      <c r="AJ53" s="7"/>
      <c r="AK53" s="2"/>
      <c r="AL53" s="2"/>
    </row>
    <row r="54" spans="2:38" x14ac:dyDescent="0.25">
      <c r="B54" s="2"/>
      <c r="C54" s="2" t="s">
        <v>80</v>
      </c>
      <c r="D54" s="7">
        <v>-0.33800000000000002</v>
      </c>
      <c r="E54" s="7">
        <v>-0.28999999999999998</v>
      </c>
      <c r="F54" s="7">
        <v>-2.6429999999999998</v>
      </c>
      <c r="G54" s="7">
        <v>4.5860000000000003</v>
      </c>
      <c r="H54" s="7">
        <v>3</v>
      </c>
      <c r="I54" s="29">
        <v>58</v>
      </c>
      <c r="J54" s="29">
        <v>145</v>
      </c>
      <c r="K54" s="7">
        <v>0.93</v>
      </c>
      <c r="L54" s="7">
        <f>-925.8/$B$25</f>
        <v>-9.5952738767684096</v>
      </c>
      <c r="M54" s="34"/>
      <c r="N54" s="2"/>
      <c r="O54" s="2"/>
      <c r="P54" s="2"/>
      <c r="Q54" s="2"/>
      <c r="R54" s="2"/>
      <c r="S54" s="2"/>
      <c r="T54" s="18">
        <v>6.75</v>
      </c>
      <c r="U54" s="18">
        <v>13.6585</v>
      </c>
      <c r="V54" s="2"/>
      <c r="W54" s="16">
        <v>206</v>
      </c>
      <c r="X54" s="2"/>
      <c r="Y54" s="16" t="s">
        <v>528</v>
      </c>
      <c r="Z54" s="2">
        <v>1912</v>
      </c>
      <c r="AA54" s="2"/>
      <c r="AD54" s="18"/>
      <c r="AE54" s="2"/>
      <c r="AF54" s="26"/>
      <c r="AG54" s="2"/>
      <c r="AH54" s="179"/>
      <c r="AI54" s="7"/>
      <c r="AJ54" s="7"/>
      <c r="AK54" s="2"/>
      <c r="AL54" s="2"/>
    </row>
    <row r="55" spans="2:38" x14ac:dyDescent="0.25">
      <c r="B55" s="2"/>
      <c r="C55" s="2" t="s">
        <v>82</v>
      </c>
      <c r="D55" s="7">
        <v>-0.33500000000000002</v>
      </c>
      <c r="E55" s="7">
        <v>-0.33500000000000002</v>
      </c>
      <c r="F55" s="7">
        <v>-2.964</v>
      </c>
      <c r="G55" s="7">
        <v>5.3109999999999999</v>
      </c>
      <c r="H55" s="7">
        <v>4</v>
      </c>
      <c r="I55" s="29">
        <v>104</v>
      </c>
      <c r="J55" s="29">
        <v>270</v>
      </c>
      <c r="K55" s="7">
        <v>0</v>
      </c>
      <c r="L55" s="7">
        <f>-274.1/$B$25</f>
        <v>-2.8408560916204593</v>
      </c>
      <c r="M55" s="34"/>
      <c r="N55" s="2">
        <v>6.9379999999999997</v>
      </c>
      <c r="O55" s="2">
        <v>6</v>
      </c>
      <c r="P55" s="2">
        <v>3</v>
      </c>
      <c r="Q55" s="2">
        <v>0.97</v>
      </c>
      <c r="R55" s="2">
        <v>1.9830000000000001</v>
      </c>
      <c r="S55" s="2">
        <v>4.1859999999999999</v>
      </c>
      <c r="T55" s="18">
        <v>11.3</v>
      </c>
      <c r="U55" s="18">
        <v>10.979999999999999</v>
      </c>
      <c r="V55" s="2">
        <v>0.36799999999999999</v>
      </c>
      <c r="W55" s="16">
        <v>136</v>
      </c>
      <c r="X55" s="2">
        <v>4</v>
      </c>
      <c r="Y55" s="16" t="s">
        <v>530</v>
      </c>
      <c r="Z55" s="2">
        <v>1100</v>
      </c>
      <c r="AA55" s="2"/>
      <c r="AD55" s="18"/>
      <c r="AE55" s="2"/>
      <c r="AF55" s="26"/>
      <c r="AG55" s="2"/>
      <c r="AH55" s="179"/>
      <c r="AI55" s="7"/>
      <c r="AJ55" s="7"/>
      <c r="AK55" s="2"/>
      <c r="AL55" s="2"/>
    </row>
    <row r="56" spans="2:38" x14ac:dyDescent="0.25">
      <c r="B56" s="2"/>
      <c r="C56" s="2" t="s">
        <v>84</v>
      </c>
      <c r="D56" s="7">
        <v>-0.33500000000000002</v>
      </c>
      <c r="E56" s="7">
        <v>-0.33500000000000002</v>
      </c>
      <c r="F56" s="7">
        <v>-3.0760000000000001</v>
      </c>
      <c r="G56" s="7">
        <v>4.6859999999999999</v>
      </c>
      <c r="H56" s="7">
        <v>6</v>
      </c>
      <c r="I56" s="29">
        <v>47</v>
      </c>
      <c r="J56" s="29">
        <v>122</v>
      </c>
      <c r="K56" s="7">
        <v>0</v>
      </c>
      <c r="L56" s="7" t="s">
        <v>304</v>
      </c>
      <c r="M56" s="34"/>
      <c r="N56" s="2"/>
      <c r="O56" s="2"/>
      <c r="P56" s="2"/>
      <c r="Q56" s="2"/>
      <c r="R56" s="2"/>
      <c r="S56" s="2"/>
      <c r="T56" s="18">
        <v>8.35</v>
      </c>
      <c r="U56" s="18">
        <v>11.939375</v>
      </c>
      <c r="V56" s="2"/>
      <c r="W56" s="16">
        <v>63</v>
      </c>
      <c r="X56" s="2"/>
      <c r="Y56" s="16" t="s">
        <v>531</v>
      </c>
      <c r="Z56" s="2" t="s">
        <v>304</v>
      </c>
      <c r="AA56" s="2"/>
      <c r="AD56" s="18"/>
      <c r="AE56" s="2"/>
      <c r="AF56" s="26"/>
      <c r="AG56" s="2"/>
      <c r="AH56" s="179"/>
      <c r="AI56" s="7"/>
      <c r="AJ56" s="7"/>
      <c r="AK56" s="2"/>
      <c r="AL56" s="2"/>
    </row>
    <row r="57" spans="2:38" x14ac:dyDescent="0.25">
      <c r="B57" s="2"/>
      <c r="C57" s="2" t="s">
        <v>85</v>
      </c>
      <c r="D57" s="7">
        <v>-0.33800000000000002</v>
      </c>
      <c r="E57" s="7">
        <v>-8.8999999999999996E-2</v>
      </c>
      <c r="F57" s="7">
        <v>-1.3220000000000001</v>
      </c>
      <c r="G57" s="7">
        <v>2.7490000000000001</v>
      </c>
      <c r="H57" s="7">
        <v>1</v>
      </c>
      <c r="I57" s="29">
        <v>12</v>
      </c>
      <c r="J57" s="29">
        <v>27</v>
      </c>
      <c r="K57" s="7">
        <v>1.71</v>
      </c>
      <c r="L57" s="7">
        <f>-361.5/$B$25</f>
        <v>-3.7466963776752862</v>
      </c>
      <c r="M57" s="34"/>
      <c r="N57" s="2"/>
      <c r="O57" s="2"/>
      <c r="P57" s="2"/>
      <c r="Q57" s="2"/>
      <c r="R57" s="2"/>
      <c r="S57" s="2"/>
      <c r="T57" s="18">
        <v>2.29</v>
      </c>
      <c r="U57" s="18">
        <v>22.756666666666664</v>
      </c>
      <c r="V57" s="2"/>
      <c r="W57" s="16">
        <v>225</v>
      </c>
      <c r="X57" s="2"/>
      <c r="Y57" s="16" t="s">
        <v>528</v>
      </c>
      <c r="Z57" s="2">
        <v>350</v>
      </c>
      <c r="AA57" s="2"/>
      <c r="AD57" s="18"/>
      <c r="AE57" s="2"/>
      <c r="AF57" s="26"/>
      <c r="AG57" s="2"/>
      <c r="AH57" s="179"/>
      <c r="AI57" s="7"/>
      <c r="AJ57" s="7"/>
      <c r="AK57" s="2"/>
      <c r="AL57" s="2"/>
    </row>
    <row r="58" spans="2:38" x14ac:dyDescent="0.25">
      <c r="B58" s="2"/>
      <c r="C58" s="2" t="s">
        <v>87</v>
      </c>
      <c r="D58" s="7">
        <v>-0.33800000000000002</v>
      </c>
      <c r="E58" s="7">
        <v>-0.33800000000000002</v>
      </c>
      <c r="F58" s="7">
        <v>-1.68</v>
      </c>
      <c r="G58" s="7">
        <v>3.0659999999999998</v>
      </c>
      <c r="H58" s="7">
        <v>1</v>
      </c>
      <c r="I58" s="29">
        <v>15</v>
      </c>
      <c r="J58" s="29">
        <v>32</v>
      </c>
      <c r="K58" s="7">
        <v>2.35</v>
      </c>
      <c r="L58" s="7">
        <f>-494.1/$B$25</f>
        <v>-5.1210032647561796</v>
      </c>
      <c r="M58" s="34"/>
      <c r="N58" s="2"/>
      <c r="O58" s="2"/>
      <c r="P58" s="2"/>
      <c r="Q58" s="2"/>
      <c r="R58" s="2"/>
      <c r="S58" s="2"/>
      <c r="T58" s="18">
        <v>2.31</v>
      </c>
      <c r="U58" s="18">
        <v>19.785</v>
      </c>
      <c r="V58" s="2"/>
      <c r="W58" s="16">
        <v>64</v>
      </c>
      <c r="X58" s="2"/>
      <c r="Y58" s="16" t="s">
        <v>531</v>
      </c>
      <c r="Z58" s="2">
        <v>490</v>
      </c>
      <c r="AA58" s="2"/>
      <c r="AD58" s="18"/>
      <c r="AE58" s="2"/>
      <c r="AF58" s="26"/>
      <c r="AG58" s="2"/>
      <c r="AH58" s="179"/>
      <c r="AI58" s="7"/>
      <c r="AJ58" s="7"/>
      <c r="AK58" s="2"/>
      <c r="AL58" s="2"/>
    </row>
    <row r="59" spans="2:38" x14ac:dyDescent="0.25">
      <c r="B59" s="2"/>
      <c r="C59" s="2" t="s">
        <v>88</v>
      </c>
      <c r="D59" s="7">
        <v>-0.33800000000000002</v>
      </c>
      <c r="E59" s="7">
        <v>-0.33800000000000002</v>
      </c>
      <c r="F59" s="7">
        <v>-2.133</v>
      </c>
      <c r="G59" s="7">
        <v>3.0259999999999998</v>
      </c>
      <c r="H59" s="7">
        <v>4</v>
      </c>
      <c r="I59" s="29">
        <v>10</v>
      </c>
      <c r="J59" s="29">
        <v>25</v>
      </c>
      <c r="K59" s="7">
        <v>0</v>
      </c>
      <c r="L59" s="7">
        <f>-284.9/$B$25</f>
        <v>-2.9527905892107578</v>
      </c>
      <c r="M59" s="34"/>
      <c r="N59" s="2"/>
      <c r="O59" s="2"/>
      <c r="P59" s="2"/>
      <c r="Q59" s="2"/>
      <c r="R59" s="2"/>
      <c r="S59" s="2"/>
      <c r="T59" s="18">
        <v>2.2200000000000002</v>
      </c>
      <c r="U59" s="18">
        <v>17.739999999999998</v>
      </c>
      <c r="V59" s="2"/>
      <c r="W59" s="16">
        <v>139</v>
      </c>
      <c r="X59" s="2"/>
      <c r="Y59" s="16" t="s">
        <v>530</v>
      </c>
      <c r="Z59" s="2">
        <v>380</v>
      </c>
      <c r="AA59" s="2"/>
      <c r="AD59" s="18"/>
      <c r="AE59" s="2"/>
      <c r="AF59" s="26"/>
      <c r="AG59" s="2"/>
      <c r="AH59" s="179"/>
      <c r="AI59" s="7"/>
      <c r="AJ59" s="7"/>
      <c r="AK59" s="2"/>
      <c r="AL59" s="2"/>
    </row>
    <row r="60" spans="2:38" x14ac:dyDescent="0.25">
      <c r="B60" s="2"/>
      <c r="C60" s="2" t="s">
        <v>89</v>
      </c>
      <c r="D60" s="7">
        <v>-0.33800000000000002</v>
      </c>
      <c r="E60" s="7">
        <v>-0.14099999999999999</v>
      </c>
      <c r="F60" s="7">
        <v>-2.1800000000000002</v>
      </c>
      <c r="G60" s="7">
        <v>7.2460000000000004</v>
      </c>
      <c r="H60" s="7">
        <v>3</v>
      </c>
      <c r="I60" s="29">
        <v>57</v>
      </c>
      <c r="J60" s="29">
        <v>139</v>
      </c>
      <c r="K60" s="7">
        <v>3.53</v>
      </c>
      <c r="L60" s="7">
        <f>-1793.7/$B$25</f>
        <v>-18.590454474788828</v>
      </c>
      <c r="M60" s="34"/>
      <c r="N60" s="2"/>
      <c r="O60" s="2"/>
      <c r="P60" s="2"/>
      <c r="Q60" s="2"/>
      <c r="R60" s="2"/>
      <c r="S60" s="2"/>
      <c r="T60" s="18">
        <v>5.84</v>
      </c>
      <c r="U60" s="18">
        <v>18.52825</v>
      </c>
      <c r="V60" s="2"/>
      <c r="W60" s="16">
        <v>206</v>
      </c>
      <c r="X60" s="2"/>
      <c r="Y60" s="16" t="s">
        <v>528</v>
      </c>
      <c r="Z60" s="2">
        <v>2304</v>
      </c>
      <c r="AA60" s="2"/>
      <c r="AD60" s="18"/>
      <c r="AE60" s="2"/>
      <c r="AF60" s="26"/>
      <c r="AG60" s="2"/>
      <c r="AH60" s="179"/>
      <c r="AI60" s="7"/>
      <c r="AJ60" s="7"/>
      <c r="AK60" s="2"/>
      <c r="AL60" s="2"/>
    </row>
    <row r="61" spans="2:38" x14ac:dyDescent="0.25">
      <c r="B61" s="2"/>
      <c r="C61" s="2" t="s">
        <v>91</v>
      </c>
      <c r="D61" s="7">
        <v>-0.33800000000000002</v>
      </c>
      <c r="E61" s="7">
        <v>-0.106</v>
      </c>
      <c r="F61" s="7">
        <v>-1.4890000000000001</v>
      </c>
      <c r="G61" s="7">
        <v>4.0270000000000001</v>
      </c>
      <c r="H61" s="7">
        <v>1</v>
      </c>
      <c r="I61" s="29">
        <v>70</v>
      </c>
      <c r="J61" s="29">
        <v>78</v>
      </c>
      <c r="K61" s="7">
        <v>4.92</v>
      </c>
      <c r="L61" s="7">
        <f>-597.9/$B$25</f>
        <v>-6.1968181582629418</v>
      </c>
      <c r="M61" s="34"/>
      <c r="N61" s="2"/>
      <c r="O61" s="2"/>
      <c r="P61" s="2"/>
      <c r="Q61" s="2"/>
      <c r="R61" s="2"/>
      <c r="S61" s="2"/>
      <c r="T61" s="18">
        <v>1.97</v>
      </c>
      <c r="U61" s="18">
        <v>8.4</v>
      </c>
      <c r="V61" s="2"/>
      <c r="W61" s="16">
        <v>225</v>
      </c>
      <c r="X61" s="2"/>
      <c r="Y61" s="16" t="s">
        <v>528</v>
      </c>
      <c r="Z61" s="2">
        <v>1570</v>
      </c>
      <c r="AA61" s="2"/>
      <c r="AD61" s="18"/>
      <c r="AE61" s="2"/>
      <c r="AF61" s="26"/>
      <c r="AG61" s="2"/>
      <c r="AH61" s="179"/>
      <c r="AI61" s="7"/>
      <c r="AJ61" s="7"/>
      <c r="AK61" s="2"/>
      <c r="AL61" s="2"/>
    </row>
    <row r="62" spans="2:38" x14ac:dyDescent="0.25">
      <c r="B62" s="2"/>
      <c r="C62" s="2" t="s">
        <v>93</v>
      </c>
      <c r="D62" s="7">
        <v>-0.33800000000000002</v>
      </c>
      <c r="E62" s="7">
        <v>-0.33800000000000002</v>
      </c>
      <c r="F62" s="7">
        <v>-1.8360000000000001</v>
      </c>
      <c r="G62" s="7">
        <v>3.7690000000000001</v>
      </c>
      <c r="H62" s="7">
        <v>1</v>
      </c>
      <c r="I62" s="29">
        <v>50</v>
      </c>
      <c r="J62" s="29">
        <v>71</v>
      </c>
      <c r="K62" s="7">
        <v>1.97</v>
      </c>
      <c r="L62" s="7">
        <f>-634.3/$B$25</f>
        <v>-6.5740788723635797</v>
      </c>
      <c r="M62" s="34"/>
      <c r="N62" s="2"/>
      <c r="O62" s="2"/>
      <c r="P62" s="2"/>
      <c r="Q62" s="2"/>
      <c r="R62" s="2"/>
      <c r="S62" s="2"/>
      <c r="T62" s="18">
        <v>2.2599999999999998</v>
      </c>
      <c r="U62" s="18">
        <v>8.43</v>
      </c>
      <c r="V62" s="2"/>
      <c r="W62" s="16">
        <v>194</v>
      </c>
      <c r="X62" s="2"/>
      <c r="Y62" s="16" t="s">
        <v>532</v>
      </c>
      <c r="Z62" s="2">
        <v>195</v>
      </c>
      <c r="AA62" s="2"/>
      <c r="AD62" s="18"/>
      <c r="AE62" s="2"/>
      <c r="AF62" s="26"/>
      <c r="AG62" s="2"/>
      <c r="AH62" s="179"/>
      <c r="AI62" s="7"/>
      <c r="AJ62" s="7"/>
      <c r="AK62" s="2"/>
      <c r="AL62" s="2"/>
    </row>
    <row r="63" spans="2:38" x14ac:dyDescent="0.25">
      <c r="B63" s="2"/>
      <c r="C63" s="2" t="s">
        <v>94</v>
      </c>
      <c r="D63" s="7">
        <v>-0.33800000000000002</v>
      </c>
      <c r="E63" s="7">
        <v>-0.155</v>
      </c>
      <c r="F63" s="7">
        <v>-2.3090000000000002</v>
      </c>
      <c r="G63" s="7">
        <v>7.4749999999999996</v>
      </c>
      <c r="H63" s="7">
        <v>3</v>
      </c>
      <c r="I63" s="29">
        <v>92</v>
      </c>
      <c r="J63" s="29">
        <v>227</v>
      </c>
      <c r="K63" s="7">
        <v>4.0199999999999996</v>
      </c>
      <c r="L63" s="7">
        <f>-1878.2/$B$25</f>
        <v>-19.466238275379592</v>
      </c>
      <c r="M63" s="34"/>
      <c r="N63" s="2"/>
      <c r="O63" s="2"/>
      <c r="P63" s="2"/>
      <c r="Q63" s="2"/>
      <c r="R63" s="2"/>
      <c r="S63" s="2"/>
      <c r="T63" s="18">
        <v>9.5</v>
      </c>
      <c r="U63" s="18">
        <v>13.91825</v>
      </c>
      <c r="V63" s="2"/>
      <c r="W63" s="16">
        <v>206</v>
      </c>
      <c r="X63" s="2"/>
      <c r="Y63" s="16" t="s">
        <v>528</v>
      </c>
      <c r="Z63" s="2">
        <v>2427</v>
      </c>
      <c r="AA63" s="2"/>
      <c r="AD63" s="18"/>
      <c r="AE63" s="2"/>
      <c r="AF63" s="26"/>
      <c r="AG63" s="2"/>
      <c r="AH63" s="179"/>
      <c r="AI63" s="7"/>
      <c r="AJ63" s="7"/>
      <c r="AK63" s="2"/>
      <c r="AL63" s="2"/>
    </row>
    <row r="64" spans="2:38" x14ac:dyDescent="0.25">
      <c r="B64" s="2"/>
      <c r="C64" s="2" t="s">
        <v>96</v>
      </c>
      <c r="D64" s="7">
        <v>-0.33800000000000002</v>
      </c>
      <c r="E64" s="7">
        <v>-0.17499999999999999</v>
      </c>
      <c r="F64" s="7">
        <v>-2.1230000000000002</v>
      </c>
      <c r="G64" s="7">
        <v>5.1239999999999997</v>
      </c>
      <c r="H64" s="7">
        <v>2</v>
      </c>
      <c r="I64" s="29">
        <v>119</v>
      </c>
      <c r="J64" s="29">
        <v>151</v>
      </c>
      <c r="K64" s="7">
        <v>4.4400000000000004</v>
      </c>
      <c r="L64" s="7">
        <f>-601.6/$B$25</f>
        <v>-6.2351660879929529</v>
      </c>
      <c r="M64" s="34"/>
      <c r="N64" s="2">
        <v>1.5249999999999999</v>
      </c>
      <c r="O64" s="2">
        <v>6</v>
      </c>
      <c r="P64" s="2">
        <v>6</v>
      </c>
      <c r="Q64" s="2">
        <v>1.004</v>
      </c>
      <c r="R64" s="2">
        <v>2.1280000000000001</v>
      </c>
      <c r="S64" s="2">
        <v>1.851</v>
      </c>
      <c r="T64" s="18">
        <v>3.47</v>
      </c>
      <c r="U64" s="18">
        <v>9.64</v>
      </c>
      <c r="V64" s="2">
        <v>0.78</v>
      </c>
      <c r="W64" s="16">
        <v>225</v>
      </c>
      <c r="X64" s="2">
        <v>1</v>
      </c>
      <c r="Y64" s="16" t="s">
        <v>528</v>
      </c>
      <c r="Z64" s="2">
        <v>2825</v>
      </c>
      <c r="AA64" s="2"/>
      <c r="AD64" s="18"/>
      <c r="AE64" s="2"/>
      <c r="AF64" s="26"/>
      <c r="AG64" s="2"/>
      <c r="AH64" s="179"/>
      <c r="AI64" s="7"/>
      <c r="AJ64" s="7"/>
      <c r="AK64" s="2"/>
      <c r="AL64" s="2"/>
    </row>
    <row r="65" spans="2:38" x14ac:dyDescent="0.25">
      <c r="B65" s="2"/>
      <c r="C65" s="2" t="s">
        <v>98</v>
      </c>
      <c r="D65" s="7">
        <v>-0.26700000000000002</v>
      </c>
      <c r="E65" s="7">
        <v>-0.26700000000000002</v>
      </c>
      <c r="F65" s="7">
        <v>-2.5009999999999999</v>
      </c>
      <c r="G65" s="7">
        <v>4.76</v>
      </c>
      <c r="H65" s="7">
        <v>3</v>
      </c>
      <c r="I65" s="29">
        <v>51</v>
      </c>
      <c r="J65" s="29">
        <v>150</v>
      </c>
      <c r="K65" s="7">
        <v>0.11</v>
      </c>
      <c r="L65" s="7">
        <f>-959/$B$25</f>
        <v>-9.9393688138052543</v>
      </c>
      <c r="M65" s="34"/>
      <c r="N65" s="2"/>
      <c r="O65" s="2"/>
      <c r="P65" s="2"/>
      <c r="Q65" s="2"/>
      <c r="R65" s="2"/>
      <c r="S65" s="2"/>
      <c r="T65" s="18">
        <v>4.72</v>
      </c>
      <c r="U65" s="18">
        <v>11.105500000000001</v>
      </c>
      <c r="V65" s="2"/>
      <c r="W65" s="16">
        <v>61</v>
      </c>
      <c r="X65" s="2"/>
      <c r="Y65" s="16" t="s">
        <v>531</v>
      </c>
      <c r="Z65" s="2">
        <v>1080</v>
      </c>
      <c r="AA65" s="2"/>
      <c r="AD65" s="18"/>
      <c r="AE65" s="2"/>
      <c r="AF65" s="26"/>
      <c r="AG65" s="2"/>
      <c r="AH65" s="179"/>
      <c r="AI65" s="7"/>
      <c r="AJ65" s="7"/>
      <c r="AK65" s="2"/>
      <c r="AL65" s="2"/>
    </row>
    <row r="66" spans="2:38" x14ac:dyDescent="0.25">
      <c r="B66" s="2"/>
      <c r="C66" s="2" t="s">
        <v>99</v>
      </c>
      <c r="D66" s="7">
        <v>-0.26700000000000002</v>
      </c>
      <c r="E66" s="7">
        <v>-0.26700000000000002</v>
      </c>
      <c r="F66" s="7">
        <v>-2.444</v>
      </c>
      <c r="G66" s="7">
        <v>4.8040000000000003</v>
      </c>
      <c r="H66" s="7">
        <v>2.67</v>
      </c>
      <c r="I66" s="29">
        <v>47</v>
      </c>
      <c r="J66" s="29">
        <v>127</v>
      </c>
      <c r="K66" s="7">
        <v>0.7</v>
      </c>
      <c r="L66" s="7">
        <f>-1387.8/$B$25</f>
        <v>-14.383582940353422</v>
      </c>
      <c r="M66" s="34"/>
      <c r="N66" s="2">
        <v>2.9089999999999998</v>
      </c>
      <c r="O66" s="2">
        <v>6</v>
      </c>
      <c r="P66" s="2">
        <v>4</v>
      </c>
      <c r="Q66" s="2">
        <v>0.86799999999999999</v>
      </c>
      <c r="R66" s="2">
        <v>2.0030000000000001</v>
      </c>
      <c r="S66" s="2">
        <v>2.4209999999999998</v>
      </c>
      <c r="T66" s="18">
        <v>4.59</v>
      </c>
      <c r="U66" s="18">
        <v>11.818571428571429</v>
      </c>
      <c r="V66" s="2">
        <v>0.45900000000000002</v>
      </c>
      <c r="W66" s="16">
        <v>141</v>
      </c>
      <c r="X66" s="2">
        <v>4</v>
      </c>
      <c r="Y66" s="16" t="s">
        <v>530</v>
      </c>
      <c r="Z66" s="2">
        <v>1567</v>
      </c>
      <c r="AA66" s="2"/>
      <c r="AD66" s="18"/>
      <c r="AE66" s="2"/>
      <c r="AF66" s="26"/>
      <c r="AG66" s="2"/>
      <c r="AH66" s="179"/>
      <c r="AI66" s="7"/>
      <c r="AJ66" s="7"/>
      <c r="AK66" s="2"/>
      <c r="AL66" s="2"/>
    </row>
    <row r="67" spans="2:38" x14ac:dyDescent="0.25">
      <c r="B67" s="2"/>
      <c r="C67" s="2" t="s">
        <v>100</v>
      </c>
      <c r="D67" s="7">
        <v>-0.26700000000000002</v>
      </c>
      <c r="E67" s="7">
        <v>-0.26700000000000002</v>
      </c>
      <c r="F67" s="7">
        <v>-2.3090000000000002</v>
      </c>
      <c r="G67" s="7">
        <v>4.7640000000000002</v>
      </c>
      <c r="H67" s="7">
        <v>2</v>
      </c>
      <c r="I67" s="29">
        <v>65</v>
      </c>
      <c r="J67" s="29">
        <v>143</v>
      </c>
      <c r="K67" s="7">
        <v>1.95</v>
      </c>
      <c r="L67" s="7">
        <f>-385.2/$B$25</f>
        <v>-3.9923304140539981</v>
      </c>
      <c r="M67" s="34"/>
      <c r="N67" s="2"/>
      <c r="O67" s="2"/>
      <c r="P67" s="2"/>
      <c r="Q67" s="2"/>
      <c r="R67" s="2"/>
      <c r="S67" s="2"/>
      <c r="T67" s="18">
        <v>5.19</v>
      </c>
      <c r="U67" s="18">
        <v>11.3475</v>
      </c>
      <c r="V67" s="2"/>
      <c r="W67" s="16">
        <v>225</v>
      </c>
      <c r="X67" s="2"/>
      <c r="Y67" s="16" t="s">
        <v>528</v>
      </c>
      <c r="Z67" s="2">
        <v>1839</v>
      </c>
      <c r="AA67" s="2"/>
      <c r="AD67" s="18"/>
      <c r="AE67" s="2"/>
      <c r="AF67" s="26"/>
      <c r="AG67" s="2"/>
      <c r="AH67" s="179"/>
      <c r="AI67" s="7"/>
      <c r="AJ67" s="7"/>
      <c r="AK67" s="2"/>
      <c r="AL67" s="2"/>
    </row>
    <row r="68" spans="2:38" x14ac:dyDescent="0.25">
      <c r="B68" s="2"/>
      <c r="C68" s="2" t="s">
        <v>102</v>
      </c>
      <c r="D68" s="7">
        <v>-0.26700000000000002</v>
      </c>
      <c r="E68" s="7">
        <v>-0.26700000000000002</v>
      </c>
      <c r="F68" s="7">
        <v>-2.637</v>
      </c>
      <c r="G68" s="7">
        <v>4.5209999999999999</v>
      </c>
      <c r="H68" s="7">
        <v>4</v>
      </c>
      <c r="I68" s="29">
        <v>29</v>
      </c>
      <c r="J68" s="29">
        <v>107</v>
      </c>
      <c r="K68" s="7">
        <v>1.07</v>
      </c>
      <c r="L68" s="7">
        <f>-520/$B$25</f>
        <v>-5.3894387728662485</v>
      </c>
      <c r="M68" s="34"/>
      <c r="N68" s="2"/>
      <c r="O68" s="2"/>
      <c r="P68" s="2"/>
      <c r="Q68" s="2"/>
      <c r="R68" s="2"/>
      <c r="S68" s="2"/>
      <c r="T68" s="18">
        <v>4.05</v>
      </c>
      <c r="U68" s="18">
        <v>11.878333333333332</v>
      </c>
      <c r="V68" s="2"/>
      <c r="W68" s="16">
        <v>87</v>
      </c>
      <c r="X68" s="2"/>
      <c r="Y68" s="16" t="s">
        <v>530</v>
      </c>
      <c r="Z68" s="2">
        <v>535</v>
      </c>
      <c r="AA68" s="2"/>
      <c r="AD68" s="18"/>
      <c r="AE68" s="2"/>
      <c r="AF68" s="26"/>
      <c r="AG68" s="2"/>
      <c r="AH68" s="179"/>
      <c r="AI68" s="7"/>
      <c r="AJ68" s="7"/>
      <c r="AK68" s="2"/>
      <c r="AL68" s="2"/>
    </row>
    <row r="69" spans="2:38" x14ac:dyDescent="0.25">
      <c r="B69" s="2"/>
      <c r="C69" s="2" t="s">
        <v>103</v>
      </c>
      <c r="D69" s="7">
        <v>-0.153</v>
      </c>
      <c r="E69" s="7">
        <v>-0.153</v>
      </c>
      <c r="F69" s="7">
        <v>-3.0510000000000002</v>
      </c>
      <c r="G69" s="7">
        <v>5.7329999999999997</v>
      </c>
      <c r="H69" s="7">
        <v>5.75</v>
      </c>
      <c r="I69" s="29">
        <v>33</v>
      </c>
      <c r="J69" s="29">
        <v>80</v>
      </c>
      <c r="K69" s="7">
        <v>1.04</v>
      </c>
      <c r="L69" s="7" t="s">
        <v>304</v>
      </c>
      <c r="M69" s="34"/>
      <c r="N69" s="2"/>
      <c r="O69" s="2"/>
      <c r="P69" s="2"/>
      <c r="Q69" s="2"/>
      <c r="R69" s="2"/>
      <c r="S69" s="2"/>
      <c r="T69" s="18">
        <v>4.0599999999999996</v>
      </c>
      <c r="U69" s="18">
        <v>14.986370967741935</v>
      </c>
      <c r="V69" s="2"/>
      <c r="W69" s="16">
        <v>13</v>
      </c>
      <c r="X69" s="2"/>
      <c r="Y69" s="16" t="s">
        <v>529</v>
      </c>
      <c r="Z69" s="2" t="s">
        <v>304</v>
      </c>
      <c r="AA69" s="2"/>
      <c r="AD69" s="18"/>
      <c r="AE69" s="2"/>
      <c r="AF69" s="26"/>
      <c r="AG69" s="2"/>
      <c r="AH69" s="179"/>
      <c r="AI69" s="7"/>
      <c r="AJ69" s="7"/>
      <c r="AK69" s="2"/>
      <c r="AL69" s="2"/>
    </row>
    <row r="70" spans="2:38" x14ac:dyDescent="0.25">
      <c r="B70" s="2"/>
      <c r="C70" s="2" t="s">
        <v>104</v>
      </c>
      <c r="D70" s="7">
        <v>-0.153</v>
      </c>
      <c r="E70" s="7">
        <v>-0.153</v>
      </c>
      <c r="F70" s="7">
        <v>-2.9460000000000002</v>
      </c>
      <c r="G70" s="7">
        <v>6.149</v>
      </c>
      <c r="H70" s="7">
        <v>4</v>
      </c>
      <c r="I70" s="29">
        <v>89</v>
      </c>
      <c r="J70" s="29">
        <v>219</v>
      </c>
      <c r="K70" s="7">
        <v>0</v>
      </c>
      <c r="L70" s="7">
        <f>-588.9/$B$25</f>
        <v>-6.1035394102710265</v>
      </c>
      <c r="M70" s="34"/>
      <c r="N70" s="2">
        <v>6.8209999999999997</v>
      </c>
      <c r="O70" s="2">
        <v>6</v>
      </c>
      <c r="P70" s="2">
        <v>3</v>
      </c>
      <c r="Q70" s="2">
        <v>0.96199999999999997</v>
      </c>
      <c r="R70" s="2">
        <v>1.9910000000000001</v>
      </c>
      <c r="S70" s="2">
        <v>4.0890000000000004</v>
      </c>
      <c r="T70" s="18">
        <v>5.8</v>
      </c>
      <c r="U70" s="18">
        <v>12.204166666666666</v>
      </c>
      <c r="V70" s="2">
        <v>0.43099999999999999</v>
      </c>
      <c r="W70" s="16">
        <v>136</v>
      </c>
      <c r="X70" s="2">
        <v>6</v>
      </c>
      <c r="Y70" s="16" t="s">
        <v>530</v>
      </c>
      <c r="Z70" s="2">
        <v>1100</v>
      </c>
      <c r="AA70" s="2"/>
      <c r="AD70" s="18"/>
      <c r="AE70" s="2"/>
      <c r="AF70" s="26"/>
      <c r="AG70" s="2"/>
      <c r="AH70" s="179"/>
      <c r="AI70" s="7"/>
      <c r="AJ70" s="7"/>
      <c r="AK70" s="2"/>
      <c r="AL70" s="2"/>
    </row>
    <row r="71" spans="2:38" x14ac:dyDescent="0.25">
      <c r="B71" s="2"/>
      <c r="C71" s="2" t="s">
        <v>106</v>
      </c>
      <c r="D71" s="7">
        <v>-0.33800000000000002</v>
      </c>
      <c r="E71" s="7">
        <v>-0.153</v>
      </c>
      <c r="F71" s="7">
        <v>-3.0619999999999998</v>
      </c>
      <c r="G71" s="7">
        <v>5.6840000000000002</v>
      </c>
      <c r="H71" s="7">
        <v>6</v>
      </c>
      <c r="I71" s="29">
        <v>36</v>
      </c>
      <c r="J71" s="29">
        <v>33</v>
      </c>
      <c r="K71" s="7">
        <v>1.37</v>
      </c>
      <c r="L71" s="7">
        <f>-745.1/$B$25</f>
        <v>-7.7224439031973882</v>
      </c>
      <c r="M71" s="34"/>
      <c r="N71" s="2"/>
      <c r="O71" s="2"/>
      <c r="P71" s="2"/>
      <c r="Q71" s="2"/>
      <c r="R71" s="2"/>
      <c r="S71" s="2"/>
      <c r="T71" s="18">
        <v>4.12</v>
      </c>
      <c r="U71" s="18">
        <v>14.508749999999999</v>
      </c>
      <c r="V71" s="2"/>
      <c r="W71" s="16">
        <v>14</v>
      </c>
      <c r="X71" s="2"/>
      <c r="Y71" s="16" t="s">
        <v>529</v>
      </c>
      <c r="Z71" s="2">
        <v>801</v>
      </c>
      <c r="AA71" s="2"/>
      <c r="AD71" s="18"/>
      <c r="AE71" s="2"/>
      <c r="AF71" s="26"/>
      <c r="AG71" s="2"/>
      <c r="AH71" s="179"/>
      <c r="AI71" s="7"/>
      <c r="AJ71" s="7"/>
      <c r="AK71" s="2"/>
      <c r="AL71" s="2"/>
    </row>
    <row r="72" spans="2:38" x14ac:dyDescent="0.25">
      <c r="B72" s="2"/>
      <c r="C72" s="2" t="s">
        <v>107</v>
      </c>
      <c r="D72" s="7">
        <v>-0.33800000000000002</v>
      </c>
      <c r="E72" s="7">
        <v>-0.10299999999999999</v>
      </c>
      <c r="F72" s="7">
        <v>-1.4379999999999999</v>
      </c>
      <c r="G72" s="7">
        <v>3.048</v>
      </c>
      <c r="H72" s="7">
        <v>1</v>
      </c>
      <c r="I72" s="29">
        <v>30</v>
      </c>
      <c r="J72" s="29">
        <v>46</v>
      </c>
      <c r="K72" s="7">
        <v>1.87</v>
      </c>
      <c r="L72" s="7">
        <f>-414.2/$B$25</f>
        <v>-4.2928952686946156</v>
      </c>
      <c r="M72" s="34"/>
      <c r="N72" s="2"/>
      <c r="O72" s="2"/>
      <c r="P72" s="2"/>
      <c r="Q72" s="2"/>
      <c r="R72" s="2"/>
      <c r="S72" s="2"/>
      <c r="T72" s="18">
        <v>2.35</v>
      </c>
      <c r="U72" s="18">
        <v>14.596666666666666</v>
      </c>
      <c r="V72" s="2"/>
      <c r="W72" s="16">
        <v>225</v>
      </c>
      <c r="X72" s="2"/>
      <c r="Y72" s="16" t="s">
        <v>528</v>
      </c>
      <c r="Z72" s="2">
        <v>1132</v>
      </c>
      <c r="AA72" s="2"/>
      <c r="AD72" s="18"/>
      <c r="AE72" s="2"/>
      <c r="AF72" s="26"/>
      <c r="AG72" s="2"/>
      <c r="AH72" s="179"/>
      <c r="AI72" s="7"/>
      <c r="AJ72" s="7"/>
      <c r="AK72" s="2"/>
      <c r="AL72" s="2"/>
    </row>
    <row r="73" spans="2:38" x14ac:dyDescent="0.25">
      <c r="B73" s="2"/>
      <c r="C73" s="2" t="s">
        <v>109</v>
      </c>
      <c r="D73" s="7">
        <v>-0.33800000000000002</v>
      </c>
      <c r="E73" s="7">
        <v>-0.33800000000000002</v>
      </c>
      <c r="F73" s="7">
        <v>-1.7889999999999999</v>
      </c>
      <c r="G73" s="7">
        <v>3.1589999999999998</v>
      </c>
      <c r="H73" s="7">
        <v>1</v>
      </c>
      <c r="I73" s="29">
        <v>29</v>
      </c>
      <c r="J73" s="29">
        <v>49</v>
      </c>
      <c r="K73" s="7">
        <v>1.76</v>
      </c>
      <c r="L73" s="7">
        <f>-510.9/$B$25</f>
        <v>-5.2951235943410895</v>
      </c>
      <c r="M73" s="34"/>
      <c r="N73" s="2"/>
      <c r="O73" s="2"/>
      <c r="P73" s="2"/>
      <c r="Q73" s="2"/>
      <c r="R73" s="2"/>
      <c r="S73" s="2"/>
      <c r="T73" s="18">
        <v>2.52</v>
      </c>
      <c r="U73" s="18">
        <v>12.825833333333334</v>
      </c>
      <c r="V73" s="2"/>
      <c r="W73" s="16">
        <v>189</v>
      </c>
      <c r="X73" s="2"/>
      <c r="Y73" s="16" t="s">
        <v>532</v>
      </c>
      <c r="Z73" s="2">
        <v>675</v>
      </c>
      <c r="AA73" s="2"/>
      <c r="AD73" s="18"/>
      <c r="AE73" s="2"/>
      <c r="AF73" s="26"/>
      <c r="AG73" s="2"/>
      <c r="AH73" s="179"/>
      <c r="AI73" s="7"/>
      <c r="AJ73" s="7"/>
      <c r="AK73" s="2"/>
      <c r="AL73" s="2"/>
    </row>
    <row r="74" spans="2:38" x14ac:dyDescent="0.25">
      <c r="B74" s="2"/>
      <c r="C74" s="2" t="s">
        <v>110</v>
      </c>
      <c r="D74" s="7">
        <v>-0.33800000000000002</v>
      </c>
      <c r="E74" s="7">
        <v>-0.33800000000000002</v>
      </c>
      <c r="F74" s="7">
        <v>-2.2240000000000002</v>
      </c>
      <c r="G74" s="7">
        <v>3.0070000000000001</v>
      </c>
      <c r="H74" s="7">
        <v>4</v>
      </c>
      <c r="I74" s="29">
        <v>24</v>
      </c>
      <c r="J74" s="29">
        <v>50</v>
      </c>
      <c r="K74" s="7">
        <v>0</v>
      </c>
      <c r="L74" s="7">
        <f>-260.2/$B$25</f>
        <v>-2.6967922474996113</v>
      </c>
      <c r="M74" s="34"/>
      <c r="N74" s="2"/>
      <c r="O74" s="2"/>
      <c r="P74" s="2"/>
      <c r="Q74" s="2"/>
      <c r="R74" s="2"/>
      <c r="S74" s="2"/>
      <c r="T74" s="18">
        <v>2.19</v>
      </c>
      <c r="U74" s="18">
        <v>13.896666666666667</v>
      </c>
      <c r="V74" s="2"/>
      <c r="W74" s="16">
        <v>58</v>
      </c>
      <c r="X74" s="2"/>
      <c r="Y74" s="16" t="s">
        <v>531</v>
      </c>
      <c r="Z74" s="2">
        <v>552</v>
      </c>
      <c r="AA74" s="2"/>
      <c r="AD74" s="18"/>
      <c r="AE74" s="2"/>
      <c r="AF74" s="26"/>
      <c r="AG74" s="2"/>
      <c r="AH74" s="179"/>
      <c r="AI74" s="7"/>
      <c r="AJ74" s="7"/>
      <c r="AK74" s="2"/>
      <c r="AL74" s="2"/>
    </row>
    <row r="75" spans="2:38" x14ac:dyDescent="0.25">
      <c r="B75" s="2"/>
      <c r="C75" s="2" t="s">
        <v>111</v>
      </c>
      <c r="D75" s="7">
        <v>-0.33800000000000002</v>
      </c>
      <c r="E75" s="7">
        <v>-0.14399999999999999</v>
      </c>
      <c r="F75" s="7">
        <v>-2.7639999999999998</v>
      </c>
      <c r="G75" s="7">
        <v>7.1139999999999999</v>
      </c>
      <c r="H75" s="7">
        <v>5</v>
      </c>
      <c r="I75" s="29">
        <v>49</v>
      </c>
      <c r="J75" s="29">
        <v>139</v>
      </c>
      <c r="K75" s="7">
        <v>1.92</v>
      </c>
      <c r="L75" s="7">
        <f>-1899.5/$B$25</f>
        <v>-19.686997978960459</v>
      </c>
      <c r="M75" s="34"/>
      <c r="N75" s="2">
        <v>7.5229999999999997</v>
      </c>
      <c r="O75" s="2">
        <v>6</v>
      </c>
      <c r="P75" s="2">
        <v>4</v>
      </c>
      <c r="Q75" s="2">
        <v>0.86199999999999999</v>
      </c>
      <c r="R75" s="2">
        <v>1.827</v>
      </c>
      <c r="S75" s="2">
        <v>5.1760000000000002</v>
      </c>
      <c r="T75" s="18">
        <v>4.29</v>
      </c>
      <c r="U75" s="18">
        <v>14.696071428571429</v>
      </c>
      <c r="V75" s="2">
        <v>0.31</v>
      </c>
      <c r="W75" s="16">
        <v>12</v>
      </c>
      <c r="X75" s="2">
        <v>6</v>
      </c>
      <c r="Y75" s="16" t="s">
        <v>529</v>
      </c>
      <c r="Z75" s="2">
        <v>1512</v>
      </c>
      <c r="AA75" s="2"/>
      <c r="AD75" s="18"/>
      <c r="AE75" s="2"/>
      <c r="AF75" s="26"/>
      <c r="AG75" s="2"/>
      <c r="AH75" s="179"/>
      <c r="AI75" s="7"/>
      <c r="AJ75" s="7"/>
      <c r="AK75" s="2"/>
      <c r="AL75" s="2"/>
    </row>
    <row r="76" spans="2:38" x14ac:dyDescent="0.25">
      <c r="B76" s="2"/>
      <c r="C76" s="2" t="s">
        <v>113</v>
      </c>
      <c r="D76" s="7">
        <v>-0.125</v>
      </c>
      <c r="E76" s="7">
        <v>-0.125</v>
      </c>
      <c r="F76" s="7">
        <v>-2.3460000000000001</v>
      </c>
      <c r="G76" s="7">
        <v>6.5609999999999999</v>
      </c>
      <c r="H76" s="7">
        <v>2</v>
      </c>
      <c r="I76" s="29">
        <v>140</v>
      </c>
      <c r="J76" s="29">
        <v>244</v>
      </c>
      <c r="K76" s="7" t="s">
        <v>304</v>
      </c>
      <c r="L76" s="7">
        <f>-405.8/$B$25</f>
        <v>-4.2058351039021611</v>
      </c>
      <c r="M76" s="34"/>
      <c r="N76" s="2"/>
      <c r="O76" s="2"/>
      <c r="P76" s="2"/>
      <c r="Q76" s="2"/>
      <c r="R76" s="2"/>
      <c r="S76" s="2"/>
      <c r="T76" s="18" t="s">
        <v>304</v>
      </c>
      <c r="U76" s="18" t="s">
        <v>304</v>
      </c>
      <c r="V76" s="2"/>
      <c r="W76" s="16" t="s">
        <v>304</v>
      </c>
      <c r="X76" s="2"/>
      <c r="Y76" s="16" t="s">
        <v>304</v>
      </c>
      <c r="Z76" s="2">
        <v>1936</v>
      </c>
      <c r="AA76" s="2"/>
      <c r="AD76" s="18"/>
      <c r="AE76" s="2"/>
      <c r="AF76" s="26"/>
      <c r="AG76" s="2"/>
      <c r="AH76" s="179"/>
      <c r="AI76" s="7"/>
      <c r="AJ76" s="7"/>
      <c r="AK76" s="2"/>
      <c r="AL76" s="2"/>
    </row>
    <row r="77" spans="2:38" x14ac:dyDescent="0.25">
      <c r="B77" s="2"/>
      <c r="C77" s="2" t="s">
        <v>112</v>
      </c>
      <c r="D77" s="7">
        <v>-0.14399999999999999</v>
      </c>
      <c r="E77" s="7">
        <v>-0.14399999999999999</v>
      </c>
      <c r="F77" s="7">
        <v>-2.665</v>
      </c>
      <c r="G77" s="7">
        <v>7.1740000000000004</v>
      </c>
      <c r="H77" s="7">
        <v>4</v>
      </c>
      <c r="I77" s="29">
        <v>80</v>
      </c>
      <c r="J77" s="29">
        <v>206</v>
      </c>
      <c r="K77" s="7">
        <v>0.17</v>
      </c>
      <c r="L77" s="7">
        <f>-796.2/$B$25</f>
        <v>-8.2520599056848223</v>
      </c>
      <c r="M77" s="34"/>
      <c r="N77" s="2"/>
      <c r="O77" s="2"/>
      <c r="P77" s="2"/>
      <c r="Q77" s="2"/>
      <c r="R77" s="2"/>
      <c r="S77" s="2"/>
      <c r="T77" s="18">
        <v>5.68</v>
      </c>
      <c r="U77" s="18">
        <v>12.182083333333333</v>
      </c>
      <c r="V77" s="2"/>
      <c r="W77" s="16">
        <v>88</v>
      </c>
      <c r="X77" s="2"/>
      <c r="Y77" s="16" t="s">
        <v>530</v>
      </c>
      <c r="Z77" s="2">
        <v>1901</v>
      </c>
      <c r="AA77" s="2"/>
      <c r="AD77" s="18"/>
      <c r="AE77" s="2"/>
      <c r="AF77" s="26"/>
      <c r="AG77" s="2"/>
      <c r="AH77" s="179"/>
      <c r="AI77" s="7"/>
      <c r="AJ77" s="7"/>
      <c r="AK77" s="2"/>
      <c r="AL77" s="2"/>
    </row>
    <row r="78" spans="2:38" x14ac:dyDescent="0.25">
      <c r="B78" s="2"/>
      <c r="C78" s="2" t="s">
        <v>115</v>
      </c>
      <c r="D78" s="7">
        <v>-0.18</v>
      </c>
      <c r="E78" s="7">
        <v>-0.18</v>
      </c>
      <c r="F78" s="7">
        <v>-2.2120000000000002</v>
      </c>
      <c r="G78" s="7">
        <v>6.7229999999999999</v>
      </c>
      <c r="H78" s="7">
        <v>3</v>
      </c>
      <c r="I78" s="29">
        <v>51</v>
      </c>
      <c r="J78" s="29">
        <v>124</v>
      </c>
      <c r="K78" s="7">
        <v>3.71</v>
      </c>
      <c r="L78" s="7">
        <f>-1807.9/$B$25</f>
        <v>-18.737627610509406</v>
      </c>
      <c r="M78" s="34"/>
      <c r="N78" s="2"/>
      <c r="O78" s="2"/>
      <c r="P78" s="2"/>
      <c r="Q78" s="2"/>
      <c r="R78" s="2"/>
      <c r="S78" s="2"/>
      <c r="T78" s="18">
        <v>6.4</v>
      </c>
      <c r="U78" s="18">
        <v>17.472749999999998</v>
      </c>
      <c r="V78" s="2"/>
      <c r="W78" s="16">
        <v>206</v>
      </c>
      <c r="X78" s="2"/>
      <c r="Y78" s="16" t="s">
        <v>528</v>
      </c>
      <c r="Z78" s="2">
        <v>2233</v>
      </c>
      <c r="AA78" s="2"/>
      <c r="AD78" s="18"/>
      <c r="AE78" s="2"/>
      <c r="AF78" s="26"/>
      <c r="AG78" s="2"/>
      <c r="AH78" s="179"/>
      <c r="AI78" s="7"/>
      <c r="AJ78" s="7"/>
      <c r="AK78" s="2"/>
      <c r="AL78" s="2"/>
    </row>
    <row r="79" spans="2:38" x14ac:dyDescent="0.25">
      <c r="B79" s="2"/>
      <c r="C79" s="2" t="s">
        <v>117</v>
      </c>
      <c r="D79" s="7">
        <v>-0.33800000000000002</v>
      </c>
      <c r="E79" s="7">
        <v>-0.33800000000000002</v>
      </c>
      <c r="F79" s="7">
        <v>-2.673</v>
      </c>
      <c r="G79" s="7">
        <v>4.194</v>
      </c>
      <c r="H79" s="7">
        <v>2.67</v>
      </c>
      <c r="I79" s="29">
        <v>78</v>
      </c>
      <c r="J79" s="29">
        <v>146</v>
      </c>
      <c r="K79" s="7">
        <v>0.4</v>
      </c>
      <c r="L79" s="7" t="s">
        <v>304</v>
      </c>
      <c r="M79" s="34"/>
      <c r="N79" s="2"/>
      <c r="O79" s="2"/>
      <c r="P79" s="2"/>
      <c r="Q79" s="2"/>
      <c r="R79" s="2"/>
      <c r="S79" s="2"/>
      <c r="T79" s="18">
        <v>5.55</v>
      </c>
      <c r="U79" s="18">
        <v>10.267142857142858</v>
      </c>
      <c r="V79" s="2"/>
      <c r="W79" s="16">
        <v>65</v>
      </c>
      <c r="X79" s="2"/>
      <c r="Y79" s="16" t="s">
        <v>531</v>
      </c>
      <c r="Z79" s="2" t="s">
        <v>304</v>
      </c>
      <c r="AA79" s="2"/>
      <c r="AD79" s="18"/>
      <c r="AE79" s="2"/>
      <c r="AF79" s="26"/>
      <c r="AG79" s="2"/>
      <c r="AH79" s="179"/>
      <c r="AI79" s="7"/>
      <c r="AJ79" s="7"/>
      <c r="AK79" s="2"/>
      <c r="AL79" s="2"/>
    </row>
    <row r="80" spans="2:38" x14ac:dyDescent="0.25">
      <c r="B80" s="2"/>
      <c r="C80" s="2" t="s">
        <v>118</v>
      </c>
      <c r="D80" s="7">
        <v>-0.33800000000000002</v>
      </c>
      <c r="E80" s="7">
        <v>-0.33800000000000002</v>
      </c>
      <c r="F80" s="7">
        <v>-2.5630000000000002</v>
      </c>
      <c r="G80" s="7">
        <v>4.4569999999999999</v>
      </c>
      <c r="H80" s="7">
        <v>2</v>
      </c>
      <c r="I80" s="29">
        <v>69</v>
      </c>
      <c r="J80" s="29">
        <v>204</v>
      </c>
      <c r="K80" s="7">
        <v>2.3199999999999998</v>
      </c>
      <c r="L80" s="7">
        <v>-2.484</v>
      </c>
      <c r="M80" s="34"/>
      <c r="N80" s="2">
        <v>4.4539999999999997</v>
      </c>
      <c r="O80" s="2">
        <v>6</v>
      </c>
      <c r="P80" s="2">
        <v>6</v>
      </c>
      <c r="Q80" s="2">
        <v>1.014</v>
      </c>
      <c r="R80" s="2">
        <v>2.1070000000000002</v>
      </c>
      <c r="S80" s="2">
        <v>1.8680000000000001</v>
      </c>
      <c r="T80" s="18">
        <v>6.68</v>
      </c>
      <c r="U80" s="18">
        <v>9.2899999999999991</v>
      </c>
      <c r="V80" s="2">
        <v>0.58899999999999997</v>
      </c>
      <c r="W80" s="16">
        <v>225</v>
      </c>
      <c r="X80" s="2">
        <v>1</v>
      </c>
      <c r="Y80" s="16" t="s">
        <v>528</v>
      </c>
      <c r="Z80" s="2">
        <v>1955</v>
      </c>
      <c r="AA80" s="2"/>
      <c r="AD80" s="18"/>
      <c r="AE80" s="2"/>
      <c r="AF80" s="26"/>
      <c r="AG80" s="2"/>
      <c r="AH80" s="179"/>
      <c r="AI80" s="7"/>
      <c r="AJ80" s="7"/>
      <c r="AK80" s="2"/>
      <c r="AL80" s="2"/>
    </row>
    <row r="81" spans="2:38" x14ac:dyDescent="0.25">
      <c r="B81" s="2"/>
      <c r="C81" s="2" t="s">
        <v>120</v>
      </c>
      <c r="D81" s="7" t="s">
        <v>304</v>
      </c>
      <c r="E81" s="7" t="s">
        <v>304</v>
      </c>
      <c r="F81" s="7">
        <v>-2.5249999999999999</v>
      </c>
      <c r="G81" s="7">
        <v>6.9219999999999997</v>
      </c>
      <c r="H81" s="7">
        <v>4</v>
      </c>
      <c r="I81" s="29">
        <v>122</v>
      </c>
      <c r="J81" s="29">
        <v>270</v>
      </c>
      <c r="K81" s="7">
        <v>0</v>
      </c>
      <c r="L81" s="7" t="s">
        <v>304</v>
      </c>
      <c r="M81" s="34"/>
      <c r="N81" s="2"/>
      <c r="O81" s="2"/>
      <c r="P81" s="2"/>
      <c r="Q81" s="2"/>
      <c r="R81" s="2"/>
      <c r="S81" s="2"/>
      <c r="T81" s="18">
        <v>11.38</v>
      </c>
      <c r="U81" s="18">
        <v>13.083333333333334</v>
      </c>
      <c r="V81" s="2"/>
      <c r="W81" s="16">
        <v>225</v>
      </c>
      <c r="X81" s="2"/>
      <c r="Y81" s="16" t="s">
        <v>528</v>
      </c>
      <c r="Z81" s="2">
        <v>2547</v>
      </c>
      <c r="AA81" s="2"/>
      <c r="AD81" s="18"/>
      <c r="AE81" s="2"/>
      <c r="AF81" s="26"/>
      <c r="AG81" s="2"/>
      <c r="AH81" s="179"/>
      <c r="AI81" s="7"/>
      <c r="AJ81" s="7"/>
      <c r="AK81" s="2"/>
      <c r="AL81" s="2"/>
    </row>
    <row r="82" spans="2:38" x14ac:dyDescent="0.25">
      <c r="B82" s="2"/>
      <c r="C82" s="2" t="s">
        <v>122</v>
      </c>
      <c r="D82" s="7">
        <v>-0.29699999999999999</v>
      </c>
      <c r="E82" s="7">
        <v>-0.29699999999999999</v>
      </c>
      <c r="F82" s="7">
        <v>-2.964</v>
      </c>
      <c r="G82" s="7">
        <v>5.8239999999999998</v>
      </c>
      <c r="H82" s="7">
        <v>4</v>
      </c>
      <c r="I82" s="29">
        <v>103</v>
      </c>
      <c r="J82" s="29">
        <v>281</v>
      </c>
      <c r="K82" s="7">
        <v>0</v>
      </c>
      <c r="L82" s="7" t="s">
        <v>304</v>
      </c>
      <c r="M82" s="34"/>
      <c r="N82" s="2"/>
      <c r="O82" s="2"/>
      <c r="P82" s="2"/>
      <c r="Q82" s="2"/>
      <c r="R82" s="2"/>
      <c r="S82" s="2"/>
      <c r="T82" s="18">
        <v>11.21</v>
      </c>
      <c r="U82" s="18">
        <v>10.968333333333334</v>
      </c>
      <c r="V82" s="2"/>
      <c r="W82" s="16">
        <v>136</v>
      </c>
      <c r="X82" s="2"/>
      <c r="Y82" s="16" t="s">
        <v>530</v>
      </c>
      <c r="Z82" s="2" t="s">
        <v>304</v>
      </c>
      <c r="AA82" s="2"/>
      <c r="AD82" s="18"/>
      <c r="AE82" s="2"/>
      <c r="AF82" s="26"/>
      <c r="AG82" s="2"/>
      <c r="AH82" s="179"/>
      <c r="AI82" s="7"/>
      <c r="AJ82" s="7"/>
      <c r="AK82" s="2"/>
      <c r="AL82" s="2"/>
    </row>
    <row r="83" spans="2:38" x14ac:dyDescent="0.25">
      <c r="B83" s="2"/>
      <c r="C83" s="2" t="s">
        <v>124</v>
      </c>
      <c r="D83" s="7">
        <v>-0.33800000000000002</v>
      </c>
      <c r="E83" s="7">
        <v>-0.29699999999999999</v>
      </c>
      <c r="F83" s="7">
        <v>-3.1459999999999999</v>
      </c>
      <c r="G83" s="7">
        <v>5.2670000000000003</v>
      </c>
      <c r="H83" s="7">
        <v>8</v>
      </c>
      <c r="I83" s="29">
        <v>3</v>
      </c>
      <c r="J83" s="29">
        <v>4</v>
      </c>
      <c r="K83" s="7">
        <v>3.35</v>
      </c>
      <c r="L83" s="7">
        <f>-394.1/$B$25</f>
        <v>-4.0845727315126705</v>
      </c>
      <c r="M83" s="34"/>
      <c r="N83" s="2"/>
      <c r="O83" s="2"/>
      <c r="P83" s="2"/>
      <c r="Q83" s="2"/>
      <c r="R83" s="2"/>
      <c r="S83" s="2"/>
      <c r="T83" s="18">
        <v>4.51</v>
      </c>
      <c r="U83" s="18">
        <v>18.725000000000001</v>
      </c>
      <c r="V83" s="2"/>
      <c r="W83" s="16">
        <v>15</v>
      </c>
      <c r="X83" s="2"/>
      <c r="Y83" s="16" t="s">
        <v>529</v>
      </c>
      <c r="Z83" s="2">
        <v>41</v>
      </c>
      <c r="AA83" s="2"/>
      <c r="AD83" s="18"/>
      <c r="AE83" s="2"/>
      <c r="AF83" s="26"/>
      <c r="AG83" s="2"/>
      <c r="AH83" s="179"/>
      <c r="AI83" s="7"/>
      <c r="AJ83" s="7"/>
      <c r="AK83" s="2"/>
      <c r="AL83" s="2"/>
    </row>
    <row r="84" spans="2:38" x14ac:dyDescent="0.25">
      <c r="B84" s="2"/>
      <c r="C84" s="2" t="s">
        <v>125</v>
      </c>
      <c r="D84" s="7">
        <v>-0.33800000000000002</v>
      </c>
      <c r="E84" s="7">
        <v>-0.33800000000000002</v>
      </c>
      <c r="F84" s="7">
        <v>-3.024</v>
      </c>
      <c r="G84" s="7">
        <v>5.2990000000000004</v>
      </c>
      <c r="H84" s="7">
        <v>5</v>
      </c>
      <c r="I84" s="29">
        <v>22</v>
      </c>
      <c r="J84" s="29">
        <v>40</v>
      </c>
      <c r="K84" s="7">
        <v>5.35</v>
      </c>
      <c r="L84" s="7" t="s">
        <v>304</v>
      </c>
      <c r="M84" s="34"/>
      <c r="N84" s="2"/>
      <c r="O84" s="2"/>
      <c r="P84" s="2"/>
      <c r="Q84" s="2"/>
      <c r="R84" s="2"/>
      <c r="S84" s="2"/>
      <c r="T84" s="18">
        <v>2.5099999999999998</v>
      </c>
      <c r="U84" s="18">
        <v>13.424999999999999</v>
      </c>
      <c r="V84" s="2"/>
      <c r="W84" s="16">
        <v>43</v>
      </c>
      <c r="X84" s="2"/>
      <c r="Y84" s="16" t="s">
        <v>531</v>
      </c>
      <c r="Z84" s="2">
        <v>562</v>
      </c>
      <c r="AA84" s="2"/>
      <c r="AD84" s="18"/>
      <c r="AE84" s="2"/>
      <c r="AF84" s="26"/>
      <c r="AG84" s="2"/>
      <c r="AH84" s="179"/>
      <c r="AI84" s="7"/>
      <c r="AJ84" s="7"/>
      <c r="AK84" s="2"/>
      <c r="AL84" s="2"/>
    </row>
    <row r="85" spans="2:38" x14ac:dyDescent="0.25">
      <c r="B85" s="2"/>
      <c r="C85" s="2" t="s">
        <v>127</v>
      </c>
      <c r="D85" s="7">
        <v>-0.317</v>
      </c>
      <c r="E85" s="7">
        <v>-0.317</v>
      </c>
      <c r="F85" s="7" t="s">
        <v>304</v>
      </c>
      <c r="G85" s="7" t="s">
        <v>304</v>
      </c>
      <c r="H85" s="7">
        <v>4</v>
      </c>
      <c r="I85" s="29">
        <v>103</v>
      </c>
      <c r="J85" s="29">
        <v>203</v>
      </c>
      <c r="K85" s="7">
        <v>0</v>
      </c>
      <c r="L85" s="7" t="s">
        <v>304</v>
      </c>
      <c r="M85" s="34"/>
      <c r="N85" s="2"/>
      <c r="O85" s="2"/>
      <c r="P85" s="2"/>
      <c r="Q85" s="2"/>
      <c r="R85" s="2"/>
      <c r="S85" s="2"/>
      <c r="T85" s="18">
        <v>10.75</v>
      </c>
      <c r="U85" s="18">
        <v>13.546666666666667</v>
      </c>
      <c r="V85" s="2"/>
      <c r="W85" s="16">
        <v>225</v>
      </c>
      <c r="X85" s="2"/>
      <c r="Y85" s="16" t="s">
        <v>528</v>
      </c>
      <c r="Z85" s="2" t="s">
        <v>304</v>
      </c>
      <c r="AA85" s="2"/>
      <c r="AD85" s="18"/>
      <c r="AE85" s="2"/>
      <c r="AF85" s="26"/>
      <c r="AG85" s="2"/>
      <c r="AH85" s="179"/>
      <c r="AI85" s="7"/>
      <c r="AJ85" s="7"/>
      <c r="AK85" s="2"/>
      <c r="AL85" s="2"/>
    </row>
    <row r="86" spans="2:38" x14ac:dyDescent="0.25">
      <c r="B86" s="2"/>
      <c r="C86" s="2" t="s">
        <v>129</v>
      </c>
      <c r="D86" s="7">
        <v>-0.33800000000000002</v>
      </c>
      <c r="E86" s="7">
        <v>-0.33800000000000002</v>
      </c>
      <c r="F86" s="7" t="s">
        <v>304</v>
      </c>
      <c r="G86" s="7" t="s">
        <v>304</v>
      </c>
      <c r="H86" s="7">
        <v>6</v>
      </c>
      <c r="I86" s="29">
        <v>57</v>
      </c>
      <c r="J86" s="29">
        <v>251</v>
      </c>
      <c r="K86" s="7">
        <v>0</v>
      </c>
      <c r="L86" s="7" t="s">
        <v>304</v>
      </c>
      <c r="M86" s="34"/>
      <c r="N86" s="2"/>
      <c r="O86" s="2"/>
      <c r="P86" s="2"/>
      <c r="Q86" s="2"/>
      <c r="R86" s="2"/>
      <c r="S86" s="2"/>
      <c r="T86" s="18">
        <v>11.07</v>
      </c>
      <c r="U86" s="18">
        <v>10.4625</v>
      </c>
      <c r="V86" s="2"/>
      <c r="W86" s="16">
        <v>139</v>
      </c>
      <c r="X86" s="2"/>
      <c r="Y86" s="16" t="s">
        <v>530</v>
      </c>
      <c r="Z86" s="2" t="s">
        <v>304</v>
      </c>
      <c r="AA86" s="2"/>
      <c r="AD86" s="18"/>
      <c r="AE86" s="2"/>
      <c r="AF86" s="26"/>
      <c r="AG86" s="2"/>
      <c r="AH86" s="179"/>
      <c r="AI86" s="7"/>
      <c r="AJ86" s="7"/>
      <c r="AK86" s="2"/>
      <c r="AL86" s="2"/>
    </row>
    <row r="87" spans="2:38" x14ac:dyDescent="0.25">
      <c r="B87" s="2"/>
      <c r="C87" s="2" t="s">
        <v>130</v>
      </c>
      <c r="D87" s="7">
        <v>-0.33800000000000002</v>
      </c>
      <c r="E87" s="7">
        <v>-0.33800000000000002</v>
      </c>
      <c r="F87" s="7">
        <v>-2.911</v>
      </c>
      <c r="G87" s="7">
        <v>3.8260000000000001</v>
      </c>
      <c r="H87" s="7">
        <v>2.67</v>
      </c>
      <c r="I87" s="29">
        <v>11</v>
      </c>
      <c r="J87" s="29">
        <v>40</v>
      </c>
      <c r="K87" s="7">
        <v>1.1399999999999999</v>
      </c>
      <c r="L87" s="7">
        <f>-718.4/$B$25</f>
        <v>-7.445716950821371</v>
      </c>
      <c r="M87" s="34"/>
      <c r="N87" s="2"/>
      <c r="O87" s="2"/>
      <c r="P87" s="2"/>
      <c r="Q87" s="2"/>
      <c r="R87" s="2"/>
      <c r="S87" s="2"/>
      <c r="T87" s="18">
        <v>8.18</v>
      </c>
      <c r="U87" s="18">
        <v>19.887499999999999</v>
      </c>
      <c r="V87" s="2"/>
      <c r="W87" s="16">
        <v>135</v>
      </c>
      <c r="X87" s="2"/>
      <c r="Y87" s="16" t="s">
        <v>530</v>
      </c>
      <c r="Z87" s="2">
        <v>830</v>
      </c>
      <c r="AA87" s="2"/>
      <c r="AD87" s="18"/>
      <c r="AE87" s="2"/>
      <c r="AF87" s="26"/>
      <c r="AG87" s="2"/>
      <c r="AH87" s="179"/>
      <c r="AI87" s="7"/>
      <c r="AJ87" s="7"/>
      <c r="AK87" s="2"/>
      <c r="AL87" s="2"/>
    </row>
    <row r="88" spans="2:38" x14ac:dyDescent="0.25">
      <c r="B88" s="2"/>
      <c r="C88" s="2" t="s">
        <v>131</v>
      </c>
      <c r="D88" s="7">
        <v>-0.33800000000000002</v>
      </c>
      <c r="E88" s="7">
        <v>-0.14199999999999999</v>
      </c>
      <c r="F88" s="7">
        <v>-2.831</v>
      </c>
      <c r="G88" s="7">
        <v>3.806</v>
      </c>
      <c r="H88" s="7">
        <v>2</v>
      </c>
      <c r="I88" s="29">
        <v>19</v>
      </c>
      <c r="J88" s="29">
        <v>51</v>
      </c>
      <c r="K88" s="7">
        <v>1.54</v>
      </c>
      <c r="L88" s="7">
        <f>-219/$B$25</f>
        <v>-2.2697828678032854</v>
      </c>
      <c r="M88" s="34"/>
      <c r="N88" s="2"/>
      <c r="O88" s="2"/>
      <c r="P88" s="2"/>
      <c r="Q88" s="2"/>
      <c r="R88" s="2"/>
      <c r="S88" s="2"/>
      <c r="T88" s="18">
        <v>8.43</v>
      </c>
      <c r="U88" s="18">
        <v>21.99234375</v>
      </c>
      <c r="V88" s="2"/>
      <c r="W88" s="16">
        <v>57</v>
      </c>
      <c r="X88" s="2"/>
      <c r="Y88" s="16" t="s">
        <v>531</v>
      </c>
      <c r="Z88" s="2">
        <v>897</v>
      </c>
      <c r="AA88" s="2"/>
      <c r="AD88" s="18"/>
      <c r="AE88" s="2"/>
      <c r="AF88" s="26"/>
      <c r="AG88" s="2"/>
      <c r="AH88" s="179"/>
      <c r="AI88" s="7"/>
      <c r="AJ88" s="7"/>
      <c r="AK88" s="2"/>
      <c r="AL88" s="2"/>
    </row>
    <row r="89" spans="2:38" x14ac:dyDescent="0.25">
      <c r="B89" s="2"/>
      <c r="C89" s="2" t="s">
        <v>133</v>
      </c>
      <c r="D89" s="7">
        <v>-0.33800000000000002</v>
      </c>
      <c r="E89" s="7">
        <v>-0.33800000000000002</v>
      </c>
      <c r="F89" s="7">
        <v>-3.0209999999999999</v>
      </c>
      <c r="G89" s="7">
        <v>3.7280000000000002</v>
      </c>
      <c r="H89" s="7">
        <v>4</v>
      </c>
      <c r="I89" s="29">
        <v>29</v>
      </c>
      <c r="J89" s="29">
        <v>83</v>
      </c>
      <c r="K89" s="7">
        <v>0</v>
      </c>
      <c r="L89" s="7">
        <f>-277.4/$B$25</f>
        <v>-2.8750582992174949</v>
      </c>
      <c r="M89" s="34"/>
      <c r="N89" s="2"/>
      <c r="O89" s="2"/>
      <c r="P89" s="2"/>
      <c r="Q89" s="2"/>
      <c r="R89" s="2"/>
      <c r="S89" s="2"/>
      <c r="T89" s="18">
        <v>9.19</v>
      </c>
      <c r="U89" s="18">
        <v>14.399166666666666</v>
      </c>
      <c r="V89" s="2"/>
      <c r="W89" s="16">
        <v>60</v>
      </c>
      <c r="X89" s="2"/>
      <c r="Y89" s="16" t="s">
        <v>531</v>
      </c>
      <c r="Z89" s="2">
        <v>290</v>
      </c>
      <c r="AA89" s="2"/>
      <c r="AD89" s="18"/>
      <c r="AE89" s="2"/>
      <c r="AF89" s="26"/>
      <c r="AG89" s="2"/>
      <c r="AH89" s="179"/>
      <c r="AI89" s="7"/>
      <c r="AJ89" s="7"/>
      <c r="AK89" s="2"/>
      <c r="AL89" s="2"/>
    </row>
    <row r="90" spans="2:38" x14ac:dyDescent="0.25">
      <c r="B90" s="2"/>
      <c r="C90" s="2" t="s">
        <v>134</v>
      </c>
      <c r="D90" s="7">
        <v>-0.161</v>
      </c>
      <c r="E90" s="7">
        <v>-0.161</v>
      </c>
      <c r="F90" s="7">
        <v>-2.7509999999999999</v>
      </c>
      <c r="G90" s="7">
        <v>4.048</v>
      </c>
      <c r="H90" s="7">
        <v>2</v>
      </c>
      <c r="I90" s="29">
        <v>34</v>
      </c>
      <c r="J90" s="29">
        <v>159</v>
      </c>
      <c r="K90" s="7">
        <v>0</v>
      </c>
      <c r="L90" s="7">
        <f>-85.4/$B$25</f>
        <v>-0.88511167538995705</v>
      </c>
      <c r="M90" s="34"/>
      <c r="N90" s="2">
        <v>3.907</v>
      </c>
      <c r="O90" s="2">
        <v>4</v>
      </c>
      <c r="P90" s="2">
        <v>4</v>
      </c>
      <c r="Q90" s="2">
        <v>0.90500000000000003</v>
      </c>
      <c r="R90" s="2">
        <v>2.0630000000000002</v>
      </c>
      <c r="S90" s="2">
        <v>1.925</v>
      </c>
      <c r="T90" s="18">
        <v>7.76</v>
      </c>
      <c r="U90" s="18">
        <v>13.09</v>
      </c>
      <c r="V90" s="2">
        <v>0.47399999999999998</v>
      </c>
      <c r="W90" s="16">
        <v>131</v>
      </c>
      <c r="X90" s="2">
        <v>4</v>
      </c>
      <c r="Y90" s="16" t="s">
        <v>530</v>
      </c>
      <c r="Z90" s="2">
        <v>750</v>
      </c>
      <c r="AA90" s="2"/>
      <c r="AD90" s="18"/>
      <c r="AE90" s="2"/>
      <c r="AF90" s="26"/>
      <c r="AG90" s="2"/>
      <c r="AH90" s="179"/>
      <c r="AI90" s="7"/>
      <c r="AJ90" s="7"/>
      <c r="AK90" s="2"/>
      <c r="AL90" s="2"/>
    </row>
    <row r="91" spans="2:38" x14ac:dyDescent="0.25">
      <c r="B91" s="2"/>
      <c r="C91" s="2" t="s">
        <v>136</v>
      </c>
      <c r="D91" s="7">
        <v>-0.161</v>
      </c>
      <c r="E91" s="7">
        <v>-0.161</v>
      </c>
      <c r="F91" s="7">
        <v>-2.964</v>
      </c>
      <c r="G91" s="7">
        <v>3.7759999999999998</v>
      </c>
      <c r="H91" s="7">
        <v>4</v>
      </c>
      <c r="I91" s="29">
        <v>36</v>
      </c>
      <c r="J91" s="29">
        <v>110</v>
      </c>
      <c r="K91" s="7">
        <v>0</v>
      </c>
      <c r="L91" s="7" t="s">
        <v>304</v>
      </c>
      <c r="M91" s="34"/>
      <c r="N91" s="2"/>
      <c r="O91" s="2"/>
      <c r="P91" s="2"/>
      <c r="Q91" s="2"/>
      <c r="R91" s="2"/>
      <c r="S91" s="2"/>
      <c r="T91" s="18">
        <v>6.78</v>
      </c>
      <c r="U91" s="18">
        <v>11.295</v>
      </c>
      <c r="V91" s="2"/>
      <c r="W91" s="16">
        <v>136</v>
      </c>
      <c r="X91" s="2"/>
      <c r="Y91" s="16" t="s">
        <v>530</v>
      </c>
      <c r="Z91" s="2" t="s">
        <v>304</v>
      </c>
      <c r="AA91" s="2"/>
      <c r="AD91" s="18"/>
      <c r="AE91" s="2"/>
      <c r="AF91" s="26"/>
      <c r="AG91" s="2"/>
      <c r="AH91" s="179"/>
      <c r="AI91" s="7"/>
      <c r="AJ91" s="7"/>
      <c r="AK91" s="2"/>
      <c r="AL91" s="2"/>
    </row>
    <row r="92" spans="2:38" x14ac:dyDescent="0.25">
      <c r="B92" s="2"/>
      <c r="C92" s="2" t="s">
        <v>137</v>
      </c>
      <c r="D92" s="7">
        <v>-0.2</v>
      </c>
      <c r="E92" s="7">
        <v>-0.2</v>
      </c>
      <c r="F92" s="7" t="s">
        <v>304</v>
      </c>
      <c r="G92" s="7" t="s">
        <v>304</v>
      </c>
      <c r="H92" s="7">
        <v>3</v>
      </c>
      <c r="I92" s="29">
        <v>64</v>
      </c>
      <c r="J92" s="29">
        <v>159</v>
      </c>
      <c r="K92" s="7">
        <v>3.77</v>
      </c>
      <c r="L92" s="7" t="s">
        <v>304</v>
      </c>
      <c r="M92" s="34"/>
      <c r="N92" s="2"/>
      <c r="O92" s="2"/>
      <c r="P92" s="2"/>
      <c r="Q92" s="2"/>
      <c r="R92" s="2"/>
      <c r="S92" s="2"/>
      <c r="T92" s="18">
        <v>6.61</v>
      </c>
      <c r="U92" s="18">
        <v>16.978999999999999</v>
      </c>
      <c r="V92" s="2"/>
      <c r="W92" s="16">
        <v>206</v>
      </c>
      <c r="X92" s="2"/>
      <c r="Y92" s="16" t="s">
        <v>528</v>
      </c>
      <c r="Z92" s="2" t="s">
        <v>304</v>
      </c>
      <c r="AA92" s="2"/>
      <c r="AD92" s="18"/>
      <c r="AE92" s="2"/>
      <c r="AF92" s="26"/>
      <c r="AG92" s="2"/>
      <c r="AH92" s="179"/>
      <c r="AI92" s="7"/>
      <c r="AJ92" s="7"/>
      <c r="AK92" s="2"/>
      <c r="AL92" s="2"/>
    </row>
    <row r="93" spans="2:38" x14ac:dyDescent="0.25">
      <c r="B93" s="2"/>
      <c r="C93" s="2" t="s">
        <v>139</v>
      </c>
      <c r="D93" s="7">
        <v>-0.155</v>
      </c>
      <c r="E93" s="7">
        <v>-0.155</v>
      </c>
      <c r="F93" s="7">
        <v>-2.2040000000000002</v>
      </c>
      <c r="G93" s="7">
        <v>6.7949999999999999</v>
      </c>
      <c r="H93" s="7">
        <v>3</v>
      </c>
      <c r="I93" s="29">
        <v>57</v>
      </c>
      <c r="J93" s="29">
        <v>144</v>
      </c>
      <c r="K93" s="7">
        <v>3.66</v>
      </c>
      <c r="L93" s="7">
        <f>-1809.6/$B$25</f>
        <v>-18.755246929574543</v>
      </c>
      <c r="M93" s="34"/>
      <c r="N93" s="2"/>
      <c r="O93" s="2"/>
      <c r="P93" s="2"/>
      <c r="Q93" s="2"/>
      <c r="R93" s="2"/>
      <c r="S93" s="2"/>
      <c r="T93" s="18">
        <v>6.09</v>
      </c>
      <c r="U93" s="18">
        <v>17.987000000000002</v>
      </c>
      <c r="V93" s="2"/>
      <c r="W93" s="16">
        <v>206</v>
      </c>
      <c r="X93" s="2"/>
      <c r="Y93" s="16" t="s">
        <v>528</v>
      </c>
      <c r="Z93" s="2">
        <v>2183</v>
      </c>
      <c r="AA93" s="2"/>
      <c r="AD93" s="18"/>
      <c r="AE93" s="2"/>
      <c r="AF93" s="26"/>
      <c r="AG93" s="2"/>
      <c r="AH93" s="179"/>
      <c r="AI93" s="7"/>
      <c r="AJ93" s="7"/>
      <c r="AK93" s="2"/>
      <c r="AL93" s="2"/>
    </row>
    <row r="94" spans="2:38" x14ac:dyDescent="0.25">
      <c r="B94" s="2"/>
      <c r="C94" s="2" t="s">
        <v>141</v>
      </c>
      <c r="D94" s="7">
        <v>-0.27400000000000002</v>
      </c>
      <c r="E94" s="7">
        <v>-0.27400000000000002</v>
      </c>
      <c r="F94" s="7">
        <v>-2.8839999999999999</v>
      </c>
      <c r="G94" s="7">
        <v>4.8380000000000001</v>
      </c>
      <c r="H94" s="7">
        <v>2.67</v>
      </c>
      <c r="I94" s="29">
        <v>58</v>
      </c>
      <c r="J94" s="29">
        <v>213</v>
      </c>
      <c r="K94" s="7">
        <v>0</v>
      </c>
      <c r="L94" s="7" t="s">
        <v>304</v>
      </c>
      <c r="M94" s="34"/>
      <c r="N94" s="2"/>
      <c r="O94" s="2"/>
      <c r="P94" s="2"/>
      <c r="Q94" s="2"/>
      <c r="R94" s="2"/>
      <c r="S94" s="2"/>
      <c r="T94" s="18">
        <v>11.86</v>
      </c>
      <c r="U94" s="18">
        <v>12.990714285714287</v>
      </c>
      <c r="V94" s="2"/>
      <c r="W94" s="16">
        <v>223</v>
      </c>
      <c r="X94" s="2"/>
      <c r="Y94" s="16" t="s">
        <v>528</v>
      </c>
      <c r="Z94" s="2" t="s">
        <v>304</v>
      </c>
      <c r="AA94" s="2"/>
      <c r="AD94" s="18"/>
      <c r="AE94" s="2"/>
      <c r="AF94" s="26"/>
      <c r="AG94" s="2"/>
      <c r="AH94" s="179"/>
      <c r="AI94" s="7"/>
      <c r="AJ94" s="7"/>
      <c r="AK94" s="2"/>
      <c r="AL94" s="2"/>
    </row>
    <row r="95" spans="2:38" x14ac:dyDescent="0.25">
      <c r="B95" s="2"/>
      <c r="C95" s="2" t="s">
        <v>143</v>
      </c>
      <c r="D95" s="7">
        <v>-0.27400000000000002</v>
      </c>
      <c r="E95" s="7">
        <v>-0.27400000000000002</v>
      </c>
      <c r="F95" s="7">
        <v>-2.9990000000000001</v>
      </c>
      <c r="G95" s="7">
        <v>4.625</v>
      </c>
      <c r="H95" s="7">
        <v>4</v>
      </c>
      <c r="I95" s="29">
        <v>87</v>
      </c>
      <c r="J95" s="29">
        <v>204</v>
      </c>
      <c r="K95" s="7">
        <v>0.6</v>
      </c>
      <c r="L95" s="7">
        <v>-0.56299999999999994</v>
      </c>
      <c r="M95" s="34"/>
      <c r="N95" s="2">
        <v>5.859</v>
      </c>
      <c r="O95" s="2">
        <v>6</v>
      </c>
      <c r="P95" s="2">
        <v>3</v>
      </c>
      <c r="Q95" s="2">
        <v>1.0549999999999999</v>
      </c>
      <c r="R95" s="2">
        <v>2.0579999999999998</v>
      </c>
      <c r="S95" s="2">
        <v>3.6989999999999998</v>
      </c>
      <c r="T95" s="18">
        <v>11.25</v>
      </c>
      <c r="U95" s="18">
        <v>11.173333333333334</v>
      </c>
      <c r="V95" s="2">
        <v>0.29599999999999999</v>
      </c>
      <c r="W95" s="16">
        <v>58</v>
      </c>
      <c r="X95" s="2">
        <v>3</v>
      </c>
      <c r="Y95" s="16" t="s">
        <v>531</v>
      </c>
      <c r="Z95" s="2">
        <v>450</v>
      </c>
      <c r="AA95" s="2"/>
      <c r="AD95" s="18"/>
      <c r="AE95" s="2"/>
      <c r="AF95" s="26"/>
      <c r="AG95" s="2"/>
      <c r="AH95" s="179"/>
      <c r="AI95" s="7"/>
      <c r="AJ95" s="7"/>
      <c r="AK95" s="2"/>
      <c r="AL95" s="2"/>
    </row>
    <row r="96" spans="2:38" x14ac:dyDescent="0.25">
      <c r="B96" s="2"/>
      <c r="C96" s="2" t="s">
        <v>144</v>
      </c>
      <c r="D96" s="7" t="s">
        <v>304</v>
      </c>
      <c r="E96" s="7" t="s">
        <v>304</v>
      </c>
      <c r="F96" s="7">
        <v>-2.3159999999999998</v>
      </c>
      <c r="G96" s="7">
        <v>6.4560000000000004</v>
      </c>
      <c r="H96" s="7">
        <v>3</v>
      </c>
      <c r="I96" s="29">
        <v>91</v>
      </c>
      <c r="J96" s="29">
        <v>211</v>
      </c>
      <c r="K96" s="7">
        <v>0</v>
      </c>
      <c r="L96" s="7" t="s">
        <v>304</v>
      </c>
      <c r="M96" s="34"/>
      <c r="N96" s="2"/>
      <c r="O96" s="2"/>
      <c r="P96" s="2"/>
      <c r="Q96" s="2"/>
      <c r="R96" s="2"/>
      <c r="S96" s="2"/>
      <c r="T96" s="18">
        <v>11</v>
      </c>
      <c r="U96" s="18">
        <v>16.189</v>
      </c>
      <c r="V96" s="2"/>
      <c r="W96" s="16">
        <v>206</v>
      </c>
      <c r="X96" s="2"/>
      <c r="Y96" s="16" t="s">
        <v>528</v>
      </c>
      <c r="Z96" s="2" t="s">
        <v>304</v>
      </c>
      <c r="AA96" s="2"/>
      <c r="AD96" s="18"/>
      <c r="AE96" s="2"/>
      <c r="AF96" s="26"/>
      <c r="AG96" s="2"/>
      <c r="AH96" s="179"/>
      <c r="AI96" s="7"/>
      <c r="AJ96" s="7"/>
      <c r="AK96" s="2"/>
      <c r="AL96" s="2"/>
    </row>
    <row r="97" spans="2:38" x14ac:dyDescent="0.25">
      <c r="B97" s="2"/>
      <c r="C97" s="2" t="s">
        <v>146</v>
      </c>
      <c r="D97" s="7" t="s">
        <v>304</v>
      </c>
      <c r="E97" s="7" t="s">
        <v>304</v>
      </c>
      <c r="F97" s="7">
        <v>-2.4740000000000002</v>
      </c>
      <c r="G97" s="7">
        <v>6.5609999999999999</v>
      </c>
      <c r="H97" s="7">
        <v>4</v>
      </c>
      <c r="I97" s="29">
        <v>76</v>
      </c>
      <c r="J97" s="29">
        <v>191</v>
      </c>
      <c r="K97" s="7">
        <v>0</v>
      </c>
      <c r="L97" s="7" t="s">
        <v>304</v>
      </c>
      <c r="M97" s="34"/>
      <c r="N97" s="2"/>
      <c r="O97" s="2"/>
      <c r="P97" s="2"/>
      <c r="Q97" s="2"/>
      <c r="R97" s="2"/>
      <c r="S97" s="2"/>
      <c r="T97" s="18">
        <v>11.74</v>
      </c>
      <c r="U97" s="18">
        <v>13.01</v>
      </c>
      <c r="V97" s="2"/>
      <c r="W97" s="16">
        <v>225</v>
      </c>
      <c r="X97" s="2"/>
      <c r="Y97" s="16" t="s">
        <v>528</v>
      </c>
      <c r="Z97" s="2">
        <v>2400</v>
      </c>
      <c r="AA97" s="2"/>
      <c r="AD97" s="18"/>
      <c r="AE97" s="2"/>
      <c r="AF97" s="26"/>
      <c r="AG97" s="2"/>
      <c r="AH97" s="179"/>
      <c r="AI97" s="7"/>
      <c r="AJ97" s="7"/>
      <c r="AK97" s="2"/>
      <c r="AL97" s="2"/>
    </row>
    <row r="98" spans="2:38" x14ac:dyDescent="0.25">
      <c r="B98" s="2"/>
      <c r="C98" s="2" t="s">
        <v>147</v>
      </c>
      <c r="D98" s="7">
        <v>-0.33800000000000002</v>
      </c>
      <c r="E98" s="7">
        <v>-8.5000000000000006E-2</v>
      </c>
      <c r="F98" s="7">
        <v>-1.3220000000000001</v>
      </c>
      <c r="G98" s="7">
        <v>2.5550000000000002</v>
      </c>
      <c r="H98" s="7">
        <v>1</v>
      </c>
      <c r="I98" s="29">
        <v>4</v>
      </c>
      <c r="J98" s="29">
        <v>5</v>
      </c>
      <c r="K98" s="7">
        <v>0.46</v>
      </c>
      <c r="L98" s="7">
        <f>-339/$B$25</f>
        <v>-3.5134995076954967</v>
      </c>
      <c r="M98" s="34"/>
      <c r="N98" s="2"/>
      <c r="O98" s="2"/>
      <c r="P98" s="2"/>
      <c r="Q98" s="2"/>
      <c r="R98" s="2"/>
      <c r="S98" s="2"/>
      <c r="T98" s="18">
        <v>3.23</v>
      </c>
      <c r="U98" s="18">
        <v>32.07</v>
      </c>
      <c r="V98" s="2"/>
      <c r="W98" s="16">
        <v>166</v>
      </c>
      <c r="X98" s="2"/>
      <c r="Y98" s="16" t="s">
        <v>527</v>
      </c>
      <c r="Z98" s="2">
        <v>400</v>
      </c>
      <c r="AA98" s="2"/>
      <c r="AD98" s="18"/>
      <c r="AE98" s="2"/>
      <c r="AF98" s="26"/>
      <c r="AG98" s="2"/>
      <c r="AH98" s="179"/>
      <c r="AI98" s="7"/>
      <c r="AJ98" s="7"/>
      <c r="AK98" s="2"/>
      <c r="AL98" s="2"/>
    </row>
    <row r="99" spans="2:38" x14ac:dyDescent="0.25">
      <c r="B99" s="2"/>
      <c r="C99" s="2" t="s">
        <v>150</v>
      </c>
      <c r="D99" s="7">
        <v>-0.33800000000000002</v>
      </c>
      <c r="E99" s="7">
        <v>-0.33800000000000002</v>
      </c>
      <c r="F99" s="7">
        <v>-1.68</v>
      </c>
      <c r="G99" s="7">
        <v>2.944</v>
      </c>
      <c r="H99" s="7" t="s">
        <v>304</v>
      </c>
      <c r="I99" s="29">
        <v>12</v>
      </c>
      <c r="J99" s="29">
        <v>34</v>
      </c>
      <c r="K99" s="7">
        <v>1.76</v>
      </c>
      <c r="L99" s="7">
        <f>-472/$B$25</f>
        <v>-4.8919521169093638</v>
      </c>
      <c r="M99" s="34"/>
      <c r="N99" s="2"/>
      <c r="O99" s="2"/>
      <c r="P99" s="2"/>
      <c r="Q99" s="2"/>
      <c r="R99" s="2"/>
      <c r="S99" s="2"/>
      <c r="T99" s="18">
        <v>3.62</v>
      </c>
      <c r="U99" s="18">
        <v>23.295000000000002</v>
      </c>
      <c r="V99" s="2"/>
      <c r="W99" s="16">
        <v>71</v>
      </c>
      <c r="X99" s="2"/>
      <c r="Y99" s="16" t="s">
        <v>531</v>
      </c>
      <c r="Z99" s="2">
        <v>570</v>
      </c>
      <c r="AA99" s="2"/>
      <c r="AD99" s="18"/>
      <c r="AE99" s="2"/>
      <c r="AF99" s="26"/>
      <c r="AG99" s="2"/>
      <c r="AH99" s="179"/>
      <c r="AI99" s="7"/>
      <c r="AJ99" s="7"/>
      <c r="AK99" s="2"/>
      <c r="AL99" s="2"/>
    </row>
    <row r="100" spans="2:38" x14ac:dyDescent="0.25">
      <c r="B100" s="2"/>
      <c r="C100" s="2" t="s">
        <v>148</v>
      </c>
      <c r="D100" s="7">
        <v>-8.5000000000000006E-2</v>
      </c>
      <c r="E100" s="7">
        <v>-8.5000000000000006E-2</v>
      </c>
      <c r="F100" s="7">
        <v>-1.0640000000000001</v>
      </c>
      <c r="G100" s="7">
        <v>1.804</v>
      </c>
      <c r="H100" s="7" t="s">
        <v>304</v>
      </c>
      <c r="I100" s="29">
        <v>4</v>
      </c>
      <c r="J100" s="29">
        <v>8</v>
      </c>
      <c r="K100" s="7">
        <v>0</v>
      </c>
      <c r="L100" s="7" t="s">
        <v>304</v>
      </c>
      <c r="M100" s="34"/>
      <c r="N100" s="2"/>
      <c r="O100" s="2"/>
      <c r="P100" s="2"/>
      <c r="Q100" s="2"/>
      <c r="R100" s="2"/>
      <c r="S100" s="2"/>
      <c r="T100" s="18">
        <v>1.97</v>
      </c>
      <c r="U100" s="18">
        <v>61.402272727272724</v>
      </c>
      <c r="V100" s="2"/>
      <c r="W100" s="16">
        <v>11</v>
      </c>
      <c r="X100" s="2"/>
      <c r="Y100" s="16" t="s">
        <v>529</v>
      </c>
      <c r="Z100" s="2" t="s">
        <v>304</v>
      </c>
      <c r="AA100" s="2"/>
      <c r="AD100" s="18"/>
      <c r="AE100" s="2"/>
      <c r="AF100" s="26"/>
      <c r="AG100" s="2"/>
      <c r="AH100" s="179"/>
      <c r="AI100" s="7"/>
      <c r="AJ100" s="7"/>
      <c r="AK100" s="2"/>
      <c r="AL100" s="2"/>
    </row>
    <row r="101" spans="2:38" x14ac:dyDescent="0.25">
      <c r="B101" s="2"/>
      <c r="C101" s="2" t="s">
        <v>151</v>
      </c>
      <c r="D101" s="7">
        <v>-0.33800000000000002</v>
      </c>
      <c r="E101" s="7">
        <v>-0.33800000000000002</v>
      </c>
      <c r="F101" s="7">
        <v>-2.133</v>
      </c>
      <c r="G101" s="7">
        <v>2.9729999999999999</v>
      </c>
      <c r="H101" s="7">
        <v>4</v>
      </c>
      <c r="I101" s="29">
        <v>8</v>
      </c>
      <c r="J101" s="29">
        <v>21</v>
      </c>
      <c r="K101" s="7">
        <v>0</v>
      </c>
      <c r="L101" s="7">
        <f>-278.7/$B$25</f>
        <v>-2.8885318961496607</v>
      </c>
      <c r="M101" s="34"/>
      <c r="N101" s="2"/>
      <c r="O101" s="2"/>
      <c r="P101" s="2"/>
      <c r="Q101" s="2"/>
      <c r="R101" s="2"/>
      <c r="S101" s="2"/>
      <c r="T101" s="18">
        <v>3.14</v>
      </c>
      <c r="U101" s="18">
        <v>20.68</v>
      </c>
      <c r="V101" s="2"/>
      <c r="W101" s="16">
        <v>139</v>
      </c>
      <c r="X101" s="2"/>
      <c r="Y101" s="16" t="s">
        <v>530</v>
      </c>
      <c r="Z101" s="2">
        <v>412</v>
      </c>
      <c r="AA101" s="2"/>
      <c r="AD101" s="18"/>
      <c r="AE101" s="2"/>
      <c r="AF101" s="26"/>
      <c r="AG101" s="2"/>
      <c r="AH101" s="179"/>
      <c r="AI101" s="7"/>
      <c r="AJ101" s="7"/>
      <c r="AK101" s="2"/>
      <c r="AL101" s="2"/>
    </row>
    <row r="102" spans="2:38" x14ac:dyDescent="0.25">
      <c r="B102" s="2"/>
      <c r="C102" s="2" t="s">
        <v>152</v>
      </c>
      <c r="D102" s="7">
        <v>-0.33800000000000002</v>
      </c>
      <c r="E102" s="7">
        <v>-0.25900000000000001</v>
      </c>
      <c r="F102" s="7">
        <v>-3.0150000000000001</v>
      </c>
      <c r="G102" s="7">
        <v>5.86</v>
      </c>
      <c r="H102" s="7">
        <v>7</v>
      </c>
      <c r="I102" s="29">
        <v>46</v>
      </c>
      <c r="J102" s="29">
        <v>105</v>
      </c>
      <c r="K102" s="7">
        <v>2.68</v>
      </c>
      <c r="L102" s="7">
        <f>-1240.1/$B$25</f>
        <v>-12.852775042752759</v>
      </c>
      <c r="M102" s="34"/>
      <c r="N102" s="2"/>
      <c r="O102" s="2"/>
      <c r="P102" s="2"/>
      <c r="Q102" s="2"/>
      <c r="R102" s="2"/>
      <c r="S102" s="2"/>
      <c r="T102" s="18">
        <v>5.84</v>
      </c>
      <c r="U102" s="18">
        <v>15.310277777777777</v>
      </c>
      <c r="V102" s="2"/>
      <c r="W102" s="16">
        <v>19</v>
      </c>
      <c r="X102" s="2"/>
      <c r="Y102" s="16" t="s">
        <v>531</v>
      </c>
      <c r="Z102" s="2">
        <v>297</v>
      </c>
      <c r="AA102" s="2"/>
      <c r="AD102" s="18"/>
      <c r="AE102" s="2"/>
      <c r="AF102" s="26"/>
      <c r="AG102" s="2"/>
      <c r="AH102" s="179"/>
      <c r="AI102" s="7"/>
      <c r="AJ102" s="7"/>
      <c r="AK102" s="2"/>
      <c r="AL102" s="2"/>
    </row>
    <row r="103" spans="2:38" x14ac:dyDescent="0.25">
      <c r="B103" s="2"/>
      <c r="C103" s="2" t="s">
        <v>153</v>
      </c>
      <c r="D103" s="7">
        <v>-0.25900000000000001</v>
      </c>
      <c r="E103" s="7">
        <v>-0.25900000000000001</v>
      </c>
      <c r="F103" s="7">
        <v>-2.9660000000000002</v>
      </c>
      <c r="G103" s="7">
        <v>6.117</v>
      </c>
      <c r="H103" s="7">
        <v>6</v>
      </c>
      <c r="I103" s="29">
        <v>124</v>
      </c>
      <c r="J103" s="29">
        <v>238</v>
      </c>
      <c r="K103" s="7">
        <v>0</v>
      </c>
      <c r="L103" s="7" t="s">
        <v>304</v>
      </c>
      <c r="M103" s="34"/>
      <c r="N103" s="2"/>
      <c r="O103" s="2"/>
      <c r="P103" s="2"/>
      <c r="Q103" s="2"/>
      <c r="R103" s="2"/>
      <c r="S103" s="2"/>
      <c r="T103" s="18">
        <v>7.13</v>
      </c>
      <c r="U103" s="18">
        <v>13.637499999999999</v>
      </c>
      <c r="V103" s="2"/>
      <c r="W103" s="16">
        <v>127</v>
      </c>
      <c r="X103" s="2"/>
      <c r="Y103" s="16" t="s">
        <v>530</v>
      </c>
      <c r="Z103" s="2">
        <v>400</v>
      </c>
      <c r="AA103" s="2"/>
      <c r="AD103" s="18"/>
      <c r="AE103" s="2"/>
      <c r="AF103" s="26"/>
      <c r="AG103" s="2"/>
      <c r="AH103" s="179"/>
      <c r="AI103" s="7"/>
      <c r="AJ103" s="7"/>
      <c r="AK103" s="2"/>
      <c r="AL103" s="2"/>
    </row>
    <row r="104" spans="2:38" x14ac:dyDescent="0.25">
      <c r="B104" s="2"/>
      <c r="C104" s="2" t="s">
        <v>155</v>
      </c>
      <c r="D104" s="7">
        <v>-0.23899999999999999</v>
      </c>
      <c r="E104" s="7">
        <v>-0.23899999999999999</v>
      </c>
      <c r="F104" s="7">
        <v>-2.9990000000000001</v>
      </c>
      <c r="G104" s="7">
        <v>4.8929999999999998</v>
      </c>
      <c r="H104" s="7">
        <v>4</v>
      </c>
      <c r="I104" s="29">
        <v>94</v>
      </c>
      <c r="J104" s="29">
        <v>234</v>
      </c>
      <c r="K104" s="7">
        <v>0</v>
      </c>
      <c r="L104" s="7">
        <v>-1.843</v>
      </c>
      <c r="M104" s="34"/>
      <c r="N104" s="2">
        <v>5.7320000000000002</v>
      </c>
      <c r="O104" s="2">
        <v>6</v>
      </c>
      <c r="P104" s="2">
        <v>3</v>
      </c>
      <c r="Q104" s="2">
        <v>0.97899999999999998</v>
      </c>
      <c r="R104" s="2">
        <v>1.9770000000000001</v>
      </c>
      <c r="S104" s="2">
        <v>3.5030000000000001</v>
      </c>
      <c r="T104" s="18">
        <v>6.89</v>
      </c>
      <c r="U104" s="18">
        <v>10.843333333333334</v>
      </c>
      <c r="V104" s="2">
        <v>0.373</v>
      </c>
      <c r="W104" s="16">
        <v>136</v>
      </c>
      <c r="X104" s="2">
        <v>4</v>
      </c>
      <c r="Y104" s="16" t="s">
        <v>530</v>
      </c>
      <c r="Z104" s="2" t="s">
        <v>304</v>
      </c>
      <c r="AA104" s="2"/>
      <c r="AD104" s="18"/>
      <c r="AE104" s="2"/>
      <c r="AF104" s="26"/>
      <c r="AG104" s="2"/>
      <c r="AH104" s="179"/>
      <c r="AI104" s="7"/>
      <c r="AJ104" s="7"/>
      <c r="AK104" s="2"/>
      <c r="AL104" s="2"/>
    </row>
    <row r="105" spans="2:38" x14ac:dyDescent="0.25">
      <c r="B105" s="2"/>
      <c r="C105" s="2" t="s">
        <v>157</v>
      </c>
      <c r="D105" s="7">
        <v>-0.21</v>
      </c>
      <c r="E105" s="7">
        <v>-0.21</v>
      </c>
      <c r="F105" s="7">
        <v>-2.964</v>
      </c>
      <c r="G105" s="7">
        <v>5.4580000000000002</v>
      </c>
      <c r="H105" s="7">
        <v>4</v>
      </c>
      <c r="I105" s="29">
        <v>93</v>
      </c>
      <c r="J105" s="29">
        <v>252</v>
      </c>
      <c r="K105" s="7">
        <v>0</v>
      </c>
      <c r="L105" s="7">
        <v>-3.161</v>
      </c>
      <c r="M105" s="34"/>
      <c r="N105" s="2">
        <v>6.7510000000000003</v>
      </c>
      <c r="O105" s="2">
        <v>6</v>
      </c>
      <c r="P105" s="2">
        <v>3</v>
      </c>
      <c r="Q105" s="2">
        <v>0.96299999999999997</v>
      </c>
      <c r="R105" s="2">
        <v>1.9650000000000001</v>
      </c>
      <c r="S105" s="2">
        <v>3.9209999999999998</v>
      </c>
      <c r="T105" s="18">
        <v>6.82</v>
      </c>
      <c r="U105" s="18">
        <v>10.803333333333333</v>
      </c>
      <c r="V105" s="2">
        <v>0.34</v>
      </c>
      <c r="W105" s="16">
        <v>136</v>
      </c>
      <c r="X105" s="2">
        <v>4</v>
      </c>
      <c r="Y105" s="16" t="s">
        <v>530</v>
      </c>
      <c r="Z105" s="2">
        <v>1200</v>
      </c>
      <c r="AA105" s="2"/>
      <c r="AD105" s="18"/>
      <c r="AE105" s="2"/>
      <c r="AF105" s="26"/>
      <c r="AG105" s="2"/>
      <c r="AH105" s="179"/>
      <c r="AI105" s="7"/>
      <c r="AJ105" s="7"/>
      <c r="AK105" s="2"/>
      <c r="AL105" s="2"/>
    </row>
    <row r="106" spans="2:38" x14ac:dyDescent="0.25">
      <c r="B106" s="2"/>
      <c r="C106" s="2" t="s">
        <v>159</v>
      </c>
      <c r="D106" s="7">
        <v>-0.33800000000000002</v>
      </c>
      <c r="E106" s="7">
        <v>-0.21</v>
      </c>
      <c r="F106" s="7">
        <v>-3.1459999999999999</v>
      </c>
      <c r="G106" s="7">
        <v>4.6369999999999996</v>
      </c>
      <c r="H106" s="7">
        <v>8</v>
      </c>
      <c r="I106" s="29">
        <v>22</v>
      </c>
      <c r="J106" s="29">
        <v>52</v>
      </c>
      <c r="K106" s="7">
        <v>2.4300000000000002</v>
      </c>
      <c r="L106" s="7">
        <f>-239.3/$B$25</f>
        <v>-2.480178266051718</v>
      </c>
      <c r="M106" s="34"/>
      <c r="N106" s="2"/>
      <c r="O106" s="2"/>
      <c r="P106" s="2"/>
      <c r="Q106" s="2"/>
      <c r="R106" s="2"/>
      <c r="S106" s="2"/>
      <c r="T106" s="18">
        <v>2.92</v>
      </c>
      <c r="U106" s="18">
        <v>18.768750000000001</v>
      </c>
      <c r="V106" s="2"/>
      <c r="W106" s="16">
        <v>218</v>
      </c>
      <c r="X106" s="2"/>
      <c r="Y106" s="16" t="s">
        <v>528</v>
      </c>
      <c r="Z106" s="2">
        <v>25.4</v>
      </c>
      <c r="AA106" s="2"/>
      <c r="AD106" s="18"/>
      <c r="AE106" s="2"/>
      <c r="AF106" s="26"/>
      <c r="AG106" s="2"/>
      <c r="AH106" s="179"/>
      <c r="AI106" s="7"/>
      <c r="AJ106" s="7"/>
      <c r="AK106" s="2"/>
      <c r="AL106" s="2"/>
    </row>
    <row r="107" spans="2:38" x14ac:dyDescent="0.25">
      <c r="B107" s="2"/>
      <c r="C107" s="2" t="s">
        <v>160</v>
      </c>
      <c r="D107" s="7">
        <v>-0.33800000000000002</v>
      </c>
      <c r="E107" s="7">
        <v>-0.186</v>
      </c>
      <c r="F107" s="7">
        <v>-2.7970000000000002</v>
      </c>
      <c r="G107" s="7">
        <v>4.431</v>
      </c>
      <c r="H107" s="7">
        <v>3</v>
      </c>
      <c r="I107" s="29">
        <v>20</v>
      </c>
      <c r="J107" s="29">
        <v>19</v>
      </c>
      <c r="K107" s="7">
        <v>2.2200000000000002</v>
      </c>
      <c r="L107" s="7">
        <f>-720.305/$B$25</f>
        <v>-7.4654609524796598</v>
      </c>
      <c r="M107" s="34"/>
      <c r="N107" s="2"/>
      <c r="O107" s="2"/>
      <c r="P107" s="2"/>
      <c r="Q107" s="2"/>
      <c r="R107" s="2"/>
      <c r="S107" s="2"/>
      <c r="T107" s="18">
        <v>5.36</v>
      </c>
      <c r="U107" s="18">
        <v>18.076499999999999</v>
      </c>
      <c r="V107" s="2"/>
      <c r="W107" s="16">
        <v>56</v>
      </c>
      <c r="X107" s="2"/>
      <c r="Y107" s="16" t="s">
        <v>531</v>
      </c>
      <c r="Z107" s="2">
        <v>656</v>
      </c>
      <c r="AA107" s="2"/>
      <c r="AD107" s="18"/>
      <c r="AE107" s="2"/>
      <c r="AF107" s="26"/>
      <c r="AG107" s="2"/>
      <c r="AH107" s="179"/>
      <c r="AI107" s="7"/>
      <c r="AJ107" s="7"/>
      <c r="AK107" s="2"/>
      <c r="AL107" s="2"/>
    </row>
    <row r="108" spans="2:38" x14ac:dyDescent="0.25">
      <c r="B108" s="2"/>
      <c r="C108" s="2" t="s">
        <v>162</v>
      </c>
      <c r="D108" s="7">
        <v>-0.33800000000000002</v>
      </c>
      <c r="E108" s="7">
        <v>-0.33800000000000002</v>
      </c>
      <c r="F108" s="7">
        <v>-2.9670000000000001</v>
      </c>
      <c r="G108" s="7">
        <v>4.4130000000000003</v>
      </c>
      <c r="H108" s="7">
        <v>5</v>
      </c>
      <c r="I108" s="29">
        <v>75</v>
      </c>
      <c r="J108" s="29">
        <v>127</v>
      </c>
      <c r="K108" s="7">
        <v>0.81</v>
      </c>
      <c r="L108" s="7">
        <f>-971.9/$B$25</f>
        <v>-10.073068352593667</v>
      </c>
      <c r="M108" s="34"/>
      <c r="N108" s="2"/>
      <c r="O108" s="2"/>
      <c r="P108" s="2"/>
      <c r="Q108" s="2"/>
      <c r="R108" s="2"/>
      <c r="S108" s="2"/>
      <c r="T108" s="18">
        <v>6.37</v>
      </c>
      <c r="U108" s="18">
        <v>12.055714285714286</v>
      </c>
      <c r="V108" s="2"/>
      <c r="W108" s="16">
        <v>15</v>
      </c>
      <c r="X108" s="2"/>
      <c r="Y108" s="16" t="s">
        <v>529</v>
      </c>
      <c r="Z108" s="2">
        <v>380</v>
      </c>
      <c r="AA108" s="2"/>
      <c r="AD108" s="18"/>
      <c r="AE108" s="2"/>
      <c r="AF108" s="26"/>
      <c r="AG108" s="2"/>
      <c r="AH108" s="179"/>
      <c r="AI108" s="7"/>
      <c r="AJ108" s="7"/>
      <c r="AK108" s="2"/>
      <c r="AL108" s="2"/>
    </row>
    <row r="109" spans="2:38" x14ac:dyDescent="0.25">
      <c r="B109" s="2"/>
      <c r="C109" s="2" t="s">
        <v>163</v>
      </c>
      <c r="D109" s="7">
        <v>-0.33800000000000002</v>
      </c>
      <c r="E109" s="7">
        <v>-0.33800000000000002</v>
      </c>
      <c r="F109" s="7">
        <v>-2.895</v>
      </c>
      <c r="G109" s="7">
        <v>4.5090000000000003</v>
      </c>
      <c r="H109" s="7">
        <v>4</v>
      </c>
      <c r="I109" s="29">
        <v>55</v>
      </c>
      <c r="J109" s="29">
        <v>96</v>
      </c>
      <c r="K109" s="7">
        <v>1.89</v>
      </c>
      <c r="L109" s="7">
        <f>-907.51/$B$25</f>
        <v>-9.4057107322381714</v>
      </c>
      <c r="M109" s="34"/>
      <c r="N109" s="2"/>
      <c r="O109" s="2"/>
      <c r="P109" s="2"/>
      <c r="Q109" s="2"/>
      <c r="R109" s="2"/>
      <c r="S109" s="2"/>
      <c r="T109" s="18">
        <v>6.26</v>
      </c>
      <c r="U109" s="18">
        <v>13.59375</v>
      </c>
      <c r="V109" s="2"/>
      <c r="W109" s="16">
        <v>33</v>
      </c>
      <c r="X109" s="2"/>
      <c r="Y109" s="16" t="s">
        <v>531</v>
      </c>
      <c r="Z109" s="2">
        <v>930</v>
      </c>
      <c r="AA109" s="2"/>
      <c r="AD109" s="18"/>
      <c r="AE109" s="2"/>
      <c r="AF109" s="26"/>
      <c r="AG109" s="2"/>
      <c r="AH109" s="179"/>
      <c r="AI109" s="7"/>
      <c r="AJ109" s="7"/>
      <c r="AK109" s="2"/>
      <c r="AL109" s="2"/>
    </row>
    <row r="110" spans="2:38" x14ac:dyDescent="0.25">
      <c r="B110" s="2"/>
      <c r="C110" s="2" t="s">
        <v>164</v>
      </c>
      <c r="D110" s="7">
        <v>-0.33800000000000002</v>
      </c>
      <c r="E110" s="7">
        <v>-0.156</v>
      </c>
      <c r="F110" s="7">
        <v>-2.3730000000000002</v>
      </c>
      <c r="G110" s="7">
        <v>7.109</v>
      </c>
      <c r="H110" s="7">
        <v>3</v>
      </c>
      <c r="I110" s="29">
        <v>79</v>
      </c>
      <c r="J110" s="29">
        <v>168</v>
      </c>
      <c r="K110" s="7">
        <v>3.82</v>
      </c>
      <c r="L110" s="7">
        <f>-1908.8/$B$25</f>
        <v>-19.783386018552108</v>
      </c>
      <c r="M110" s="34"/>
      <c r="N110" s="2"/>
      <c r="O110" s="2"/>
      <c r="P110" s="2"/>
      <c r="Q110" s="2"/>
      <c r="R110" s="2"/>
      <c r="S110" s="2"/>
      <c r="T110" s="18">
        <v>3.76</v>
      </c>
      <c r="U110" s="18">
        <v>12.1805</v>
      </c>
      <c r="V110" s="2"/>
      <c r="W110" s="16">
        <v>206</v>
      </c>
      <c r="X110" s="2"/>
      <c r="Y110" s="16" t="s">
        <v>528</v>
      </c>
      <c r="Z110" s="2">
        <v>2485</v>
      </c>
      <c r="AA110" s="2"/>
      <c r="AD110" s="18"/>
      <c r="AE110" s="2"/>
      <c r="AF110" s="26"/>
      <c r="AG110" s="2"/>
      <c r="AH110" s="179"/>
      <c r="AI110" s="7"/>
      <c r="AJ110" s="7"/>
      <c r="AK110" s="2"/>
      <c r="AL110" s="2"/>
    </row>
    <row r="111" spans="2:38" x14ac:dyDescent="0.25">
      <c r="B111" s="2"/>
      <c r="C111" s="2" t="s">
        <v>166</v>
      </c>
      <c r="D111" s="7">
        <v>-0.33800000000000002</v>
      </c>
      <c r="E111" s="7">
        <v>-0.33800000000000002</v>
      </c>
      <c r="F111" s="7">
        <v>-3.1579999999999999</v>
      </c>
      <c r="G111" s="7">
        <v>3.6</v>
      </c>
      <c r="H111" s="7">
        <v>5</v>
      </c>
      <c r="I111" s="29">
        <v>19</v>
      </c>
      <c r="J111" s="29">
        <v>48</v>
      </c>
      <c r="K111" s="7">
        <v>2.89</v>
      </c>
      <c r="L111" s="7" t="s">
        <v>304</v>
      </c>
      <c r="M111" s="34"/>
      <c r="N111" s="2"/>
      <c r="O111" s="2"/>
      <c r="P111" s="2"/>
      <c r="Q111" s="2"/>
      <c r="R111" s="2"/>
      <c r="S111" s="2"/>
      <c r="T111" s="18">
        <v>3.27</v>
      </c>
      <c r="U111" s="18">
        <v>17.285714285714285</v>
      </c>
      <c r="V111" s="2"/>
      <c r="W111" s="16">
        <v>14</v>
      </c>
      <c r="X111" s="2"/>
      <c r="Y111" s="16" t="s">
        <v>529</v>
      </c>
      <c r="Z111" s="2" t="s">
        <v>304</v>
      </c>
      <c r="AA111" s="2"/>
      <c r="AD111" s="18"/>
      <c r="AE111" s="2"/>
      <c r="AF111" s="26"/>
      <c r="AG111" s="2"/>
      <c r="AH111" s="179"/>
      <c r="AI111" s="7"/>
      <c r="AJ111" s="7"/>
      <c r="AK111" s="2"/>
      <c r="AL111" s="2"/>
    </row>
    <row r="112" spans="2:38" x14ac:dyDescent="0.25">
      <c r="B112" s="2"/>
      <c r="C112" s="2" t="s">
        <v>167</v>
      </c>
      <c r="D112" s="7">
        <v>-0.33800000000000002</v>
      </c>
      <c r="E112" s="7">
        <v>-0.246</v>
      </c>
      <c r="F112" s="7">
        <v>-3.113</v>
      </c>
      <c r="G112" s="7">
        <v>3.7250000000000001</v>
      </c>
      <c r="H112" s="7">
        <v>4</v>
      </c>
      <c r="I112" s="29">
        <v>22</v>
      </c>
      <c r="J112" s="29">
        <v>55</v>
      </c>
      <c r="K112" s="7">
        <v>3.28</v>
      </c>
      <c r="L112" s="7">
        <f>-225.4/$B$25</f>
        <v>-2.33611442193087</v>
      </c>
      <c r="M112" s="34"/>
      <c r="N112" s="2"/>
      <c r="O112" s="2"/>
      <c r="P112" s="2"/>
      <c r="Q112" s="2"/>
      <c r="R112" s="2"/>
      <c r="S112" s="2"/>
      <c r="T112" s="18">
        <v>3.73</v>
      </c>
      <c r="U112" s="18">
        <v>16.457916666666666</v>
      </c>
      <c r="V112" s="2"/>
      <c r="W112" s="16">
        <v>135</v>
      </c>
      <c r="X112" s="2"/>
      <c r="Y112" s="16" t="s">
        <v>530</v>
      </c>
      <c r="Z112" s="2">
        <v>340</v>
      </c>
      <c r="AA112" s="2"/>
      <c r="AD112" s="18"/>
      <c r="AE112" s="2"/>
      <c r="AF112" s="26"/>
      <c r="AG112" s="2"/>
      <c r="AH112" s="179"/>
      <c r="AI112" s="7"/>
      <c r="AJ112" s="7"/>
      <c r="AK112" s="2"/>
      <c r="AL112" s="2"/>
    </row>
    <row r="113" spans="2:38" x14ac:dyDescent="0.25">
      <c r="B113" s="2"/>
      <c r="C113" s="2" t="s">
        <v>169</v>
      </c>
      <c r="D113" s="7">
        <v>-0.33800000000000002</v>
      </c>
      <c r="E113" s="7">
        <v>-0.33800000000000002</v>
      </c>
      <c r="F113" s="7">
        <v>-2.8220000000000001</v>
      </c>
      <c r="G113" s="7">
        <v>6.5659999999999998</v>
      </c>
      <c r="H113" s="7">
        <v>4</v>
      </c>
      <c r="I113" s="29">
        <v>34</v>
      </c>
      <c r="J113" s="29">
        <v>27</v>
      </c>
      <c r="K113" s="7">
        <v>5.7</v>
      </c>
      <c r="L113" s="7">
        <f>-910.7/$B$25</f>
        <v>-9.438772866248641</v>
      </c>
      <c r="M113" s="34"/>
      <c r="N113" s="2"/>
      <c r="O113" s="2"/>
      <c r="P113" s="2"/>
      <c r="Q113" s="2"/>
      <c r="R113" s="2"/>
      <c r="S113" s="2"/>
      <c r="T113" s="18">
        <v>2.12</v>
      </c>
      <c r="U113" s="18">
        <v>15.659999999999998</v>
      </c>
      <c r="V113" s="2"/>
      <c r="W113" s="16">
        <v>122</v>
      </c>
      <c r="X113" s="2"/>
      <c r="Y113" s="16" t="s">
        <v>530</v>
      </c>
      <c r="Z113" s="2">
        <v>1722</v>
      </c>
      <c r="AA113" s="2"/>
      <c r="AD113" s="18"/>
      <c r="AE113" s="2"/>
      <c r="AF113" s="26"/>
      <c r="AG113" s="2"/>
      <c r="AH113" s="179"/>
      <c r="AI113" s="7"/>
      <c r="AJ113" s="7"/>
      <c r="AK113" s="2"/>
      <c r="AL113" s="2"/>
    </row>
    <row r="114" spans="2:38" x14ac:dyDescent="0.25">
      <c r="B114" s="2"/>
      <c r="C114" s="2" t="s">
        <v>171</v>
      </c>
      <c r="D114" s="7">
        <v>-0.218</v>
      </c>
      <c r="E114" s="7">
        <v>-0.218</v>
      </c>
      <c r="F114" s="7">
        <v>-2.2349999999999999</v>
      </c>
      <c r="G114" s="7">
        <v>6.2990000000000004</v>
      </c>
      <c r="H114" s="7">
        <v>3</v>
      </c>
      <c r="I114" s="29">
        <v>55</v>
      </c>
      <c r="J114" s="29">
        <v>130</v>
      </c>
      <c r="K114" s="7">
        <v>3.78</v>
      </c>
      <c r="L114" s="7">
        <f>-1823/$B$25</f>
        <v>-18.894128621029175</v>
      </c>
      <c r="M114" s="34"/>
      <c r="N114" s="2"/>
      <c r="O114" s="2"/>
      <c r="P114" s="2"/>
      <c r="Q114" s="2"/>
      <c r="R114" s="2"/>
      <c r="S114" s="2"/>
      <c r="T114" s="18">
        <v>6.96</v>
      </c>
      <c r="U114" s="18">
        <v>16.6355</v>
      </c>
      <c r="V114" s="2"/>
      <c r="W114" s="16">
        <v>206</v>
      </c>
      <c r="X114" s="2"/>
      <c r="Y114" s="16" t="s">
        <v>528</v>
      </c>
      <c r="Z114" s="2">
        <v>2269</v>
      </c>
      <c r="AA114" s="2"/>
      <c r="AD114" s="18"/>
      <c r="AE114" s="2"/>
      <c r="AF114" s="26"/>
      <c r="AG114" s="2"/>
      <c r="AH114" s="179"/>
      <c r="AI114" s="7"/>
      <c r="AJ114" s="7"/>
      <c r="AK114" s="2"/>
      <c r="AL114" s="2"/>
    </row>
    <row r="115" spans="2:38" x14ac:dyDescent="0.25">
      <c r="B115" s="2"/>
      <c r="C115" s="2" t="s">
        <v>173</v>
      </c>
      <c r="D115" s="7">
        <v>-0.33800000000000002</v>
      </c>
      <c r="E115" s="7">
        <v>-0.33800000000000002</v>
      </c>
      <c r="F115" s="7">
        <v>-2.6640000000000001</v>
      </c>
      <c r="G115" s="7">
        <v>4.6260000000000003</v>
      </c>
      <c r="H115" s="7">
        <v>2.4</v>
      </c>
      <c r="I115" s="29">
        <v>28</v>
      </c>
      <c r="J115" s="29">
        <v>79</v>
      </c>
      <c r="K115" s="7">
        <v>1.76</v>
      </c>
      <c r="L115" s="7" t="s">
        <v>304</v>
      </c>
      <c r="M115" s="34"/>
      <c r="N115" s="2"/>
      <c r="O115" s="2"/>
      <c r="P115" s="2"/>
      <c r="Q115" s="2"/>
      <c r="R115" s="2"/>
      <c r="S115" s="2"/>
      <c r="T115" s="18">
        <v>5.7</v>
      </c>
      <c r="U115" s="18">
        <v>18.272727272727273</v>
      </c>
      <c r="V115" s="2"/>
      <c r="W115" s="16">
        <v>14</v>
      </c>
      <c r="X115" s="2"/>
      <c r="Y115" s="16" t="s">
        <v>529</v>
      </c>
      <c r="Z115" s="2" t="s">
        <v>304</v>
      </c>
      <c r="AA115" s="2"/>
      <c r="AD115" s="18"/>
      <c r="AE115" s="2"/>
      <c r="AF115" s="26"/>
      <c r="AG115" s="2"/>
      <c r="AH115" s="179"/>
      <c r="AI115" s="7"/>
      <c r="AJ115" s="7"/>
      <c r="AK115" s="2"/>
      <c r="AL115" s="2"/>
    </row>
    <row r="116" spans="2:38" x14ac:dyDescent="0.25">
      <c r="B116" s="2"/>
      <c r="C116" s="2" t="s">
        <v>174</v>
      </c>
      <c r="D116" s="7">
        <v>-0.33800000000000002</v>
      </c>
      <c r="E116" s="7">
        <v>-0.14399999999999999</v>
      </c>
      <c r="F116" s="7">
        <v>-2.597</v>
      </c>
      <c r="G116" s="7">
        <v>4.5179999999999998</v>
      </c>
      <c r="H116" s="7">
        <v>2</v>
      </c>
      <c r="I116" s="29">
        <v>20</v>
      </c>
      <c r="J116" s="29">
        <v>32</v>
      </c>
      <c r="K116" s="7">
        <v>0.41</v>
      </c>
      <c r="L116" s="7">
        <f>-280.7/$B$25</f>
        <v>-2.9092605068145305</v>
      </c>
      <c r="M116" s="34"/>
      <c r="N116" s="2"/>
      <c r="O116" s="2"/>
      <c r="P116" s="2"/>
      <c r="Q116" s="2"/>
      <c r="R116" s="2"/>
      <c r="S116" s="2"/>
      <c r="T116" s="18">
        <v>5.94</v>
      </c>
      <c r="U116" s="18">
        <v>18.822500000000002</v>
      </c>
      <c r="V116" s="2"/>
      <c r="W116" s="16">
        <v>129</v>
      </c>
      <c r="X116" s="2"/>
      <c r="Y116" s="16" t="s">
        <v>530</v>
      </c>
      <c r="Z116" s="2">
        <v>1080</v>
      </c>
      <c r="AA116" s="2"/>
      <c r="AD116" s="18"/>
      <c r="AE116" s="2"/>
      <c r="AF116" s="26"/>
      <c r="AG116" s="2"/>
      <c r="AH116" s="179"/>
      <c r="AI116" s="7"/>
      <c r="AJ116" s="7"/>
      <c r="AK116" s="2"/>
      <c r="AL116" s="2"/>
    </row>
    <row r="117" spans="2:38" x14ac:dyDescent="0.25">
      <c r="B117" s="2"/>
      <c r="C117" s="2" t="s">
        <v>176</v>
      </c>
      <c r="D117" s="7">
        <v>-0.33800000000000002</v>
      </c>
      <c r="E117" s="7">
        <v>-0.33800000000000002</v>
      </c>
      <c r="F117" s="7">
        <v>-2.8519999999999999</v>
      </c>
      <c r="G117" s="7">
        <v>4.9089999999999998</v>
      </c>
      <c r="H117" s="7">
        <v>4</v>
      </c>
      <c r="I117" s="29">
        <v>87</v>
      </c>
      <c r="J117" s="29">
        <v>172</v>
      </c>
      <c r="K117" s="7">
        <v>0.65</v>
      </c>
      <c r="L117" s="7">
        <v>-5.9859999999999998</v>
      </c>
      <c r="M117" s="34"/>
      <c r="N117" s="2">
        <v>3.1219999999999999</v>
      </c>
      <c r="O117" s="2">
        <v>6</v>
      </c>
      <c r="P117" s="2">
        <v>3</v>
      </c>
      <c r="Q117" s="2">
        <v>0.93799999999999994</v>
      </c>
      <c r="R117" s="2">
        <v>2.0920000000000001</v>
      </c>
      <c r="S117" s="2">
        <v>3.6160000000000001</v>
      </c>
      <c r="T117" s="18">
        <v>6.61</v>
      </c>
      <c r="U117" s="18">
        <v>12.621666666666668</v>
      </c>
      <c r="V117" s="2">
        <v>0.38600000000000001</v>
      </c>
      <c r="W117" s="16">
        <v>136</v>
      </c>
      <c r="X117" s="2">
        <v>4</v>
      </c>
      <c r="Y117" s="16" t="s">
        <v>530</v>
      </c>
      <c r="Z117" s="2">
        <v>1630</v>
      </c>
      <c r="AA117" s="2"/>
      <c r="AD117" s="18"/>
      <c r="AE117" s="2"/>
      <c r="AF117" s="26"/>
      <c r="AG117" s="2"/>
      <c r="AH117" s="179"/>
      <c r="AI117" s="7"/>
      <c r="AJ117" s="7"/>
      <c r="AK117" s="2"/>
      <c r="AL117" s="2"/>
    </row>
    <row r="118" spans="2:38" x14ac:dyDescent="0.25">
      <c r="B118" s="2"/>
      <c r="C118" s="2" t="s">
        <v>177</v>
      </c>
      <c r="D118" s="7">
        <v>-0.33800000000000002</v>
      </c>
      <c r="E118" s="7">
        <v>-0.13200000000000001</v>
      </c>
      <c r="F118" s="7">
        <v>-1.8080000000000001</v>
      </c>
      <c r="G118" s="7">
        <v>5.2569999999999997</v>
      </c>
      <c r="H118" s="7">
        <v>2</v>
      </c>
      <c r="I118" s="29">
        <v>56</v>
      </c>
      <c r="J118" s="29">
        <v>87</v>
      </c>
      <c r="K118" s="7">
        <v>3.29</v>
      </c>
      <c r="L118" s="7">
        <f>-592/$B$25</f>
        <v>-6.1356687568015751</v>
      </c>
      <c r="M118" s="34"/>
      <c r="N118" s="2"/>
      <c r="O118" s="2"/>
      <c r="P118" s="2"/>
      <c r="Q118" s="2"/>
      <c r="R118" s="2"/>
      <c r="S118" s="2"/>
      <c r="T118" s="18">
        <v>4.88</v>
      </c>
      <c r="U118" s="18">
        <v>17.64</v>
      </c>
      <c r="V118" s="2"/>
      <c r="W118" s="16">
        <v>225</v>
      </c>
      <c r="X118" s="2"/>
      <c r="Y118" s="16" t="s">
        <v>528</v>
      </c>
      <c r="Z118" s="2">
        <v>2531</v>
      </c>
      <c r="AA118" s="2"/>
      <c r="AD118" s="18"/>
      <c r="AE118" s="2"/>
      <c r="AF118" s="26"/>
      <c r="AG118" s="2"/>
      <c r="AH118" s="179"/>
      <c r="AI118" s="7"/>
      <c r="AJ118" s="7"/>
      <c r="AK118" s="2"/>
      <c r="AL118" s="2"/>
    </row>
    <row r="119" spans="2:38" x14ac:dyDescent="0.25">
      <c r="B119" s="2"/>
      <c r="C119" s="2" t="s">
        <v>179</v>
      </c>
      <c r="D119" s="7">
        <v>-0.33800000000000002</v>
      </c>
      <c r="E119" s="7">
        <v>-0.33800000000000002</v>
      </c>
      <c r="F119" s="7">
        <v>-2.2400000000000002</v>
      </c>
      <c r="G119" s="7">
        <v>4.5179999999999998</v>
      </c>
      <c r="H119" s="7">
        <v>4</v>
      </c>
      <c r="I119" s="29">
        <v>38</v>
      </c>
      <c r="J119" s="29">
        <v>71</v>
      </c>
      <c r="K119" s="7">
        <v>2.86</v>
      </c>
      <c r="L119" s="7" t="s">
        <v>304</v>
      </c>
      <c r="M119" s="34"/>
      <c r="N119" s="2"/>
      <c r="O119" s="2"/>
      <c r="P119" s="2"/>
      <c r="Q119" s="2"/>
      <c r="R119" s="2"/>
      <c r="S119" s="2"/>
      <c r="T119" s="18">
        <v>4.5599999999999996</v>
      </c>
      <c r="U119" s="18">
        <v>14.523333333333333</v>
      </c>
      <c r="V119" s="2"/>
      <c r="W119" s="16">
        <v>139</v>
      </c>
      <c r="X119" s="2"/>
      <c r="Y119" s="16" t="s">
        <v>530</v>
      </c>
      <c r="Z119" s="2">
        <v>215</v>
      </c>
      <c r="AA119" s="2"/>
      <c r="AD119" s="18"/>
      <c r="AE119" s="2"/>
      <c r="AF119" s="26"/>
      <c r="AG119" s="2"/>
      <c r="AH119" s="179"/>
      <c r="AI119" s="7"/>
      <c r="AJ119" s="7"/>
      <c r="AK119" s="2"/>
      <c r="AL119" s="2"/>
    </row>
    <row r="120" spans="2:38" x14ac:dyDescent="0.25">
      <c r="B120" s="2"/>
      <c r="C120" s="2" t="s">
        <v>180</v>
      </c>
      <c r="D120" s="7">
        <v>-0.33800000000000002</v>
      </c>
      <c r="E120" s="7">
        <v>-0.182</v>
      </c>
      <c r="F120" s="7">
        <v>-2.714</v>
      </c>
      <c r="G120" s="7">
        <v>7.5309999999999997</v>
      </c>
      <c r="H120" s="7">
        <v>5</v>
      </c>
      <c r="I120" s="29">
        <v>61</v>
      </c>
      <c r="J120" s="29">
        <v>199</v>
      </c>
      <c r="K120" s="7">
        <v>2.73</v>
      </c>
      <c r="L120" s="7">
        <f>--2046/$B$25</f>
        <v>21.205368710162201</v>
      </c>
      <c r="M120" s="34"/>
      <c r="N120" s="2"/>
      <c r="O120" s="2"/>
      <c r="P120" s="2"/>
      <c r="Q120" s="2"/>
      <c r="R120" s="2"/>
      <c r="S120" s="2"/>
      <c r="T120" s="18">
        <v>7.37</v>
      </c>
      <c r="U120" s="18">
        <v>14.221428571428572</v>
      </c>
      <c r="V120" s="2"/>
      <c r="W120" s="16">
        <v>59</v>
      </c>
      <c r="X120" s="2"/>
      <c r="Y120" s="16" t="s">
        <v>531</v>
      </c>
      <c r="Z120" s="2">
        <v>1784</v>
      </c>
      <c r="AA120" s="2"/>
      <c r="AD120" s="18"/>
      <c r="AE120" s="2"/>
      <c r="AF120" s="26"/>
      <c r="AG120" s="2"/>
      <c r="AH120" s="179"/>
      <c r="AI120" s="7"/>
      <c r="AJ120" s="7"/>
      <c r="AK120" s="2"/>
      <c r="AL120" s="2"/>
    </row>
    <row r="121" spans="2:38" x14ac:dyDescent="0.25">
      <c r="B121" s="2"/>
      <c r="C121" s="2" t="s">
        <v>182</v>
      </c>
      <c r="D121" s="7">
        <v>-0.25600000000000001</v>
      </c>
      <c r="E121" s="7">
        <v>-0.25600000000000001</v>
      </c>
      <c r="F121" s="7">
        <v>-2.1800000000000002</v>
      </c>
      <c r="G121" s="7">
        <v>7.1870000000000003</v>
      </c>
      <c r="H121" s="7">
        <v>3</v>
      </c>
      <c r="I121" s="29">
        <v>61</v>
      </c>
      <c r="J121" s="29">
        <v>140</v>
      </c>
      <c r="K121" s="7">
        <v>3.9</v>
      </c>
      <c r="L121" s="7">
        <f>-1865.2/$B$25</f>
        <v>-19.331502306057939</v>
      </c>
      <c r="M121" s="34"/>
      <c r="N121" s="2"/>
      <c r="O121" s="2"/>
      <c r="P121" s="2"/>
      <c r="Q121" s="2"/>
      <c r="R121" s="2"/>
      <c r="S121" s="2"/>
      <c r="T121" s="18">
        <v>7.84</v>
      </c>
      <c r="U121" s="18">
        <v>15.50325</v>
      </c>
      <c r="V121" s="2"/>
      <c r="W121" s="16">
        <v>206</v>
      </c>
      <c r="X121" s="2"/>
      <c r="Y121" s="16" t="s">
        <v>528</v>
      </c>
      <c r="Z121" s="2">
        <v>2303</v>
      </c>
      <c r="AA121" s="2"/>
      <c r="AD121" s="18"/>
      <c r="AE121" s="2"/>
      <c r="AF121" s="26"/>
      <c r="AG121" s="2"/>
      <c r="AH121" s="179"/>
      <c r="AI121" s="7"/>
      <c r="AJ121" s="7"/>
      <c r="AK121" s="2"/>
      <c r="AL121" s="2"/>
    </row>
    <row r="122" spans="2:38" x14ac:dyDescent="0.25">
      <c r="B122" s="2"/>
      <c r="C122" s="2" t="s">
        <v>184</v>
      </c>
      <c r="D122" s="7">
        <v>-0.33800000000000002</v>
      </c>
      <c r="E122" s="7">
        <v>-0.27</v>
      </c>
      <c r="F122" s="7">
        <v>-3.0150000000000001</v>
      </c>
      <c r="G122" s="7">
        <v>5.3680000000000003</v>
      </c>
      <c r="H122" s="7">
        <v>7</v>
      </c>
      <c r="I122" s="29">
        <v>31</v>
      </c>
      <c r="J122" s="29">
        <v>70</v>
      </c>
      <c r="K122" s="7">
        <v>2.67</v>
      </c>
      <c r="L122" s="7" t="s">
        <v>304</v>
      </c>
      <c r="M122" s="34"/>
      <c r="N122" s="2"/>
      <c r="O122" s="2"/>
      <c r="P122" s="2"/>
      <c r="Q122" s="2"/>
      <c r="R122" s="2"/>
      <c r="S122" s="2"/>
      <c r="T122" s="18">
        <v>3.11</v>
      </c>
      <c r="U122" s="18">
        <v>18.260000000000002</v>
      </c>
      <c r="V122" s="2"/>
      <c r="W122" s="16">
        <v>61</v>
      </c>
      <c r="X122" s="2"/>
      <c r="Y122" s="16" t="s">
        <v>531</v>
      </c>
      <c r="Z122" s="2">
        <v>119.5</v>
      </c>
      <c r="AA122" s="2"/>
      <c r="AD122" s="18"/>
      <c r="AE122" s="2"/>
      <c r="AF122" s="26"/>
      <c r="AG122" s="2"/>
      <c r="AH122" s="179"/>
      <c r="AI122" s="7"/>
      <c r="AJ122" s="7"/>
      <c r="AK122" s="2"/>
      <c r="AL122" s="2"/>
    </row>
    <row r="123" spans="2:38" x14ac:dyDescent="0.25">
      <c r="B123" s="2"/>
      <c r="C123" s="2" t="s">
        <v>185</v>
      </c>
      <c r="D123" s="7">
        <v>-0.27</v>
      </c>
      <c r="E123" s="7">
        <v>-0.27</v>
      </c>
      <c r="F123" s="7">
        <v>-2.8220000000000001</v>
      </c>
      <c r="G123" s="7">
        <v>5.9210000000000003</v>
      </c>
      <c r="H123" s="7">
        <v>4</v>
      </c>
      <c r="I123" s="29">
        <v>111</v>
      </c>
      <c r="J123" s="29">
        <v>256</v>
      </c>
      <c r="K123" s="7">
        <v>0</v>
      </c>
      <c r="L123" s="7" t="s">
        <v>304</v>
      </c>
      <c r="M123" s="34"/>
      <c r="N123" s="2"/>
      <c r="O123" s="2"/>
      <c r="P123" s="2"/>
      <c r="Q123" s="2"/>
      <c r="R123" s="2"/>
      <c r="S123" s="2"/>
      <c r="T123" s="18">
        <v>6.59</v>
      </c>
      <c r="U123" s="18">
        <v>10.919166666666667</v>
      </c>
      <c r="V123" s="2"/>
      <c r="W123" s="16">
        <v>14</v>
      </c>
      <c r="X123" s="2"/>
      <c r="Y123" s="16" t="s">
        <v>529</v>
      </c>
      <c r="Z123" s="2" t="s">
        <v>304</v>
      </c>
      <c r="AA123" s="2"/>
      <c r="AD123" s="18"/>
      <c r="AE123" s="2"/>
      <c r="AF123" s="26"/>
      <c r="AG123" s="2"/>
      <c r="AH123" s="179"/>
      <c r="AI123" s="7"/>
      <c r="AJ123" s="7"/>
      <c r="AK123" s="2"/>
      <c r="AL123" s="2"/>
    </row>
    <row r="124" spans="2:38" x14ac:dyDescent="0.25">
      <c r="B124" s="2"/>
      <c r="C124" s="2" t="s">
        <v>187</v>
      </c>
      <c r="D124" s="7">
        <v>-0.33800000000000002</v>
      </c>
      <c r="E124" s="7">
        <v>-0.33800000000000002</v>
      </c>
      <c r="F124" s="7">
        <v>-2.988</v>
      </c>
      <c r="G124" s="7">
        <v>3.9220000000000002</v>
      </c>
      <c r="H124" s="7">
        <v>5</v>
      </c>
      <c r="I124" s="29">
        <v>39</v>
      </c>
      <c r="J124" s="29">
        <v>46</v>
      </c>
      <c r="K124" s="7">
        <v>1.67</v>
      </c>
      <c r="L124" s="7" t="s">
        <v>304</v>
      </c>
      <c r="M124" s="34"/>
      <c r="N124" s="2"/>
      <c r="O124" s="2"/>
      <c r="P124" s="2"/>
      <c r="Q124" s="2"/>
      <c r="R124" s="2"/>
      <c r="S124" s="2"/>
      <c r="T124" s="18">
        <v>5.29</v>
      </c>
      <c r="U124" s="18">
        <v>15.025714285714287</v>
      </c>
      <c r="V124" s="2"/>
      <c r="W124" s="16">
        <v>4</v>
      </c>
      <c r="X124" s="2"/>
      <c r="Y124" s="16" t="s">
        <v>529</v>
      </c>
      <c r="Z124" s="2" t="s">
        <v>304</v>
      </c>
      <c r="AA124" s="2"/>
      <c r="AD124" s="18"/>
      <c r="AE124" s="2"/>
      <c r="AF124" s="26"/>
      <c r="AG124" s="2"/>
      <c r="AH124" s="179"/>
      <c r="AI124" s="7"/>
      <c r="AJ124" s="7"/>
      <c r="AK124" s="2"/>
      <c r="AL124" s="2"/>
    </row>
    <row r="125" spans="2:38" x14ac:dyDescent="0.25">
      <c r="B125" s="2"/>
      <c r="C125" s="2" t="s">
        <v>188</v>
      </c>
      <c r="D125" s="7">
        <v>-0.33800000000000002</v>
      </c>
      <c r="E125" s="7">
        <v>-0.22700000000000001</v>
      </c>
      <c r="F125" s="7">
        <v>-2.9180000000000001</v>
      </c>
      <c r="G125" s="7">
        <v>3.9769999999999999</v>
      </c>
      <c r="H125" s="7">
        <v>4</v>
      </c>
      <c r="I125" s="29">
        <v>17</v>
      </c>
      <c r="J125" s="29">
        <v>23</v>
      </c>
      <c r="K125" s="7">
        <v>2.23</v>
      </c>
      <c r="L125" s="7">
        <f>-322.6/$B$25</f>
        <v>-3.3435249002435614</v>
      </c>
      <c r="M125" s="34"/>
      <c r="N125" s="2"/>
      <c r="O125" s="2"/>
      <c r="P125" s="2"/>
      <c r="Q125" s="2"/>
      <c r="R125" s="2"/>
      <c r="S125" s="2"/>
      <c r="T125" s="18">
        <v>5.36</v>
      </c>
      <c r="U125" s="18">
        <v>16.472916666666666</v>
      </c>
      <c r="V125" s="2"/>
      <c r="W125" s="16">
        <v>61</v>
      </c>
      <c r="X125" s="2"/>
      <c r="Y125" s="16" t="s">
        <v>531</v>
      </c>
      <c r="Z125" s="2">
        <v>733</v>
      </c>
      <c r="AA125" s="2"/>
      <c r="AD125" s="18"/>
      <c r="AE125" s="2"/>
      <c r="AF125" s="26"/>
      <c r="AG125" s="2"/>
      <c r="AH125" s="7"/>
      <c r="AI125" s="7"/>
      <c r="AJ125" s="7"/>
      <c r="AK125" s="2"/>
      <c r="AL125" s="2"/>
    </row>
    <row r="126" spans="2:38" x14ac:dyDescent="0.25">
      <c r="B126" s="2"/>
      <c r="C126" s="2" t="s">
        <v>190</v>
      </c>
      <c r="D126" s="7">
        <v>-0.33800000000000002</v>
      </c>
      <c r="E126" s="7">
        <v>-0.33800000000000002</v>
      </c>
      <c r="F126" s="7">
        <v>-3.0409999999999999</v>
      </c>
      <c r="G126" s="7">
        <v>3.8620000000000001</v>
      </c>
      <c r="H126" s="7">
        <v>6</v>
      </c>
      <c r="I126" s="29">
        <v>96</v>
      </c>
      <c r="J126" s="29">
        <v>92</v>
      </c>
      <c r="K126" s="7">
        <v>2.15</v>
      </c>
      <c r="L126" s="7" t="s">
        <v>304</v>
      </c>
      <c r="M126" s="34"/>
      <c r="N126" s="2"/>
      <c r="O126" s="2"/>
      <c r="P126" s="2"/>
      <c r="Q126" s="2"/>
      <c r="R126" s="2"/>
      <c r="S126" s="2"/>
      <c r="T126" s="18">
        <v>4.72</v>
      </c>
      <c r="U126" s="18">
        <v>15.446249999999999</v>
      </c>
      <c r="V126" s="2"/>
      <c r="W126" s="16">
        <v>12</v>
      </c>
      <c r="X126" s="2"/>
      <c r="Y126" s="16" t="s">
        <v>529</v>
      </c>
      <c r="Z126" s="2">
        <v>430</v>
      </c>
      <c r="AA126" s="2"/>
      <c r="AD126" s="18"/>
      <c r="AE126" s="2"/>
      <c r="AF126" s="26"/>
      <c r="AG126" s="2"/>
      <c r="AH126" s="7"/>
      <c r="AI126" s="7"/>
      <c r="AJ126" s="7"/>
      <c r="AK126" s="2"/>
      <c r="AL126" s="2"/>
    </row>
    <row r="127" spans="2:38" x14ac:dyDescent="0.25">
      <c r="B127" s="2"/>
      <c r="C127" s="2" t="s">
        <v>191</v>
      </c>
      <c r="D127" s="7">
        <v>-0.33800000000000002</v>
      </c>
      <c r="E127" s="7">
        <v>-0.17299999999999999</v>
      </c>
      <c r="F127" s="7">
        <v>-2.4870000000000001</v>
      </c>
      <c r="G127" s="7">
        <v>8.1920000000000002</v>
      </c>
      <c r="H127" s="7">
        <v>4</v>
      </c>
      <c r="I127" s="29">
        <v>88</v>
      </c>
      <c r="J127" s="29">
        <v>188</v>
      </c>
      <c r="K127" s="7">
        <v>4.42</v>
      </c>
      <c r="L127" s="7" t="s">
        <v>304</v>
      </c>
      <c r="M127" s="34"/>
      <c r="N127" s="2"/>
      <c r="O127" s="2"/>
      <c r="P127" s="2"/>
      <c r="Q127" s="2"/>
      <c r="R127" s="2"/>
      <c r="S127" s="2"/>
      <c r="T127" s="18">
        <v>9.8800000000000008</v>
      </c>
      <c r="U127" s="18">
        <v>14.79</v>
      </c>
      <c r="V127" s="2"/>
      <c r="W127" s="16">
        <v>225</v>
      </c>
      <c r="X127" s="2"/>
      <c r="Y127" s="16" t="s">
        <v>528</v>
      </c>
      <c r="Z127" s="2">
        <v>3390</v>
      </c>
      <c r="AA127" s="2"/>
      <c r="AD127" s="18"/>
      <c r="AE127" s="2"/>
      <c r="AF127" s="26"/>
      <c r="AG127" s="2"/>
      <c r="AH127" s="7"/>
      <c r="AI127" s="7"/>
      <c r="AJ127" s="7"/>
      <c r="AK127" s="2"/>
      <c r="AL127" s="2"/>
    </row>
    <row r="128" spans="2:38" x14ac:dyDescent="0.25">
      <c r="B128" s="2"/>
      <c r="C128" s="2" t="s">
        <v>193</v>
      </c>
      <c r="D128" s="7">
        <v>-0.17</v>
      </c>
      <c r="E128" s="7">
        <v>-0.17</v>
      </c>
      <c r="F128" s="7">
        <v>-2.0129999999999999</v>
      </c>
      <c r="G128" s="7">
        <v>6.1459999999999999</v>
      </c>
      <c r="H128" s="7">
        <v>1</v>
      </c>
      <c r="I128" s="29">
        <v>106</v>
      </c>
      <c r="J128" s="29">
        <v>184</v>
      </c>
      <c r="K128" s="7">
        <v>0</v>
      </c>
      <c r="L128" s="7" t="s">
        <v>304</v>
      </c>
      <c r="M128" s="34"/>
      <c r="N128" s="2"/>
      <c r="O128" s="2"/>
      <c r="P128" s="2"/>
      <c r="Q128" s="2"/>
      <c r="R128" s="2"/>
      <c r="S128" s="2"/>
      <c r="T128" s="18">
        <v>5.01</v>
      </c>
      <c r="U128" s="18">
        <v>12.336666666666666</v>
      </c>
      <c r="V128" s="2"/>
      <c r="W128" s="16">
        <v>164</v>
      </c>
      <c r="X128" s="2"/>
      <c r="Y128" s="16" t="s">
        <v>527</v>
      </c>
      <c r="Z128" s="2" t="s">
        <v>304</v>
      </c>
      <c r="AA128" s="2"/>
      <c r="AD128" s="18"/>
      <c r="AE128" s="2"/>
      <c r="AF128" s="26"/>
      <c r="AG128" s="2"/>
      <c r="AH128" s="7"/>
      <c r="AI128" s="7"/>
      <c r="AJ128" s="7"/>
      <c r="AK128" s="2"/>
      <c r="AL128" s="2"/>
    </row>
    <row r="129" spans="2:38" x14ac:dyDescent="0.25">
      <c r="B129" s="2"/>
      <c r="C129" s="2" t="s">
        <v>197</v>
      </c>
      <c r="D129" s="7">
        <v>-0.17</v>
      </c>
      <c r="E129" s="7">
        <v>-0.17</v>
      </c>
      <c r="F129" s="7">
        <v>-2.4940000000000002</v>
      </c>
      <c r="G129" s="7">
        <v>6.8230000000000004</v>
      </c>
      <c r="H129" s="7">
        <v>3</v>
      </c>
      <c r="I129" s="29">
        <v>87</v>
      </c>
      <c r="J129" s="29">
        <v>216</v>
      </c>
      <c r="K129" s="7">
        <v>0</v>
      </c>
      <c r="L129" s="7">
        <f>-1520.9/$B$25</f>
        <v>-15.763071980100534</v>
      </c>
      <c r="M129" s="34"/>
      <c r="N129" s="2"/>
      <c r="O129" s="2"/>
      <c r="P129" s="2"/>
      <c r="Q129" s="2"/>
      <c r="R129" s="2"/>
      <c r="S129" s="2"/>
      <c r="T129" s="18">
        <v>4.51</v>
      </c>
      <c r="U129" s="18">
        <v>10.577999999999999</v>
      </c>
      <c r="V129" s="2"/>
      <c r="W129" s="16">
        <v>167</v>
      </c>
      <c r="X129" s="2"/>
      <c r="Y129" s="16" t="s">
        <v>527</v>
      </c>
      <c r="Z129" s="2">
        <v>1842</v>
      </c>
      <c r="AA129" s="2"/>
      <c r="AD129" s="18"/>
      <c r="AE129" s="2"/>
      <c r="AF129" s="26"/>
      <c r="AG129" s="2"/>
      <c r="AH129" s="7"/>
      <c r="AI129" s="7"/>
      <c r="AJ129" s="7"/>
      <c r="AK129" s="2"/>
      <c r="AL129" s="2"/>
    </row>
    <row r="130" spans="2:38" x14ac:dyDescent="0.25">
      <c r="B130" s="2"/>
      <c r="C130" s="2" t="s">
        <v>195</v>
      </c>
      <c r="D130" s="7">
        <v>-0.17</v>
      </c>
      <c r="E130" s="7">
        <v>-0.17</v>
      </c>
      <c r="F130" s="7">
        <v>-1.883</v>
      </c>
      <c r="G130" s="7">
        <v>5.8650000000000002</v>
      </c>
      <c r="H130" s="7" t="s">
        <v>304</v>
      </c>
      <c r="I130" s="29">
        <v>86</v>
      </c>
      <c r="J130" s="29">
        <v>165</v>
      </c>
      <c r="K130" s="7">
        <v>0</v>
      </c>
      <c r="L130" s="7" t="s">
        <v>304</v>
      </c>
      <c r="M130" s="34"/>
      <c r="N130" s="2"/>
      <c r="O130" s="2"/>
      <c r="P130" s="2"/>
      <c r="Q130" s="2"/>
      <c r="R130" s="2"/>
      <c r="S130" s="2"/>
      <c r="T130" s="18">
        <v>4.84</v>
      </c>
      <c r="U130" s="18">
        <v>13.689375</v>
      </c>
      <c r="V130" s="2"/>
      <c r="W130" s="16">
        <v>163</v>
      </c>
      <c r="X130" s="2"/>
      <c r="Y130" s="16" t="s">
        <v>527</v>
      </c>
      <c r="Z130" s="2" t="s">
        <v>304</v>
      </c>
      <c r="AA130" s="2"/>
      <c r="AD130" s="18"/>
      <c r="AE130" s="2"/>
      <c r="AF130" s="26"/>
      <c r="AG130" s="2"/>
      <c r="AH130" s="7"/>
      <c r="AI130" s="7"/>
      <c r="AJ130" s="7"/>
      <c r="AK130" s="2"/>
      <c r="AL130" s="2"/>
    </row>
    <row r="131" spans="2:38" x14ac:dyDescent="0.25">
      <c r="B131" s="2"/>
      <c r="C131" s="2" t="s">
        <v>199</v>
      </c>
      <c r="D131" s="7">
        <v>-0.17</v>
      </c>
      <c r="E131" s="7">
        <v>-0.17</v>
      </c>
      <c r="F131" s="7">
        <v>-2.5449999999999999</v>
      </c>
      <c r="G131" s="7">
        <v>6.8470000000000004</v>
      </c>
      <c r="H131" s="7">
        <v>3.33</v>
      </c>
      <c r="I131" s="29">
        <v>76</v>
      </c>
      <c r="J131" s="29">
        <v>171</v>
      </c>
      <c r="K131" s="7">
        <v>0</v>
      </c>
      <c r="L131" s="7">
        <f>-2459.4/$B$25</f>
        <v>-25.489972534590869</v>
      </c>
      <c r="M131" s="34"/>
      <c r="N131" s="2"/>
      <c r="O131" s="2"/>
      <c r="P131" s="2"/>
      <c r="Q131" s="2"/>
      <c r="R131" s="2"/>
      <c r="S131" s="2"/>
      <c r="T131" s="18">
        <v>4.1900000000000004</v>
      </c>
      <c r="U131" s="18">
        <v>11.085625</v>
      </c>
      <c r="V131" s="2"/>
      <c r="W131" s="16">
        <v>12</v>
      </c>
      <c r="X131" s="2"/>
      <c r="Y131" s="16" t="s">
        <v>529</v>
      </c>
      <c r="Z131" s="2">
        <v>1777</v>
      </c>
      <c r="AA131" s="2"/>
      <c r="AD131" s="18"/>
      <c r="AE131" s="2"/>
      <c r="AF131" s="26"/>
      <c r="AG131" s="2"/>
      <c r="AH131" s="7"/>
      <c r="AI131" s="7"/>
      <c r="AJ131" s="7"/>
      <c r="AK131" s="2"/>
      <c r="AL131" s="2"/>
    </row>
    <row r="132" spans="2:38" x14ac:dyDescent="0.25">
      <c r="B132" s="2"/>
      <c r="C132" s="2" t="s">
        <v>194</v>
      </c>
      <c r="D132" s="7">
        <v>-0.17</v>
      </c>
      <c r="E132" s="7">
        <v>-0.17</v>
      </c>
      <c r="F132" s="7">
        <v>-1.7270000000000001</v>
      </c>
      <c r="G132" s="7">
        <v>5.4480000000000004</v>
      </c>
      <c r="H132" s="7" t="s">
        <v>304</v>
      </c>
      <c r="I132" s="29">
        <v>76</v>
      </c>
      <c r="J132" s="29">
        <v>141</v>
      </c>
      <c r="K132" s="7">
        <v>0</v>
      </c>
      <c r="L132" s="7" t="s">
        <v>304</v>
      </c>
      <c r="M132" s="34"/>
      <c r="N132" s="2"/>
      <c r="O132" s="2"/>
      <c r="P132" s="2"/>
      <c r="Q132" s="2"/>
      <c r="R132" s="2"/>
      <c r="S132" s="2"/>
      <c r="T132" s="18">
        <v>4.68</v>
      </c>
      <c r="U132" s="18">
        <v>15.364285714285714</v>
      </c>
      <c r="V132" s="2"/>
      <c r="W132" s="16">
        <v>163</v>
      </c>
      <c r="X132" s="2"/>
      <c r="Y132" s="16" t="s">
        <v>527</v>
      </c>
      <c r="Z132" s="2" t="s">
        <v>304</v>
      </c>
      <c r="AA132" s="2"/>
      <c r="AD132" s="18"/>
      <c r="AE132" s="2"/>
      <c r="AF132" s="26"/>
      <c r="AG132" s="2"/>
      <c r="AH132" s="7"/>
      <c r="AI132" s="7"/>
      <c r="AJ132" s="7"/>
      <c r="AK132" s="2"/>
      <c r="AL132" s="2"/>
    </row>
    <row r="133" spans="2:38" x14ac:dyDescent="0.25">
      <c r="B133" s="2"/>
      <c r="C133" s="2" t="s">
        <v>198</v>
      </c>
      <c r="D133" s="7">
        <v>-0.17</v>
      </c>
      <c r="E133" s="7">
        <v>-0.17</v>
      </c>
      <c r="F133" s="7">
        <v>-2.302</v>
      </c>
      <c r="G133" s="7">
        <v>6.649</v>
      </c>
      <c r="H133" s="7">
        <v>2</v>
      </c>
      <c r="I133" s="29">
        <v>171</v>
      </c>
      <c r="J133" s="29">
        <v>237</v>
      </c>
      <c r="K133" s="7">
        <v>0</v>
      </c>
      <c r="L133" s="7">
        <f>-519.7/$B$25</f>
        <v>-5.386329481266519</v>
      </c>
      <c r="M133" s="34"/>
      <c r="N133" s="2"/>
      <c r="O133" s="2"/>
      <c r="P133" s="2"/>
      <c r="Q133" s="2"/>
      <c r="R133" s="2"/>
      <c r="S133" s="2"/>
      <c r="T133" s="18">
        <v>5.0599999999999996</v>
      </c>
      <c r="U133" s="18">
        <v>10.476666666666667</v>
      </c>
      <c r="V133" s="2"/>
      <c r="W133" s="16">
        <v>189</v>
      </c>
      <c r="X133" s="2"/>
      <c r="Y133" s="16" t="s">
        <v>532</v>
      </c>
      <c r="Z133" s="2">
        <v>1750</v>
      </c>
      <c r="AA133" s="2"/>
      <c r="AD133" s="18"/>
      <c r="AE133" s="2"/>
      <c r="AF133" s="26"/>
      <c r="AG133" s="2"/>
      <c r="AH133" s="7"/>
      <c r="AI133" s="7"/>
      <c r="AJ133" s="7"/>
      <c r="AK133" s="2"/>
      <c r="AL133" s="2"/>
    </row>
    <row r="134" spans="2:38" x14ac:dyDescent="0.25">
      <c r="B134" s="2"/>
      <c r="C134" s="2" t="s">
        <v>200</v>
      </c>
      <c r="D134" s="7">
        <v>-0.33800000000000002</v>
      </c>
      <c r="E134" s="7">
        <v>-0.17</v>
      </c>
      <c r="F134" s="7">
        <v>-2.6320000000000001</v>
      </c>
      <c r="G134" s="7">
        <v>6.8730000000000002</v>
      </c>
      <c r="H134" s="7">
        <v>4</v>
      </c>
      <c r="I134" s="29">
        <v>61</v>
      </c>
      <c r="J134" s="29">
        <v>181</v>
      </c>
      <c r="K134" s="7">
        <v>2.68</v>
      </c>
      <c r="L134" s="7">
        <f>-944/$B$25</f>
        <v>-9.7839042338187276</v>
      </c>
      <c r="M134" s="34"/>
      <c r="N134" s="2">
        <v>4.9020000000000001</v>
      </c>
      <c r="O134" s="2">
        <v>6</v>
      </c>
      <c r="P134" s="2">
        <v>3</v>
      </c>
      <c r="Q134" s="2">
        <v>0.92</v>
      </c>
      <c r="R134" s="2">
        <v>1.988</v>
      </c>
      <c r="S134" s="2">
        <v>3.649</v>
      </c>
      <c r="T134" s="18">
        <v>3.62</v>
      </c>
      <c r="U134" s="18">
        <v>12.225833333333334</v>
      </c>
      <c r="V134" s="2">
        <v>0.40100000000000002</v>
      </c>
      <c r="W134" s="16">
        <v>12</v>
      </c>
      <c r="X134" s="2">
        <v>4</v>
      </c>
      <c r="Y134" s="16" t="s">
        <v>529</v>
      </c>
      <c r="Z134" s="2">
        <v>1843</v>
      </c>
      <c r="AA134" s="2"/>
      <c r="AD134" s="18"/>
      <c r="AE134" s="2"/>
      <c r="AF134" s="26"/>
      <c r="AG134" s="2"/>
      <c r="AH134" s="7"/>
      <c r="AI134" s="7"/>
      <c r="AJ134" s="7"/>
      <c r="AK134" s="2"/>
      <c r="AL134" s="2"/>
    </row>
    <row r="135" spans="2:38" x14ac:dyDescent="0.25">
      <c r="B135" s="2"/>
      <c r="C135" s="2" t="s">
        <v>201</v>
      </c>
      <c r="D135" s="7">
        <v>-0.28499999999999998</v>
      </c>
      <c r="E135" s="7">
        <v>-0.10199999999999999</v>
      </c>
      <c r="F135" s="7">
        <v>-2.0819999999999999</v>
      </c>
      <c r="G135" s="7">
        <v>2.9460000000000002</v>
      </c>
      <c r="H135" s="7">
        <v>1</v>
      </c>
      <c r="I135" s="29">
        <v>13</v>
      </c>
      <c r="J135" s="29">
        <v>52</v>
      </c>
      <c r="K135" s="7">
        <v>0.52</v>
      </c>
      <c r="L135" s="7">
        <f>-178.7/$B$25</f>
        <v>-1.8521013629061511</v>
      </c>
      <c r="M135" s="34"/>
      <c r="N135" s="2"/>
      <c r="O135" s="2"/>
      <c r="P135" s="2"/>
      <c r="Q135" s="2"/>
      <c r="R135" s="2"/>
      <c r="S135" s="2"/>
      <c r="T135" s="18">
        <v>9.51</v>
      </c>
      <c r="U135" s="18">
        <v>24.72666666666667</v>
      </c>
      <c r="V135" s="2"/>
      <c r="W135" s="16">
        <v>12</v>
      </c>
      <c r="X135" s="2"/>
      <c r="Y135" s="16" t="s">
        <v>529</v>
      </c>
      <c r="Z135" s="2">
        <v>579</v>
      </c>
      <c r="AA135" s="2"/>
      <c r="AD135" s="18"/>
      <c r="AE135" s="2"/>
      <c r="AF135" s="26"/>
      <c r="AG135" s="2"/>
      <c r="AH135" s="7"/>
      <c r="AI135" s="7"/>
      <c r="AJ135" s="7"/>
      <c r="AK135" s="2"/>
      <c r="AL135" s="2"/>
    </row>
    <row r="136" spans="2:38" x14ac:dyDescent="0.25">
      <c r="B136" s="2"/>
      <c r="C136" s="2" t="s">
        <v>203</v>
      </c>
      <c r="D136" s="7">
        <v>-0.33800000000000002</v>
      </c>
      <c r="E136" s="7">
        <v>-0.28499999999999998</v>
      </c>
      <c r="F136" s="7">
        <v>-2.5449999999999999</v>
      </c>
      <c r="G136" s="7">
        <v>3.4340000000000002</v>
      </c>
      <c r="H136" s="7">
        <v>3</v>
      </c>
      <c r="I136" s="29">
        <v>32</v>
      </c>
      <c r="J136" s="29">
        <v>109</v>
      </c>
      <c r="K136" s="7">
        <v>0</v>
      </c>
      <c r="L136" s="7" t="s">
        <v>304</v>
      </c>
      <c r="M136" s="34"/>
      <c r="N136" s="2"/>
      <c r="O136" s="2"/>
      <c r="P136" s="2"/>
      <c r="Q136" s="2"/>
      <c r="R136" s="2"/>
      <c r="S136" s="2"/>
      <c r="T136" s="18">
        <v>9.7200000000000006</v>
      </c>
      <c r="U136" s="18">
        <v>15.609500000000001</v>
      </c>
      <c r="V136" s="2"/>
      <c r="W136" s="16">
        <v>206</v>
      </c>
      <c r="X136" s="2"/>
      <c r="Y136" s="16" t="s">
        <v>528</v>
      </c>
      <c r="Z136" s="2">
        <v>834</v>
      </c>
      <c r="AA136" s="2"/>
      <c r="AD136" s="18"/>
      <c r="AE136" s="2"/>
      <c r="AF136" s="26"/>
      <c r="AG136" s="2"/>
      <c r="AH136" s="7"/>
      <c r="AI136" s="7"/>
      <c r="AJ136" s="7"/>
      <c r="AK136" s="2"/>
      <c r="AL136" s="2"/>
    </row>
    <row r="137" spans="2:38" x14ac:dyDescent="0.25">
      <c r="B137" s="2"/>
      <c r="C137" s="2" t="s">
        <v>204</v>
      </c>
      <c r="D137" s="7">
        <v>-0.28499999999999998</v>
      </c>
      <c r="E137" s="7">
        <v>-0.28499999999999998</v>
      </c>
      <c r="F137" s="7">
        <v>-2.2370000000000001</v>
      </c>
      <c r="G137" s="7">
        <v>3.1379999999999999</v>
      </c>
      <c r="H137" s="7">
        <v>1.5</v>
      </c>
      <c r="I137" s="29">
        <v>15</v>
      </c>
      <c r="J137" s="29">
        <v>63</v>
      </c>
      <c r="K137" s="7">
        <v>0.97</v>
      </c>
      <c r="L137" s="7" t="s">
        <v>304</v>
      </c>
      <c r="M137" s="34"/>
      <c r="N137" s="2"/>
      <c r="O137" s="2"/>
      <c r="P137" s="2"/>
      <c r="Q137" s="2"/>
      <c r="R137" s="2"/>
      <c r="S137" s="2"/>
      <c r="T137" s="18">
        <v>9.51</v>
      </c>
      <c r="U137" s="18">
        <v>21.59357142857143</v>
      </c>
      <c r="V137" s="2"/>
      <c r="W137" s="16">
        <v>11</v>
      </c>
      <c r="X137" s="2"/>
      <c r="Y137" s="16" t="s">
        <v>529</v>
      </c>
      <c r="Z137" s="2" t="s">
        <v>304</v>
      </c>
      <c r="AA137" s="2"/>
      <c r="AD137" s="18"/>
      <c r="AE137" s="2"/>
      <c r="AF137" s="26"/>
      <c r="AG137" s="2"/>
      <c r="AH137" s="7"/>
      <c r="AI137" s="7"/>
      <c r="AJ137" s="7"/>
      <c r="AK137" s="2"/>
      <c r="AL137" s="2"/>
    </row>
    <row r="138" spans="2:38" x14ac:dyDescent="0.25">
      <c r="B138" s="2"/>
      <c r="C138" s="2" t="s">
        <v>205</v>
      </c>
      <c r="D138" s="7">
        <v>-0.28299999999999997</v>
      </c>
      <c r="E138" s="7">
        <v>-0.28299999999999997</v>
      </c>
      <c r="F138" s="7">
        <v>-2.2949999999999999</v>
      </c>
      <c r="G138" s="7">
        <v>6.64</v>
      </c>
      <c r="H138" s="7">
        <v>3</v>
      </c>
      <c r="I138" s="29">
        <v>88</v>
      </c>
      <c r="J138" s="29">
        <v>215</v>
      </c>
      <c r="K138" s="7">
        <v>3.98</v>
      </c>
      <c r="L138" s="7">
        <f>-1888.7/$B$25</f>
        <v>-19.575063481370162</v>
      </c>
      <c r="M138" s="34"/>
      <c r="N138" s="2"/>
      <c r="O138" s="2"/>
      <c r="P138" s="2"/>
      <c r="Q138" s="2"/>
      <c r="R138" s="2"/>
      <c r="S138" s="2"/>
      <c r="T138" s="18">
        <v>8.92</v>
      </c>
      <c r="U138" s="18">
        <v>14.368500000000001</v>
      </c>
      <c r="V138" s="2"/>
      <c r="W138" s="16">
        <v>206</v>
      </c>
      <c r="X138" s="2"/>
      <c r="Y138" s="16" t="s">
        <v>528</v>
      </c>
      <c r="Z138" s="2">
        <v>2341</v>
      </c>
      <c r="AA138" s="2"/>
      <c r="AD138" s="18"/>
      <c r="AE138" s="2"/>
      <c r="AF138" s="26"/>
      <c r="AG138" s="2"/>
      <c r="AH138" s="7"/>
      <c r="AI138" s="7"/>
      <c r="AJ138" s="7"/>
      <c r="AK138" s="2"/>
      <c r="AL138" s="2"/>
    </row>
    <row r="139" spans="2:38" x14ac:dyDescent="0.25">
      <c r="B139" s="2"/>
      <c r="C139" s="2" t="s">
        <v>207</v>
      </c>
      <c r="D139" s="7">
        <v>-0.33800000000000002</v>
      </c>
      <c r="E139" s="7">
        <v>-0.33800000000000002</v>
      </c>
      <c r="F139" s="7">
        <v>-2.681</v>
      </c>
      <c r="G139" s="7">
        <v>7.13</v>
      </c>
      <c r="H139" s="7">
        <v>5.33</v>
      </c>
      <c r="I139" s="29">
        <v>87</v>
      </c>
      <c r="J139" s="29">
        <v>190</v>
      </c>
      <c r="K139" s="7">
        <v>0.01</v>
      </c>
      <c r="L139" s="7">
        <f>-3574.8/$B$25</f>
        <v>-37.050318702388978</v>
      </c>
      <c r="M139" s="34"/>
      <c r="N139" s="2"/>
      <c r="O139" s="2"/>
      <c r="P139" s="2"/>
      <c r="Q139" s="2"/>
      <c r="R139" s="2"/>
      <c r="S139" s="2"/>
      <c r="T139" s="18">
        <v>8.3000000000000007</v>
      </c>
      <c r="U139" s="18">
        <v>15.32090909090909</v>
      </c>
      <c r="V139" s="2"/>
      <c r="W139" s="16">
        <v>189</v>
      </c>
      <c r="X139" s="2"/>
      <c r="Y139" s="16" t="s">
        <v>532</v>
      </c>
      <c r="Z139" s="2">
        <v>1300</v>
      </c>
      <c r="AA139" s="2"/>
      <c r="AD139" s="18"/>
      <c r="AE139" s="2"/>
      <c r="AF139" s="26"/>
      <c r="AG139" s="2"/>
      <c r="AH139" s="7"/>
      <c r="AI139" s="7"/>
      <c r="AJ139" s="7"/>
      <c r="AK139" s="2"/>
      <c r="AL139" s="2"/>
    </row>
    <row r="140" spans="2:38" x14ac:dyDescent="0.25">
      <c r="B140" s="2"/>
      <c r="C140" s="2" t="s">
        <v>208</v>
      </c>
      <c r="D140" s="7">
        <v>-0.36699999999999999</v>
      </c>
      <c r="E140" s="7">
        <v>-0.33800000000000002</v>
      </c>
      <c r="F140" s="7">
        <v>-2.5369999999999999</v>
      </c>
      <c r="G140" s="7">
        <v>7.3639999999999999</v>
      </c>
      <c r="H140" s="7">
        <v>4</v>
      </c>
      <c r="I140" s="29">
        <v>89</v>
      </c>
      <c r="J140" s="29">
        <v>200</v>
      </c>
      <c r="K140" s="7">
        <v>0</v>
      </c>
      <c r="L140" s="7">
        <f>-1085/$B$25</f>
        <v>-11.245271285692077</v>
      </c>
      <c r="M140" s="34"/>
      <c r="N140" s="2"/>
      <c r="O140" s="2"/>
      <c r="P140" s="2"/>
      <c r="Q140" s="2"/>
      <c r="R140" s="2"/>
      <c r="S140" s="2"/>
      <c r="T140" s="18">
        <v>11.26</v>
      </c>
      <c r="U140" s="18">
        <v>13.270833333333334</v>
      </c>
      <c r="V140" s="2"/>
      <c r="W140" s="16">
        <v>225</v>
      </c>
      <c r="X140" s="2"/>
      <c r="Y140" s="16" t="s">
        <v>528</v>
      </c>
      <c r="Z140" s="2">
        <v>2827</v>
      </c>
      <c r="AA140" s="2"/>
      <c r="AD140" s="18"/>
      <c r="AE140" s="2"/>
      <c r="AF140" s="26"/>
      <c r="AG140" s="2"/>
      <c r="AH140" s="7"/>
      <c r="AI140" s="7"/>
      <c r="AJ140" s="7"/>
      <c r="AK140" s="2"/>
      <c r="AL140" s="2"/>
    </row>
    <row r="141" spans="2:38" x14ac:dyDescent="0.25">
      <c r="B141" s="2"/>
      <c r="C141" s="2" t="s">
        <v>210</v>
      </c>
      <c r="D141" s="7">
        <v>-0.33800000000000002</v>
      </c>
      <c r="E141" s="7">
        <v>-0.33800000000000002</v>
      </c>
      <c r="F141" s="7">
        <v>-2.738</v>
      </c>
      <c r="G141" s="7">
        <v>6.9729999999999999</v>
      </c>
      <c r="H141" s="7">
        <v>6</v>
      </c>
      <c r="I141" s="29">
        <v>63</v>
      </c>
      <c r="J141" s="29">
        <v>150</v>
      </c>
      <c r="K141" s="7">
        <v>1.64</v>
      </c>
      <c r="L141" s="7">
        <f>-1223.8/$B$25</f>
        <v>-12.683836865834067</v>
      </c>
      <c r="M141" s="34"/>
      <c r="N141" s="2"/>
      <c r="O141" s="2"/>
      <c r="P141" s="2"/>
      <c r="Q141" s="2"/>
      <c r="R141" s="2"/>
      <c r="S141" s="2"/>
      <c r="T141" s="18">
        <v>6.57</v>
      </c>
      <c r="U141" s="18">
        <v>18.059999999999999</v>
      </c>
      <c r="V141" s="2"/>
      <c r="W141" s="16">
        <v>221</v>
      </c>
      <c r="X141" s="2"/>
      <c r="Y141" s="16" t="s">
        <v>528</v>
      </c>
      <c r="Z141" s="2" t="s">
        <v>304</v>
      </c>
      <c r="AA141" s="2"/>
      <c r="AD141" s="18"/>
      <c r="AE141" s="2"/>
      <c r="AF141" s="26"/>
      <c r="AG141" s="2"/>
      <c r="AH141" s="7"/>
      <c r="AI141" s="7"/>
      <c r="AJ141" s="7"/>
      <c r="AK141" s="2"/>
      <c r="AL141" s="2"/>
    </row>
    <row r="142" spans="2:38" x14ac:dyDescent="0.25">
      <c r="B142" s="2"/>
      <c r="C142" s="2" t="s">
        <v>211</v>
      </c>
      <c r="D142" s="7">
        <v>-0.20499999999999999</v>
      </c>
      <c r="E142" s="7">
        <v>-0.20499999999999999</v>
      </c>
      <c r="F142" s="7">
        <v>-2.552</v>
      </c>
      <c r="G142" s="7">
        <v>6.2220000000000004</v>
      </c>
      <c r="H142" s="7">
        <v>3</v>
      </c>
      <c r="I142" s="29">
        <v>77</v>
      </c>
      <c r="J142" s="29">
        <v>168</v>
      </c>
      <c r="K142" s="7">
        <v>0</v>
      </c>
      <c r="L142" s="7">
        <f>-1218.8/$B$25</f>
        <v>-12.632015339171891</v>
      </c>
      <c r="M142" s="34"/>
      <c r="N142" s="2">
        <v>5.3289999999999997</v>
      </c>
      <c r="O142" s="2">
        <v>6</v>
      </c>
      <c r="P142" s="2">
        <v>4</v>
      </c>
      <c r="Q142" s="2">
        <v>0.97899999999999998</v>
      </c>
      <c r="R142" s="2">
        <v>2.1059999999999999</v>
      </c>
      <c r="S142" s="2">
        <v>2.5569999999999999</v>
      </c>
      <c r="T142" s="18">
        <v>4.54</v>
      </c>
      <c r="U142" s="18">
        <v>10.969750000000001</v>
      </c>
      <c r="V142" s="2">
        <v>0.436</v>
      </c>
      <c r="W142" s="16">
        <v>206</v>
      </c>
      <c r="X142" s="2">
        <v>3</v>
      </c>
      <c r="Y142" s="16" t="s">
        <v>528</v>
      </c>
      <c r="Z142" s="2">
        <v>2067</v>
      </c>
      <c r="AA142" s="2"/>
      <c r="AD142" s="18"/>
      <c r="AE142" s="2"/>
      <c r="AF142" s="26"/>
      <c r="AG142" s="2"/>
      <c r="AH142" s="7"/>
      <c r="AI142" s="7"/>
      <c r="AJ142" s="7"/>
      <c r="AK142" s="2"/>
      <c r="AL142" s="2"/>
    </row>
    <row r="143" spans="2:38" x14ac:dyDescent="0.25">
      <c r="B143" s="2"/>
      <c r="C143" s="2" t="s">
        <v>213</v>
      </c>
      <c r="D143" s="7">
        <v>-0.33800000000000002</v>
      </c>
      <c r="E143" s="7">
        <v>-0.20499999999999999</v>
      </c>
      <c r="F143" s="7">
        <v>-2.7789999999999999</v>
      </c>
      <c r="G143" s="7">
        <v>5.68</v>
      </c>
      <c r="H143" s="7">
        <v>5</v>
      </c>
      <c r="I143" s="29">
        <v>47</v>
      </c>
      <c r="J143" s="29">
        <v>105</v>
      </c>
      <c r="K143" s="7">
        <v>2.16</v>
      </c>
      <c r="L143" s="7">
        <f>-1550.6/$B$25</f>
        <v>-16.070891848473856</v>
      </c>
      <c r="M143" s="34"/>
      <c r="N143" s="2"/>
      <c r="O143" s="2"/>
      <c r="P143" s="2"/>
      <c r="Q143" s="2"/>
      <c r="R143" s="2"/>
      <c r="S143" s="2"/>
      <c r="T143" s="18">
        <v>3.15</v>
      </c>
      <c r="U143" s="18">
        <v>13.677857142857144</v>
      </c>
      <c r="V143" s="2"/>
      <c r="W143" s="16">
        <v>59</v>
      </c>
      <c r="X143" s="2"/>
      <c r="Y143" s="16" t="s">
        <v>531</v>
      </c>
      <c r="Z143" s="2">
        <v>670</v>
      </c>
      <c r="AA143" s="2"/>
      <c r="AD143" s="18"/>
      <c r="AE143" s="2"/>
      <c r="AF143" s="26"/>
      <c r="AG143" s="2"/>
      <c r="AH143" s="7"/>
      <c r="AI143" s="7"/>
      <c r="AJ143" s="7"/>
      <c r="AK143" s="2"/>
      <c r="AL143" s="2"/>
    </row>
    <row r="144" spans="2:38" x14ac:dyDescent="0.25">
      <c r="B144" s="2"/>
      <c r="C144" s="2" t="s">
        <v>214</v>
      </c>
      <c r="D144" s="7">
        <v>-0.20499999999999999</v>
      </c>
      <c r="E144" s="7">
        <v>-0.20499999999999999</v>
      </c>
      <c r="F144" s="7">
        <v>-2.6</v>
      </c>
      <c r="G144" s="7">
        <v>6.14</v>
      </c>
      <c r="H144" s="7">
        <v>3.33</v>
      </c>
      <c r="I144" s="29">
        <v>85</v>
      </c>
      <c r="J144" s="29">
        <v>185</v>
      </c>
      <c r="K144" s="7">
        <v>0.95</v>
      </c>
      <c r="L144" s="7">
        <f>-1933/$B$25</f>
        <v>-20.034202207597037</v>
      </c>
      <c r="M144" s="34"/>
      <c r="N144" s="2"/>
      <c r="O144" s="2"/>
      <c r="P144" s="2"/>
      <c r="Q144" s="2"/>
      <c r="R144" s="2"/>
      <c r="S144" s="2"/>
      <c r="T144" s="18">
        <v>4.4400000000000004</v>
      </c>
      <c r="U144" s="18">
        <v>10.874375000000001</v>
      </c>
      <c r="V144" s="2"/>
      <c r="W144" s="16">
        <v>13</v>
      </c>
      <c r="X144" s="2"/>
      <c r="Y144" s="16" t="s">
        <v>529</v>
      </c>
      <c r="Z144" s="2" t="s">
        <v>304</v>
      </c>
      <c r="AA144" s="2"/>
      <c r="AD144" s="18"/>
      <c r="AE144" s="2"/>
      <c r="AF144" s="26"/>
      <c r="AG144" s="2"/>
      <c r="AH144" s="7"/>
      <c r="AI144" s="7"/>
      <c r="AJ144" s="7"/>
      <c r="AK144" s="2"/>
      <c r="AL144" s="2"/>
    </row>
    <row r="145" spans="2:38" x14ac:dyDescent="0.25">
      <c r="B145" s="2"/>
      <c r="C145" s="2" t="s">
        <v>215</v>
      </c>
      <c r="D145" s="7">
        <v>-0.20499999999999999</v>
      </c>
      <c r="E145" s="7">
        <v>-0.20499999999999999</v>
      </c>
      <c r="F145" s="7">
        <v>-2.7490000000000001</v>
      </c>
      <c r="G145" s="7">
        <v>5.7919999999999998</v>
      </c>
      <c r="H145" s="7">
        <v>4.67</v>
      </c>
      <c r="I145" s="29">
        <v>53</v>
      </c>
      <c r="J145" s="29">
        <v>118</v>
      </c>
      <c r="K145" s="7">
        <v>1</v>
      </c>
      <c r="L145" s="7" t="s">
        <v>304</v>
      </c>
      <c r="M145" s="34"/>
      <c r="N145" s="2"/>
      <c r="O145" s="2"/>
      <c r="P145" s="2"/>
      <c r="Q145" s="2"/>
      <c r="R145" s="2"/>
      <c r="S145" s="2"/>
      <c r="T145" s="18">
        <v>3.42</v>
      </c>
      <c r="U145" s="18">
        <v>12.875</v>
      </c>
      <c r="V145" s="2"/>
      <c r="W145" s="16">
        <v>15</v>
      </c>
      <c r="X145" s="2"/>
      <c r="Y145" s="16" t="s">
        <v>529</v>
      </c>
      <c r="Z145" s="2" t="s">
        <v>304</v>
      </c>
      <c r="AA145" s="2"/>
      <c r="AD145" s="18"/>
      <c r="AE145" s="2"/>
      <c r="AF145" s="26"/>
      <c r="AG145" s="2"/>
      <c r="AH145" s="7"/>
      <c r="AI145" s="7"/>
      <c r="AJ145" s="7"/>
      <c r="AK145" s="2"/>
      <c r="AL145" s="2"/>
    </row>
    <row r="146" spans="2:38" x14ac:dyDescent="0.25">
      <c r="B146" s="2"/>
      <c r="C146" s="2" t="s">
        <v>216</v>
      </c>
      <c r="D146" s="7">
        <v>-0.20499999999999999</v>
      </c>
      <c r="E146" s="7">
        <v>-0.20499999999999999</v>
      </c>
      <c r="F146" s="7">
        <v>-2.6819999999999999</v>
      </c>
      <c r="G146" s="7">
        <v>5.9939999999999998</v>
      </c>
      <c r="H146" s="7">
        <v>4</v>
      </c>
      <c r="I146" s="29">
        <v>42</v>
      </c>
      <c r="J146" s="29">
        <v>23</v>
      </c>
      <c r="K146" s="7">
        <v>0.92</v>
      </c>
      <c r="L146" s="7" t="s">
        <v>304</v>
      </c>
      <c r="M146" s="34"/>
      <c r="N146" s="2"/>
      <c r="O146" s="2"/>
      <c r="P146" s="2"/>
      <c r="Q146" s="2"/>
      <c r="R146" s="2"/>
      <c r="S146" s="2"/>
      <c r="T146" s="18">
        <v>4.47</v>
      </c>
      <c r="U146" s="18">
        <v>10.281666666666666</v>
      </c>
      <c r="V146" s="2"/>
      <c r="W146" s="16">
        <v>14</v>
      </c>
      <c r="X146" s="2"/>
      <c r="Y146" s="16" t="s">
        <v>529</v>
      </c>
      <c r="Z146" s="2">
        <v>1967</v>
      </c>
      <c r="AA146" s="2"/>
      <c r="AD146" s="18"/>
      <c r="AE146" s="2"/>
      <c r="AF146" s="26"/>
      <c r="AG146" s="2"/>
      <c r="AH146" s="7"/>
      <c r="AI146" s="7"/>
      <c r="AJ146" s="7"/>
      <c r="AK146" s="2"/>
      <c r="AL146" s="2"/>
    </row>
    <row r="147" spans="2:38" x14ac:dyDescent="0.25">
      <c r="B147" s="2"/>
      <c r="C147" s="2" t="s">
        <v>217</v>
      </c>
      <c r="D147" s="7">
        <v>-0.221</v>
      </c>
      <c r="E147" s="7">
        <v>-0.221</v>
      </c>
      <c r="F147" s="7">
        <v>-3.109</v>
      </c>
      <c r="G147" s="7">
        <v>6.4480000000000004</v>
      </c>
      <c r="H147" s="7">
        <v>5.44</v>
      </c>
      <c r="I147" s="29">
        <v>42</v>
      </c>
      <c r="J147" s="29">
        <v>103</v>
      </c>
      <c r="K147" s="7">
        <v>0</v>
      </c>
      <c r="L147" s="7" t="s">
        <v>304</v>
      </c>
      <c r="M147" s="34"/>
      <c r="N147" s="2"/>
      <c r="O147" s="2"/>
      <c r="P147" s="2"/>
      <c r="Q147" s="2"/>
      <c r="R147" s="2"/>
      <c r="S147" s="2"/>
      <c r="T147" s="18">
        <v>7.21</v>
      </c>
      <c r="U147" s="18">
        <v>14.078805970149253</v>
      </c>
      <c r="V147" s="2"/>
      <c r="W147" s="16">
        <v>10</v>
      </c>
      <c r="X147" s="2"/>
      <c r="Y147" s="16" t="s">
        <v>529</v>
      </c>
      <c r="Z147" s="2" t="s">
        <v>304</v>
      </c>
      <c r="AA147" s="2"/>
      <c r="AD147" s="18"/>
      <c r="AE147" s="2"/>
      <c r="AF147" s="26"/>
      <c r="AG147" s="2"/>
      <c r="AH147" s="7"/>
      <c r="AI147" s="7"/>
      <c r="AJ147" s="7"/>
      <c r="AK147" s="2"/>
      <c r="AL147" s="2"/>
    </row>
    <row r="148" spans="2:38" x14ac:dyDescent="0.25">
      <c r="B148" s="2"/>
      <c r="C148" s="2" t="s">
        <v>218</v>
      </c>
      <c r="D148" s="7">
        <v>-0.221</v>
      </c>
      <c r="E148" s="7">
        <v>-0.221</v>
      </c>
      <c r="F148" s="7">
        <v>-3.0339999999999998</v>
      </c>
      <c r="G148" s="7">
        <v>6.7329999999999997</v>
      </c>
      <c r="H148" s="7">
        <v>4</v>
      </c>
      <c r="I148" s="29">
        <v>75</v>
      </c>
      <c r="J148" s="29">
        <v>229</v>
      </c>
      <c r="K148" s="7">
        <v>1.25</v>
      </c>
      <c r="L148" s="7">
        <f>-589.7/$B$25</f>
        <v>-6.1118308545369748</v>
      </c>
      <c r="M148" s="34"/>
      <c r="N148" s="2"/>
      <c r="O148" s="2"/>
      <c r="P148" s="2"/>
      <c r="Q148" s="2"/>
      <c r="R148" s="2"/>
      <c r="S148" s="2"/>
      <c r="T148" s="18">
        <v>9.6</v>
      </c>
      <c r="U148" s="18">
        <v>12.442500000000001</v>
      </c>
      <c r="V148" s="2"/>
      <c r="W148" s="16">
        <v>136</v>
      </c>
      <c r="X148" s="2"/>
      <c r="Y148" s="16" t="s">
        <v>530</v>
      </c>
      <c r="Z148" s="2">
        <v>1500</v>
      </c>
      <c r="AA148" s="2"/>
      <c r="AD148" s="18"/>
      <c r="AE148" s="2"/>
      <c r="AF148" s="26"/>
      <c r="AG148" s="2"/>
      <c r="AH148" s="7"/>
      <c r="AI148" s="7"/>
      <c r="AJ148" s="7"/>
      <c r="AK148" s="2"/>
      <c r="AL148" s="2"/>
    </row>
    <row r="149" spans="2:38" x14ac:dyDescent="0.25">
      <c r="B149" s="2"/>
      <c r="C149" s="2" t="s">
        <v>220</v>
      </c>
      <c r="D149" s="7">
        <v>-0.33800000000000002</v>
      </c>
      <c r="E149" s="7">
        <v>-0.221</v>
      </c>
      <c r="F149" s="7">
        <v>-3.1309999999999998</v>
      </c>
      <c r="G149" s="7">
        <v>6.3639999999999999</v>
      </c>
      <c r="H149" s="7">
        <v>6</v>
      </c>
      <c r="I149" s="29">
        <v>125</v>
      </c>
      <c r="J149" s="29">
        <v>223</v>
      </c>
      <c r="K149" s="7">
        <v>1.33</v>
      </c>
      <c r="L149" s="7">
        <f>-842.9/$B$25</f>
        <v>-8.7360729647095408</v>
      </c>
      <c r="M149" s="34"/>
      <c r="N149" s="2"/>
      <c r="O149" s="2"/>
      <c r="P149" s="2"/>
      <c r="Q149" s="2"/>
      <c r="R149" s="2"/>
      <c r="S149" s="2"/>
      <c r="T149" s="18">
        <v>6.69</v>
      </c>
      <c r="U149" s="18">
        <v>14.393750000000001</v>
      </c>
      <c r="V149" s="2"/>
      <c r="W149" s="16">
        <v>60</v>
      </c>
      <c r="X149" s="2"/>
      <c r="Y149" s="16" t="s">
        <v>531</v>
      </c>
      <c r="Z149" s="2">
        <v>1472</v>
      </c>
      <c r="AA149" s="2"/>
      <c r="AD149" s="18"/>
      <c r="AE149" s="2"/>
      <c r="AF149" s="26"/>
      <c r="AG149" s="2"/>
      <c r="AH149" s="7"/>
      <c r="AI149" s="7"/>
      <c r="AJ149" s="7"/>
      <c r="AK149" s="2"/>
      <c r="AL149" s="2"/>
    </row>
    <row r="150" spans="2:38" x14ac:dyDescent="0.25">
      <c r="B150" s="2"/>
      <c r="C150" s="2" t="s">
        <v>221</v>
      </c>
      <c r="D150" s="7">
        <v>-0.33800000000000002</v>
      </c>
      <c r="E150" s="7">
        <v>-0.151</v>
      </c>
      <c r="F150" s="7">
        <v>-2.2719999999999998</v>
      </c>
      <c r="G150" s="7">
        <v>7.298</v>
      </c>
      <c r="H150" s="7">
        <v>3</v>
      </c>
      <c r="I150" s="29">
        <v>62</v>
      </c>
      <c r="J150" s="29">
        <v>138</v>
      </c>
      <c r="K150" s="7">
        <v>4.0599999999999996</v>
      </c>
      <c r="L150" s="7">
        <f>-1905.3/$B$25</f>
        <v>-19.747110949888583</v>
      </c>
      <c r="M150" s="34"/>
      <c r="N150" s="2">
        <v>4.3659999999999997</v>
      </c>
      <c r="O150" s="2">
        <v>6</v>
      </c>
      <c r="P150" s="2">
        <v>4</v>
      </c>
      <c r="Q150" s="2">
        <v>0.90900000000000003</v>
      </c>
      <c r="R150" s="2">
        <v>2.2679999999999998</v>
      </c>
      <c r="S150" s="2">
        <v>2.7949999999999999</v>
      </c>
      <c r="T150" s="18">
        <v>4.8899999999999997</v>
      </c>
      <c r="U150" s="18">
        <v>15.329750000000001</v>
      </c>
      <c r="V150" s="2">
        <v>0.67400000000000004</v>
      </c>
      <c r="W150" s="16">
        <v>206</v>
      </c>
      <c r="X150" s="2">
        <v>1</v>
      </c>
      <c r="Y150" s="16" t="s">
        <v>528</v>
      </c>
      <c r="Z150" s="2">
        <v>2438</v>
      </c>
      <c r="AA150" s="2"/>
      <c r="AD150" s="18"/>
      <c r="AE150" s="2"/>
      <c r="AF150" s="26"/>
      <c r="AG150" s="2"/>
      <c r="AH150" s="7"/>
      <c r="AI150" s="7"/>
      <c r="AJ150" s="7"/>
      <c r="AK150" s="2"/>
      <c r="AL150" s="2"/>
    </row>
    <row r="151" spans="2:38" x14ac:dyDescent="0.25">
      <c r="B151" s="2"/>
      <c r="C151" s="2" t="s">
        <v>223</v>
      </c>
      <c r="D151" s="7">
        <v>-0.28599999999999998</v>
      </c>
      <c r="E151" s="7">
        <v>-0.13700000000000001</v>
      </c>
      <c r="F151" s="7">
        <v>-1.9450000000000001</v>
      </c>
      <c r="G151" s="7">
        <v>5.7519999999999998</v>
      </c>
      <c r="H151" s="7">
        <v>2</v>
      </c>
      <c r="I151" s="29">
        <v>89</v>
      </c>
      <c r="J151" s="29">
        <v>128</v>
      </c>
      <c r="K151" s="7">
        <v>3.47</v>
      </c>
      <c r="L151" s="7" t="s">
        <v>304</v>
      </c>
      <c r="M151" s="34"/>
      <c r="N151" s="2"/>
      <c r="O151" s="2"/>
      <c r="P151" s="2"/>
      <c r="Q151" s="2"/>
      <c r="R151" s="2"/>
      <c r="S151" s="2"/>
      <c r="T151" s="18">
        <v>11.72</v>
      </c>
      <c r="U151" s="18">
        <v>13.39</v>
      </c>
      <c r="V151" s="2"/>
      <c r="W151" s="16">
        <v>225</v>
      </c>
      <c r="X151" s="2"/>
      <c r="Y151" s="16" t="s">
        <v>528</v>
      </c>
      <c r="Z151" s="2" t="s">
        <v>304</v>
      </c>
      <c r="AA151" s="2"/>
      <c r="AD151" s="18"/>
      <c r="AE151" s="2"/>
      <c r="AF151" s="26"/>
      <c r="AG151" s="2"/>
      <c r="AH151" s="7"/>
      <c r="AI151" s="7"/>
      <c r="AJ151" s="7"/>
      <c r="AK151" s="2"/>
      <c r="AL151" s="2"/>
    </row>
    <row r="152" spans="2:38" x14ac:dyDescent="0.25">
      <c r="B152" s="2"/>
      <c r="C152" s="2" t="s">
        <v>225</v>
      </c>
      <c r="D152" s="7">
        <v>-0.33800000000000002</v>
      </c>
      <c r="E152" s="7">
        <v>-0.223</v>
      </c>
      <c r="F152" s="7">
        <v>-2.3820000000000001</v>
      </c>
      <c r="G152" s="7">
        <v>3.7759999999999998</v>
      </c>
      <c r="H152" s="7">
        <v>2</v>
      </c>
      <c r="I152" s="29">
        <v>41</v>
      </c>
      <c r="J152" s="29">
        <v>130</v>
      </c>
      <c r="K152" s="7">
        <v>0.73</v>
      </c>
      <c r="L152" s="7">
        <f>-350.5/$B$25</f>
        <v>-3.6326890190185002</v>
      </c>
      <c r="M152" s="34"/>
      <c r="N152" s="2">
        <v>1.3520000000000001</v>
      </c>
      <c r="O152" s="2">
        <v>4</v>
      </c>
      <c r="P152" s="2">
        <v>4</v>
      </c>
      <c r="Q152" s="2">
        <v>0.86299999999999999</v>
      </c>
      <c r="R152" s="2">
        <v>2.0019999999999998</v>
      </c>
      <c r="S152" s="2">
        <v>1.7749999999999999</v>
      </c>
      <c r="T152" s="18">
        <v>5.44</v>
      </c>
      <c r="U152" s="18">
        <v>12.43</v>
      </c>
      <c r="V152" s="2">
        <v>0.45200000000000001</v>
      </c>
      <c r="W152" s="16">
        <v>186</v>
      </c>
      <c r="X152" s="2">
        <v>2</v>
      </c>
      <c r="Y152" s="16" t="s">
        <v>532</v>
      </c>
      <c r="Z152" s="2">
        <v>1974</v>
      </c>
      <c r="AA152" s="2"/>
      <c r="AD152" s="18"/>
      <c r="AF152" s="2"/>
    </row>
    <row r="153" spans="2:38" x14ac:dyDescent="0.25">
      <c r="B153" s="2"/>
      <c r="C153" s="2" t="s">
        <v>227</v>
      </c>
      <c r="D153" s="7">
        <v>-0.151</v>
      </c>
      <c r="E153" s="7">
        <v>-0.151</v>
      </c>
      <c r="F153" s="7">
        <v>-1.6870000000000001</v>
      </c>
      <c r="G153" s="7">
        <v>6.891</v>
      </c>
      <c r="H153" s="7" t="s">
        <v>304</v>
      </c>
      <c r="I153" s="29">
        <v>55</v>
      </c>
      <c r="J153" s="29">
        <v>134</v>
      </c>
      <c r="K153" s="7">
        <v>0</v>
      </c>
      <c r="L153" s="7" t="s">
        <v>304</v>
      </c>
      <c r="M153" s="34"/>
      <c r="N153" s="2"/>
      <c r="O153" s="2"/>
      <c r="P153" s="2"/>
      <c r="Q153" s="2"/>
      <c r="R153" s="2"/>
      <c r="S153" s="2"/>
      <c r="T153" s="18">
        <v>6.6</v>
      </c>
      <c r="U153" s="18">
        <v>18.2225</v>
      </c>
      <c r="V153" s="2"/>
      <c r="W153" s="16">
        <v>155</v>
      </c>
      <c r="X153" s="2"/>
      <c r="Y153" s="16" t="s">
        <v>527</v>
      </c>
      <c r="Z153" s="2" t="s">
        <v>304</v>
      </c>
      <c r="AA153" s="2"/>
      <c r="AD153" s="18"/>
      <c r="AF153" s="2"/>
    </row>
    <row r="154" spans="2:38" x14ac:dyDescent="0.25">
      <c r="B154" s="2"/>
      <c r="C154" s="2" t="s">
        <v>229</v>
      </c>
      <c r="D154" s="7">
        <v>-0.33800000000000002</v>
      </c>
      <c r="E154" s="7">
        <v>-0.16200000000000001</v>
      </c>
      <c r="F154" s="7">
        <v>-2.5059999999999998</v>
      </c>
      <c r="G154" s="7">
        <v>7.6539999999999999</v>
      </c>
      <c r="H154" s="7">
        <v>4</v>
      </c>
      <c r="I154" s="29">
        <v>85</v>
      </c>
      <c r="J154" s="29">
        <v>183</v>
      </c>
      <c r="K154" s="7">
        <v>3.47</v>
      </c>
      <c r="L154" s="7">
        <f>-1100.6/$B$25</f>
        <v>-11.406954448878063</v>
      </c>
      <c r="M154" s="34"/>
      <c r="N154" s="2">
        <v>6.2309999999999999</v>
      </c>
      <c r="O154" s="2">
        <v>7</v>
      </c>
      <c r="P154" s="2">
        <v>4</v>
      </c>
      <c r="Q154" s="2">
        <v>0.89900000000000002</v>
      </c>
      <c r="R154" s="2">
        <v>2.077</v>
      </c>
      <c r="S154" s="2">
        <v>3.6019999999999999</v>
      </c>
      <c r="T154" s="18">
        <v>5.56</v>
      </c>
      <c r="U154" s="18">
        <v>12.259166666666667</v>
      </c>
      <c r="V154" s="2">
        <v>0.47899999999999998</v>
      </c>
      <c r="W154" s="16">
        <v>14</v>
      </c>
      <c r="X154" s="2">
        <v>6</v>
      </c>
      <c r="Y154" s="16" t="s">
        <v>529</v>
      </c>
      <c r="Z154" s="2">
        <v>2709</v>
      </c>
      <c r="AA154" s="2"/>
      <c r="AD154" s="18"/>
      <c r="AF154" s="2"/>
    </row>
    <row r="155" spans="2:38" x14ac:dyDescent="0.25">
      <c r="B155" s="2"/>
      <c r="C155" s="2"/>
      <c r="D155" s="7"/>
      <c r="E155" s="7"/>
      <c r="F155" s="7"/>
      <c r="G155" s="7"/>
      <c r="H155" s="7"/>
      <c r="K155" s="2"/>
      <c r="L155" s="7"/>
      <c r="M155" s="34"/>
      <c r="N155" s="2"/>
      <c r="O155" s="2"/>
      <c r="P155" s="2"/>
      <c r="Q155" s="2"/>
      <c r="R155" s="2"/>
      <c r="S155" s="2"/>
      <c r="T155" s="2"/>
      <c r="U155" s="2"/>
      <c r="V155" s="2"/>
      <c r="X155" s="2"/>
      <c r="Z155" s="2" t="s">
        <v>456</v>
      </c>
      <c r="AA155" s="2"/>
      <c r="AD155" s="18"/>
      <c r="AF155" s="2"/>
    </row>
    <row r="156" spans="2:38" x14ac:dyDescent="0.25">
      <c r="Z156" s="2"/>
      <c r="AA156" s="2"/>
      <c r="AF156" s="2"/>
    </row>
    <row r="157" spans="2:38" x14ac:dyDescent="0.25">
      <c r="Z157" s="2"/>
      <c r="AA157" s="2"/>
      <c r="AF157" s="2"/>
    </row>
    <row r="158" spans="2:38" x14ac:dyDescent="0.25">
      <c r="Z158" s="2"/>
      <c r="AA158" s="2"/>
      <c r="AF158" s="2"/>
    </row>
    <row r="159" spans="2:38" x14ac:dyDescent="0.25">
      <c r="Z159" s="2"/>
      <c r="AA159" s="2"/>
      <c r="AF159" s="2"/>
    </row>
    <row r="160" spans="2:38" x14ac:dyDescent="0.25">
      <c r="Z160" s="2"/>
      <c r="AA160" s="2"/>
      <c r="AF160" s="2"/>
    </row>
    <row r="161" spans="26:32" x14ac:dyDescent="0.25">
      <c r="Z161" s="2"/>
      <c r="AA161" s="2"/>
      <c r="AF161" s="2"/>
    </row>
    <row r="162" spans="26:32" x14ac:dyDescent="0.25">
      <c r="Z162" s="2"/>
      <c r="AA162" s="2"/>
      <c r="AF162" s="2"/>
    </row>
    <row r="163" spans="26:32" x14ac:dyDescent="0.25">
      <c r="Z163" s="2"/>
      <c r="AA163" s="2"/>
      <c r="AF163" s="2"/>
    </row>
    <row r="164" spans="26:32" x14ac:dyDescent="0.25">
      <c r="Z164" s="2"/>
      <c r="AA164" s="2"/>
      <c r="AF164" s="2"/>
    </row>
    <row r="165" spans="26:32" x14ac:dyDescent="0.25">
      <c r="Z165" s="2"/>
      <c r="AA165" s="2"/>
      <c r="AF165" s="2"/>
    </row>
    <row r="166" spans="26:32" x14ac:dyDescent="0.25">
      <c r="Z166" s="2"/>
      <c r="AA166" s="2"/>
      <c r="AF166" s="2"/>
    </row>
    <row r="167" spans="26:32" x14ac:dyDescent="0.25">
      <c r="Z167" s="2"/>
      <c r="AA167" s="2"/>
      <c r="AF167" s="2"/>
    </row>
    <row r="168" spans="26:32" x14ac:dyDescent="0.25">
      <c r="Z168" s="2"/>
      <c r="AA168" s="2"/>
      <c r="AF168" s="2"/>
    </row>
    <row r="169" spans="26:32" x14ac:dyDescent="0.25">
      <c r="Z169" s="2"/>
      <c r="AA169" s="2"/>
      <c r="AF169" s="2"/>
    </row>
    <row r="170" spans="26:32" x14ac:dyDescent="0.25">
      <c r="Z170" s="2"/>
      <c r="AA170" s="2"/>
      <c r="AF170" s="2"/>
    </row>
    <row r="171" spans="26:32" x14ac:dyDescent="0.25">
      <c r="Z171" s="2"/>
      <c r="AA171" s="2"/>
      <c r="AF171" s="2"/>
    </row>
    <row r="172" spans="26:32" x14ac:dyDescent="0.25">
      <c r="Z172" s="2"/>
      <c r="AA172" s="2"/>
      <c r="AF172" s="2"/>
    </row>
    <row r="173" spans="26:32" x14ac:dyDescent="0.25">
      <c r="Z173" s="2"/>
      <c r="AA173" s="2"/>
      <c r="AF173" s="2"/>
    </row>
    <row r="174" spans="26:32" x14ac:dyDescent="0.25">
      <c r="Z174" s="2"/>
      <c r="AA174" s="2"/>
      <c r="AF174" s="2"/>
    </row>
    <row r="175" spans="26:32" x14ac:dyDescent="0.25">
      <c r="Z175" s="2"/>
      <c r="AA175" s="2"/>
      <c r="AF175" s="2"/>
    </row>
    <row r="176" spans="26:32" x14ac:dyDescent="0.25">
      <c r="Z176" s="2"/>
      <c r="AA176" s="2"/>
      <c r="AF176" s="2"/>
    </row>
    <row r="177" spans="26:32" x14ac:dyDescent="0.25">
      <c r="Z177" s="2"/>
      <c r="AA177" s="2"/>
      <c r="AF177" s="2"/>
    </row>
    <row r="178" spans="26:32" x14ac:dyDescent="0.25">
      <c r="Z178" s="2"/>
      <c r="AA178" s="2"/>
      <c r="AF178" s="2"/>
    </row>
    <row r="179" spans="26:32" x14ac:dyDescent="0.25">
      <c r="Z179" s="2"/>
      <c r="AA179" s="2"/>
      <c r="AF179" s="2"/>
    </row>
    <row r="180" spans="26:32" x14ac:dyDescent="0.25">
      <c r="Z180" s="2"/>
      <c r="AA180" s="2"/>
      <c r="AF180" s="2"/>
    </row>
    <row r="181" spans="26:32" x14ac:dyDescent="0.25">
      <c r="Z181" s="2"/>
      <c r="AA181" s="2"/>
      <c r="AF181" s="2"/>
    </row>
    <row r="182" spans="26:32" x14ac:dyDescent="0.25">
      <c r="Z182" s="2"/>
      <c r="AA182" s="2"/>
      <c r="AF182" s="2"/>
    </row>
    <row r="183" spans="26:32" x14ac:dyDescent="0.25">
      <c r="Z183" s="2"/>
      <c r="AA183" s="2"/>
      <c r="AF183" s="2"/>
    </row>
    <row r="184" spans="26:32" x14ac:dyDescent="0.25">
      <c r="Z184" s="2"/>
      <c r="AA184" s="2"/>
      <c r="AF184" s="2"/>
    </row>
    <row r="185" spans="26:32" x14ac:dyDescent="0.25">
      <c r="Z185" s="2"/>
      <c r="AA185" s="2"/>
      <c r="AF185" s="2"/>
    </row>
    <row r="186" spans="26:32" x14ac:dyDescent="0.25">
      <c r="Z186" s="2"/>
      <c r="AA186" s="2"/>
      <c r="AF186" s="2"/>
    </row>
    <row r="187" spans="26:32" x14ac:dyDescent="0.25">
      <c r="Z187" s="2"/>
      <c r="AA187" s="2"/>
      <c r="AF187" s="2"/>
    </row>
    <row r="188" spans="26:32" x14ac:dyDescent="0.25">
      <c r="Z188" s="2"/>
      <c r="AA188" s="2"/>
      <c r="AF188" s="2"/>
    </row>
    <row r="189" spans="26:32" x14ac:dyDescent="0.25">
      <c r="Z189" s="2"/>
      <c r="AA189" s="2"/>
      <c r="AF189" s="2"/>
    </row>
    <row r="190" spans="26:32" x14ac:dyDescent="0.25">
      <c r="Z190" s="2"/>
      <c r="AA190" s="2"/>
      <c r="AF190" s="2"/>
    </row>
    <row r="191" spans="26:32" x14ac:dyDescent="0.25">
      <c r="Z191" s="2"/>
      <c r="AA191" s="2"/>
      <c r="AF191" s="2"/>
    </row>
    <row r="192" spans="26:32" x14ac:dyDescent="0.25">
      <c r="Z192" s="2"/>
      <c r="AA192" s="2"/>
      <c r="AF192" s="2"/>
    </row>
    <row r="193" spans="26:32" x14ac:dyDescent="0.25">
      <c r="Z193" s="2"/>
      <c r="AA193" s="2"/>
      <c r="AF193" s="2"/>
    </row>
    <row r="194" spans="26:32" x14ac:dyDescent="0.25">
      <c r="Z194" s="2"/>
      <c r="AA194" s="2"/>
      <c r="AF194" s="2"/>
    </row>
    <row r="195" spans="26:32" x14ac:dyDescent="0.25">
      <c r="Z195" s="2"/>
      <c r="AA195" s="2"/>
      <c r="AF195" s="2"/>
    </row>
    <row r="196" spans="26:32" x14ac:dyDescent="0.25">
      <c r="Z196" s="2"/>
      <c r="AA196" s="2"/>
      <c r="AF196" s="2"/>
    </row>
    <row r="197" spans="26:32" x14ac:dyDescent="0.25">
      <c r="Z197" s="2"/>
      <c r="AA197" s="2"/>
      <c r="AF197" s="2"/>
    </row>
    <row r="198" spans="26:32" x14ac:dyDescent="0.25">
      <c r="Z198" s="2"/>
      <c r="AA198" s="2"/>
      <c r="AF198" s="2"/>
    </row>
    <row r="199" spans="26:32" x14ac:dyDescent="0.25">
      <c r="Z199" s="2"/>
      <c r="AA199" s="2"/>
      <c r="AF199" s="2"/>
    </row>
    <row r="200" spans="26:32" x14ac:dyDescent="0.25">
      <c r="Z200" s="2"/>
      <c r="AA200" s="2"/>
      <c r="AF200" s="2"/>
    </row>
    <row r="201" spans="26:32" x14ac:dyDescent="0.25">
      <c r="Z201" s="2"/>
      <c r="AA201" s="2"/>
      <c r="AF201" s="2"/>
    </row>
    <row r="202" spans="26:32" x14ac:dyDescent="0.25">
      <c r="Z202" s="2"/>
      <c r="AA202" s="2"/>
      <c r="AF202" s="2"/>
    </row>
    <row r="203" spans="26:32" x14ac:dyDescent="0.25">
      <c r="Z203" s="2"/>
      <c r="AA203" s="2"/>
      <c r="AF203" s="2"/>
    </row>
    <row r="204" spans="26:32" x14ac:dyDescent="0.25">
      <c r="Z204" s="2"/>
      <c r="AA204" s="2"/>
      <c r="AF204" s="2"/>
    </row>
    <row r="205" spans="26:32" x14ac:dyDescent="0.25">
      <c r="Z205" s="2"/>
      <c r="AA205" s="2"/>
      <c r="AF205" s="2"/>
    </row>
    <row r="206" spans="26:32" x14ac:dyDescent="0.25">
      <c r="Z206" s="2"/>
      <c r="AA206" s="2"/>
      <c r="AF206" s="2"/>
    </row>
    <row r="207" spans="26:32" x14ac:dyDescent="0.25">
      <c r="Z207" s="2"/>
      <c r="AA207" s="2"/>
      <c r="AF207" s="2"/>
    </row>
    <row r="208" spans="26:32" x14ac:dyDescent="0.25">
      <c r="Z208" s="2"/>
      <c r="AA208" s="2"/>
      <c r="AF208" s="2"/>
    </row>
    <row r="209" spans="26:32" x14ac:dyDescent="0.25">
      <c r="Z209" s="2"/>
      <c r="AA209" s="2"/>
      <c r="AF209" s="2"/>
    </row>
    <row r="210" spans="26:32" x14ac:dyDescent="0.25">
      <c r="Z210" s="2"/>
      <c r="AA210" s="2"/>
      <c r="AF210" s="2"/>
    </row>
    <row r="211" spans="26:32" x14ac:dyDescent="0.25">
      <c r="Z211" s="2"/>
      <c r="AA211" s="2"/>
      <c r="AF211" s="2"/>
    </row>
    <row r="212" spans="26:32" x14ac:dyDescent="0.25">
      <c r="Z212" s="2"/>
      <c r="AA212" s="2"/>
      <c r="AF212" s="2"/>
    </row>
    <row r="213" spans="26:32" x14ac:dyDescent="0.25">
      <c r="Z213" s="2"/>
      <c r="AA213" s="2"/>
      <c r="AF213" s="2"/>
    </row>
    <row r="214" spans="26:32" x14ac:dyDescent="0.25">
      <c r="Z214" s="2"/>
      <c r="AA214" s="2"/>
      <c r="AF214" s="2"/>
    </row>
    <row r="215" spans="26:32" x14ac:dyDescent="0.25">
      <c r="Z215" s="2"/>
      <c r="AA215" s="2"/>
      <c r="AF215" s="2"/>
    </row>
    <row r="216" spans="26:32" x14ac:dyDescent="0.25">
      <c r="Z216" s="2"/>
      <c r="AA216" s="2"/>
      <c r="AF216" s="2"/>
    </row>
    <row r="217" spans="26:32" x14ac:dyDescent="0.25">
      <c r="Z217" s="2"/>
      <c r="AA217" s="2"/>
      <c r="AF217" s="2"/>
    </row>
    <row r="218" spans="26:32" x14ac:dyDescent="0.25">
      <c r="Z218" s="2"/>
      <c r="AA218" s="2"/>
      <c r="AF218" s="2"/>
    </row>
    <row r="219" spans="26:32" x14ac:dyDescent="0.25">
      <c r="Z219" s="2"/>
      <c r="AA219" s="2"/>
      <c r="AF219" s="2"/>
    </row>
    <row r="220" spans="26:32" x14ac:dyDescent="0.25">
      <c r="Z220" s="2"/>
      <c r="AA220" s="2"/>
      <c r="AF220" s="2"/>
    </row>
    <row r="221" spans="26:32" x14ac:dyDescent="0.25">
      <c r="Z221" s="2"/>
      <c r="AA221" s="2"/>
      <c r="AF221" s="2"/>
    </row>
    <row r="222" spans="26:32" x14ac:dyDescent="0.25">
      <c r="Z222" s="2"/>
      <c r="AA222" s="2"/>
      <c r="AF222" s="2"/>
    </row>
    <row r="223" spans="26:32" x14ac:dyDescent="0.25">
      <c r="Z223" s="2"/>
      <c r="AA223" s="2"/>
      <c r="AF223" s="2"/>
    </row>
    <row r="224" spans="26:32" x14ac:dyDescent="0.25">
      <c r="Z224" s="2"/>
      <c r="AA224" s="2"/>
      <c r="AF224" s="2"/>
    </row>
    <row r="225" spans="26:32" x14ac:dyDescent="0.25">
      <c r="Z225" s="2"/>
      <c r="AA225" s="2"/>
      <c r="AF225" s="2"/>
    </row>
    <row r="226" spans="26:32" x14ac:dyDescent="0.25">
      <c r="Z226" s="2"/>
      <c r="AA226" s="2"/>
      <c r="AF226" s="2"/>
    </row>
    <row r="227" spans="26:32" x14ac:dyDescent="0.25">
      <c r="Z227" s="2"/>
      <c r="AA227" s="2"/>
      <c r="AF227" s="2"/>
    </row>
    <row r="228" spans="26:32" x14ac:dyDescent="0.25">
      <c r="Z228" s="2"/>
      <c r="AA228" s="2"/>
      <c r="AF228" s="2"/>
    </row>
    <row r="229" spans="26:32" x14ac:dyDescent="0.25">
      <c r="Z229" s="2"/>
      <c r="AA229" s="2"/>
      <c r="AF229" s="2"/>
    </row>
    <row r="230" spans="26:32" x14ac:dyDescent="0.25">
      <c r="Z230" s="2"/>
      <c r="AA230" s="2"/>
      <c r="AF230" s="2"/>
    </row>
    <row r="231" spans="26:32" x14ac:dyDescent="0.25">
      <c r="Z231" s="2"/>
      <c r="AA231" s="2"/>
      <c r="AF231" s="2"/>
    </row>
    <row r="232" spans="26:32" x14ac:dyDescent="0.25">
      <c r="Z232" s="2"/>
      <c r="AA232" s="2"/>
      <c r="AF232" s="2"/>
    </row>
    <row r="233" spans="26:32" x14ac:dyDescent="0.25">
      <c r="Z233" s="2"/>
      <c r="AA233" s="2"/>
      <c r="AF233" s="2"/>
    </row>
    <row r="234" spans="26:32" x14ac:dyDescent="0.25">
      <c r="Z234" s="2"/>
      <c r="AA234" s="2"/>
      <c r="AF234" s="2"/>
    </row>
    <row r="235" spans="26:32" x14ac:dyDescent="0.25">
      <c r="Z235" s="2"/>
      <c r="AA235" s="2"/>
      <c r="AF235" s="2"/>
    </row>
    <row r="236" spans="26:32" x14ac:dyDescent="0.25">
      <c r="Z236" s="2"/>
      <c r="AA236" s="2"/>
      <c r="AF236" s="2"/>
    </row>
    <row r="237" spans="26:32" x14ac:dyDescent="0.25">
      <c r="Z237" s="2"/>
      <c r="AA237" s="2"/>
      <c r="AF237" s="2"/>
    </row>
    <row r="238" spans="26:32" x14ac:dyDescent="0.25">
      <c r="Z238" s="2"/>
      <c r="AA238" s="2"/>
      <c r="AF238" s="2"/>
    </row>
    <row r="239" spans="26:32" x14ac:dyDescent="0.25">
      <c r="Z239" s="2"/>
      <c r="AA239" s="2"/>
      <c r="AF239" s="2"/>
    </row>
    <row r="240" spans="26:32" x14ac:dyDescent="0.25">
      <c r="Z240" s="2"/>
      <c r="AA240" s="2"/>
      <c r="AF240" s="2"/>
    </row>
    <row r="241" spans="26:32" x14ac:dyDescent="0.25">
      <c r="Z241" s="2"/>
      <c r="AA241" s="2"/>
      <c r="AF241" s="2"/>
    </row>
    <row r="242" spans="26:32" x14ac:dyDescent="0.25">
      <c r="Z242" s="2"/>
      <c r="AA242" s="2"/>
      <c r="AF242" s="2"/>
    </row>
    <row r="243" spans="26:32" x14ac:dyDescent="0.25">
      <c r="Z243" s="2"/>
      <c r="AA243" s="2"/>
      <c r="AF243" s="2"/>
    </row>
    <row r="244" spans="26:32" x14ac:dyDescent="0.25">
      <c r="Z244" s="2"/>
      <c r="AA244" s="2"/>
      <c r="AF244" s="2"/>
    </row>
    <row r="245" spans="26:32" x14ac:dyDescent="0.25">
      <c r="Z245" s="2"/>
      <c r="AA245" s="2"/>
      <c r="AF245" s="2"/>
    </row>
    <row r="246" spans="26:32" x14ac:dyDescent="0.25">
      <c r="Z246" s="2"/>
      <c r="AA246" s="2"/>
      <c r="AF246" s="2"/>
    </row>
    <row r="247" spans="26:32" x14ac:dyDescent="0.25">
      <c r="Z247" s="2"/>
      <c r="AA247" s="2"/>
      <c r="AF247" s="2"/>
    </row>
    <row r="248" spans="26:32" x14ac:dyDescent="0.25">
      <c r="Z248" s="2"/>
      <c r="AA248" s="2"/>
      <c r="AF248" s="2"/>
    </row>
    <row r="249" spans="26:32" x14ac:dyDescent="0.25">
      <c r="Z249" s="2"/>
      <c r="AA249" s="2"/>
      <c r="AF249" s="2"/>
    </row>
    <row r="250" spans="26:32" x14ac:dyDescent="0.25">
      <c r="Z250" s="2"/>
      <c r="AA250" s="2"/>
      <c r="AF250" s="2"/>
    </row>
    <row r="251" spans="26:32" x14ac:dyDescent="0.25">
      <c r="Z251" s="2"/>
      <c r="AA251" s="2"/>
      <c r="AF251" s="2"/>
    </row>
    <row r="252" spans="26:32" x14ac:dyDescent="0.25">
      <c r="Z252" s="2"/>
      <c r="AA252" s="2"/>
      <c r="AF252" s="2"/>
    </row>
    <row r="253" spans="26:32" x14ac:dyDescent="0.25">
      <c r="Z253" s="2"/>
      <c r="AA253" s="2"/>
      <c r="AF253" s="2"/>
    </row>
    <row r="254" spans="26:32" x14ac:dyDescent="0.25">
      <c r="Z254" s="2"/>
      <c r="AA254" s="2"/>
      <c r="AF254" s="2"/>
    </row>
    <row r="255" spans="26:32" x14ac:dyDescent="0.25">
      <c r="Z255" s="2"/>
      <c r="AA255" s="2"/>
      <c r="AF255" s="2"/>
    </row>
    <row r="256" spans="26:32" x14ac:dyDescent="0.25">
      <c r="Z256" s="2"/>
      <c r="AA256" s="2"/>
      <c r="AF256" s="2"/>
    </row>
    <row r="257" spans="26:32" x14ac:dyDescent="0.25">
      <c r="Z257" s="2"/>
      <c r="AA257" s="2"/>
      <c r="AF257" s="2"/>
    </row>
    <row r="258" spans="26:32" x14ac:dyDescent="0.25">
      <c r="Z258" s="2"/>
      <c r="AA258" s="2"/>
      <c r="AF258" s="2"/>
    </row>
    <row r="259" spans="26:32" x14ac:dyDescent="0.25">
      <c r="Z259" s="2"/>
      <c r="AA259" s="2"/>
      <c r="AF259" s="2"/>
    </row>
    <row r="260" spans="26:32" x14ac:dyDescent="0.25">
      <c r="Z260" s="2"/>
      <c r="AA260" s="2"/>
      <c r="AF260" s="2"/>
    </row>
    <row r="261" spans="26:32" x14ac:dyDescent="0.25">
      <c r="Z261" s="2"/>
      <c r="AA261" s="2"/>
      <c r="AF261" s="2"/>
    </row>
    <row r="262" spans="26:32" x14ac:dyDescent="0.25">
      <c r="Z262" s="2"/>
      <c r="AA262" s="2"/>
      <c r="AF262" s="2"/>
    </row>
    <row r="263" spans="26:32" x14ac:dyDescent="0.25">
      <c r="Z263" s="2"/>
      <c r="AA263" s="2"/>
      <c r="AF263" s="2"/>
    </row>
    <row r="264" spans="26:32" x14ac:dyDescent="0.25">
      <c r="Z264" s="2"/>
      <c r="AA264" s="2"/>
      <c r="AF264" s="2"/>
    </row>
    <row r="265" spans="26:32" x14ac:dyDescent="0.25">
      <c r="Z265" s="2"/>
      <c r="AA265" s="2"/>
      <c r="AF265" s="2"/>
    </row>
    <row r="266" spans="26:32" x14ac:dyDescent="0.25">
      <c r="Z266" s="2"/>
      <c r="AA266" s="2"/>
      <c r="AF266" s="2"/>
    </row>
    <row r="267" spans="26:32" x14ac:dyDescent="0.25">
      <c r="Z267" s="2"/>
      <c r="AA267" s="2"/>
      <c r="AF267" s="2"/>
    </row>
    <row r="268" spans="26:32" x14ac:dyDescent="0.25">
      <c r="Z268" s="2"/>
      <c r="AA268" s="2"/>
      <c r="AF268" s="2"/>
    </row>
    <row r="269" spans="26:32" x14ac:dyDescent="0.25">
      <c r="Z269" s="2"/>
      <c r="AA269" s="2"/>
      <c r="AF269" s="2"/>
    </row>
    <row r="270" spans="26:32" x14ac:dyDescent="0.25">
      <c r="Z270" s="2"/>
      <c r="AA270" s="2"/>
      <c r="AF270" s="2"/>
    </row>
    <row r="271" spans="26:32" x14ac:dyDescent="0.25">
      <c r="Z271" s="2"/>
      <c r="AA271" s="2"/>
      <c r="AF271" s="2"/>
    </row>
    <row r="272" spans="26:32" x14ac:dyDescent="0.25">
      <c r="Z272" s="2"/>
      <c r="AA272" s="2"/>
      <c r="AF272" s="2"/>
    </row>
    <row r="273" spans="26:32" x14ac:dyDescent="0.25">
      <c r="Z273" s="2"/>
      <c r="AA273" s="2"/>
      <c r="AF273" s="2"/>
    </row>
    <row r="274" spans="26:32" x14ac:dyDescent="0.25">
      <c r="Z274" s="2"/>
      <c r="AA274" s="2"/>
      <c r="AF274" s="2"/>
    </row>
    <row r="275" spans="26:32" x14ac:dyDescent="0.25">
      <c r="Z275" s="2"/>
      <c r="AA275" s="2"/>
      <c r="AF275" s="2"/>
    </row>
    <row r="276" spans="26:32" x14ac:dyDescent="0.25">
      <c r="Z276" s="2"/>
      <c r="AA276" s="2"/>
      <c r="AF276" s="2"/>
    </row>
    <row r="277" spans="26:32" x14ac:dyDescent="0.25">
      <c r="Z277" s="2"/>
      <c r="AA277" s="2"/>
      <c r="AF277" s="2"/>
    </row>
    <row r="278" spans="26:32" x14ac:dyDescent="0.25">
      <c r="Z278" s="2"/>
      <c r="AA278" s="2"/>
      <c r="AF278" s="2"/>
    </row>
    <row r="279" spans="26:32" x14ac:dyDescent="0.25">
      <c r="Z279" s="2"/>
      <c r="AA279" s="2"/>
      <c r="AF279" s="2"/>
    </row>
    <row r="280" spans="26:32" x14ac:dyDescent="0.25">
      <c r="Z280" s="2"/>
      <c r="AA280" s="2"/>
      <c r="AF280" s="2"/>
    </row>
    <row r="281" spans="26:32" x14ac:dyDescent="0.25">
      <c r="Z281" s="2"/>
      <c r="AA281" s="2"/>
      <c r="AF281" s="2"/>
    </row>
    <row r="282" spans="26:32" x14ac:dyDescent="0.25">
      <c r="Z282" s="2"/>
      <c r="AA282" s="2"/>
      <c r="AF282" s="2"/>
    </row>
    <row r="283" spans="26:32" x14ac:dyDescent="0.25">
      <c r="Z283" s="2"/>
      <c r="AA283" s="2"/>
      <c r="AF283" s="2"/>
    </row>
    <row r="284" spans="26:32" x14ac:dyDescent="0.25">
      <c r="Z284" s="2"/>
      <c r="AA284" s="2"/>
      <c r="AF284" s="2"/>
    </row>
    <row r="285" spans="26:32" x14ac:dyDescent="0.25">
      <c r="Z285" s="2"/>
      <c r="AA285" s="2"/>
      <c r="AF285" s="2"/>
    </row>
    <row r="286" spans="26:32" x14ac:dyDescent="0.25">
      <c r="Z286" s="2"/>
      <c r="AA286" s="2"/>
      <c r="AF286" s="2"/>
    </row>
    <row r="287" spans="26:32" x14ac:dyDescent="0.25">
      <c r="Z287" s="2"/>
      <c r="AA287" s="2"/>
      <c r="AF287" s="2"/>
    </row>
    <row r="288" spans="26:32" x14ac:dyDescent="0.25">
      <c r="Z288" s="2"/>
      <c r="AA288" s="2"/>
      <c r="AF288" s="2"/>
    </row>
    <row r="289" spans="26:32" x14ac:dyDescent="0.25">
      <c r="Z289" s="2"/>
      <c r="AA289" s="2"/>
      <c r="AF289" s="2"/>
    </row>
    <row r="290" spans="26:32" x14ac:dyDescent="0.25">
      <c r="Z290" s="2"/>
      <c r="AA290" s="2"/>
      <c r="AF290" s="2"/>
    </row>
    <row r="291" spans="26:32" x14ac:dyDescent="0.25">
      <c r="Z291" s="2"/>
      <c r="AA291" s="2"/>
      <c r="AF291" s="2"/>
    </row>
    <row r="292" spans="26:32" x14ac:dyDescent="0.25">
      <c r="Z292" s="2"/>
      <c r="AA292" s="2"/>
      <c r="AF292" s="2"/>
    </row>
    <row r="293" spans="26:32" x14ac:dyDescent="0.25">
      <c r="Z293" s="2"/>
      <c r="AA293" s="2"/>
      <c r="AF293" s="2"/>
    </row>
    <row r="294" spans="26:32" x14ac:dyDescent="0.25">
      <c r="Z294" s="2"/>
      <c r="AA294" s="2"/>
      <c r="AF294" s="2"/>
    </row>
    <row r="295" spans="26:32" x14ac:dyDescent="0.25">
      <c r="Z295" s="2"/>
      <c r="AA295" s="2"/>
      <c r="AF295" s="2"/>
    </row>
    <row r="296" spans="26:32" x14ac:dyDescent="0.25">
      <c r="Z296" s="2"/>
      <c r="AA296" s="2"/>
      <c r="AF296" s="2"/>
    </row>
    <row r="297" spans="26:32" x14ac:dyDescent="0.25">
      <c r="Z297" s="2"/>
      <c r="AA297" s="2"/>
      <c r="AF297" s="2"/>
    </row>
    <row r="298" spans="26:32" x14ac:dyDescent="0.25">
      <c r="Z298" s="2"/>
      <c r="AA298" s="2"/>
      <c r="AF298" s="2"/>
    </row>
  </sheetData>
  <hyperlinks>
    <hyperlink ref="M2" r:id="rId1" display="https://doi.org/10.1063/1.4825256" xr:uid="{91595716-A2E0-4BC0-8B93-ACAC8CC75134}"/>
    <hyperlink ref="M10" r:id="rId2" tooltip="Persistent link using digital object identifier" display="https://doi.org/10.1016/0022-5088(86)90046-9" xr:uid="{E92248BE-7DCB-4ABD-8A30-6B6270589407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E463-6762-41F6-AD47-79665BB1A48D}">
  <dimension ref="A1:X298"/>
  <sheetViews>
    <sheetView topLeftCell="C76" zoomScale="90" zoomScaleNormal="90" workbookViewId="0">
      <selection activeCell="L110" sqref="L110"/>
    </sheetView>
  </sheetViews>
  <sheetFormatPr defaultColWidth="9.140625" defaultRowHeight="12.75" x14ac:dyDescent="0.2"/>
  <cols>
    <col min="1" max="1" width="9.140625" style="2"/>
    <col min="2" max="2" width="45" style="1" customWidth="1"/>
    <col min="3" max="3" width="15.42578125" style="1" customWidth="1"/>
    <col min="4" max="4" width="13.28515625" style="1" customWidth="1"/>
    <col min="5" max="5" width="29.7109375" style="1" customWidth="1"/>
    <col min="6" max="6" width="13.42578125" style="1" customWidth="1"/>
    <col min="7" max="7" width="12.7109375" style="1" customWidth="1"/>
    <col min="8" max="8" width="13.42578125" style="1" customWidth="1"/>
    <col min="9" max="9" width="9.140625" style="1"/>
    <col min="10" max="11" width="17.28515625" style="1" customWidth="1"/>
    <col min="12" max="12" width="33.28515625" style="1" customWidth="1"/>
    <col min="13" max="16" width="17.28515625" style="1" customWidth="1"/>
    <col min="17" max="18" width="14" style="1" customWidth="1"/>
    <col min="19" max="19" width="37.7109375" style="11" customWidth="1"/>
    <col min="20" max="24" width="14" style="1" customWidth="1"/>
    <col min="25" max="16384" width="9.140625" style="1"/>
  </cols>
  <sheetData>
    <row r="1" spans="1:24" s="8" customFormat="1" ht="13.5" customHeight="1" x14ac:dyDescent="0.2">
      <c r="A1" s="5" t="s">
        <v>322</v>
      </c>
      <c r="B1" s="5" t="s">
        <v>321</v>
      </c>
      <c r="C1" s="5" t="s">
        <v>329</v>
      </c>
      <c r="D1" s="5" t="s">
        <v>330</v>
      </c>
      <c r="E1" s="5" t="s">
        <v>318</v>
      </c>
      <c r="F1" s="12" t="s">
        <v>312</v>
      </c>
      <c r="G1" s="12" t="s">
        <v>313</v>
      </c>
      <c r="H1" s="12" t="s">
        <v>314</v>
      </c>
      <c r="I1" s="5" t="s">
        <v>331</v>
      </c>
      <c r="J1" s="3" t="s">
        <v>328</v>
      </c>
      <c r="K1" s="3" t="s">
        <v>350</v>
      </c>
      <c r="L1" s="3" t="s">
        <v>355</v>
      </c>
      <c r="M1" s="3" t="s">
        <v>346</v>
      </c>
      <c r="N1" s="3" t="s">
        <v>420</v>
      </c>
      <c r="O1" s="3" t="s">
        <v>421</v>
      </c>
      <c r="P1" s="3" t="s">
        <v>428</v>
      </c>
      <c r="Q1" s="5" t="s">
        <v>347</v>
      </c>
      <c r="R1" s="5" t="s">
        <v>419</v>
      </c>
      <c r="S1" s="6" t="s">
        <v>354</v>
      </c>
      <c r="T1" s="5" t="str">
        <f>"bv"&amp;"e"</f>
        <v>bve</v>
      </c>
      <c r="U1" s="5" t="s">
        <v>457</v>
      </c>
      <c r="V1" s="5" t="s">
        <v>319</v>
      </c>
      <c r="W1" s="5" t="s">
        <v>349</v>
      </c>
      <c r="X1" s="5" t="s">
        <v>320</v>
      </c>
    </row>
    <row r="2" spans="1:24" x14ac:dyDescent="0.2">
      <c r="A2" s="2">
        <v>1</v>
      </c>
      <c r="B2" s="2" t="s">
        <v>323</v>
      </c>
      <c r="C2" s="2" t="s">
        <v>0</v>
      </c>
      <c r="D2" s="2" t="s">
        <v>1</v>
      </c>
      <c r="E2" s="2" t="str">
        <f t="shared" ref="E2:E65" si="0">C2 &amp; "-" &amp; D2</f>
        <v>Ac2O3-Ac</v>
      </c>
      <c r="F2" s="2">
        <v>84.99</v>
      </c>
      <c r="G2" s="2">
        <v>81.97</v>
      </c>
      <c r="H2" s="2">
        <v>78.84</v>
      </c>
      <c r="I2" s="2" t="s">
        <v>326</v>
      </c>
      <c r="J2" s="2" t="s">
        <v>0</v>
      </c>
      <c r="K2" s="2">
        <v>1977</v>
      </c>
      <c r="L2" s="2" t="s">
        <v>368</v>
      </c>
      <c r="M2" s="2"/>
      <c r="N2" s="2"/>
      <c r="O2" s="2"/>
      <c r="P2" s="2"/>
      <c r="Q2" s="2"/>
      <c r="R2" s="2"/>
      <c r="S2" s="9"/>
      <c r="T2" s="7" t="s">
        <v>304</v>
      </c>
      <c r="U2" s="7"/>
      <c r="V2" s="2"/>
      <c r="W2" s="2"/>
      <c r="X2" s="2"/>
    </row>
    <row r="3" spans="1:24" x14ac:dyDescent="0.2">
      <c r="A3" s="2">
        <v>2</v>
      </c>
      <c r="B3" s="2" t="s">
        <v>315</v>
      </c>
      <c r="C3" s="2" t="s">
        <v>5</v>
      </c>
      <c r="D3" s="2" t="s">
        <v>2</v>
      </c>
      <c r="E3" s="2" t="str">
        <f t="shared" si="0"/>
        <v>AgO-Ag2O</v>
      </c>
      <c r="F3" s="2">
        <v>-39.65</v>
      </c>
      <c r="G3" s="2">
        <v>-42.67</v>
      </c>
      <c r="H3" s="2">
        <v>-45.8</v>
      </c>
      <c r="I3" s="2" t="s">
        <v>326</v>
      </c>
      <c r="J3" s="2" t="s">
        <v>5</v>
      </c>
      <c r="K3" s="2">
        <v>100</v>
      </c>
      <c r="L3" s="2" t="s">
        <v>404</v>
      </c>
      <c r="M3" s="2"/>
      <c r="N3" s="2"/>
      <c r="O3" s="2"/>
      <c r="P3" s="2"/>
      <c r="Q3" s="2"/>
      <c r="R3" s="2"/>
      <c r="S3" s="9"/>
      <c r="T3" s="7" t="s">
        <v>304</v>
      </c>
      <c r="U3" s="7"/>
      <c r="V3" s="2"/>
      <c r="W3" s="2"/>
      <c r="X3" s="2"/>
    </row>
    <row r="4" spans="1:24" x14ac:dyDescent="0.2">
      <c r="A4" s="2">
        <v>3</v>
      </c>
      <c r="B4" s="2" t="s">
        <v>316</v>
      </c>
      <c r="C4" s="2" t="s">
        <v>4</v>
      </c>
      <c r="D4" s="2" t="s">
        <v>5</v>
      </c>
      <c r="E4" s="2" t="str">
        <f t="shared" si="0"/>
        <v>Ag3O4-AgO</v>
      </c>
      <c r="F4" s="2">
        <v>-55.11</v>
      </c>
      <c r="G4" s="2">
        <v>-58.13</v>
      </c>
      <c r="H4" s="2">
        <v>-61.26</v>
      </c>
      <c r="I4" s="2" t="s">
        <v>326</v>
      </c>
      <c r="J4" s="2" t="s">
        <v>4</v>
      </c>
      <c r="K4" s="2">
        <v>100</v>
      </c>
      <c r="L4" s="2" t="s">
        <v>635</v>
      </c>
      <c r="M4" s="2"/>
      <c r="N4" s="2"/>
      <c r="O4" s="2"/>
      <c r="P4" s="2"/>
      <c r="Q4" s="2"/>
      <c r="R4" s="2"/>
      <c r="S4" s="9"/>
      <c r="T4" s="7" t="s">
        <v>304</v>
      </c>
      <c r="U4" s="7"/>
      <c r="V4" s="2"/>
      <c r="W4" s="2"/>
      <c r="X4" s="2"/>
    </row>
    <row r="5" spans="1:24" x14ac:dyDescent="0.2">
      <c r="A5" s="2">
        <v>4</v>
      </c>
      <c r="B5" s="2" t="s">
        <v>317</v>
      </c>
      <c r="C5" s="2" t="s">
        <v>5</v>
      </c>
      <c r="D5" s="2" t="s">
        <v>3</v>
      </c>
      <c r="E5" s="2" t="str">
        <f t="shared" si="0"/>
        <v>AgO-Ag</v>
      </c>
      <c r="F5" s="2">
        <v>-38.020000000000003</v>
      </c>
      <c r="G5" s="2">
        <v>-41.04</v>
      </c>
      <c r="H5" s="2">
        <v>-44.18</v>
      </c>
      <c r="I5" s="2" t="s">
        <v>326</v>
      </c>
      <c r="J5" s="2" t="s">
        <v>2</v>
      </c>
      <c r="K5" s="2">
        <v>200</v>
      </c>
      <c r="L5" s="2" t="s">
        <v>404</v>
      </c>
      <c r="M5" s="2">
        <v>60</v>
      </c>
      <c r="N5" s="2">
        <v>112.5</v>
      </c>
      <c r="O5" s="2">
        <v>191.3</v>
      </c>
      <c r="P5" s="2" t="s">
        <v>304</v>
      </c>
      <c r="Q5" s="2" t="s">
        <v>304</v>
      </c>
      <c r="R5" s="2" t="s">
        <v>423</v>
      </c>
      <c r="S5" s="2" t="s">
        <v>422</v>
      </c>
      <c r="T5" s="7" t="s">
        <v>304</v>
      </c>
      <c r="U5" s="7"/>
      <c r="V5" s="2"/>
      <c r="W5" s="2"/>
      <c r="X5" s="2"/>
    </row>
    <row r="6" spans="1:24" x14ac:dyDescent="0.2">
      <c r="A6" s="2">
        <v>5</v>
      </c>
      <c r="B6" s="2" t="s">
        <v>332</v>
      </c>
      <c r="C6" s="2" t="s">
        <v>4</v>
      </c>
      <c r="D6" s="2" t="s">
        <v>2</v>
      </c>
      <c r="E6" s="2" t="str">
        <f t="shared" si="0"/>
        <v>Ag3O4-Ag2O</v>
      </c>
      <c r="F6" s="2">
        <v>-45.83</v>
      </c>
      <c r="G6" s="2">
        <v>-48.85</v>
      </c>
      <c r="H6" s="2">
        <v>-51.98</v>
      </c>
      <c r="I6" s="2" t="s">
        <v>326</v>
      </c>
      <c r="J6" s="2" t="s">
        <v>6</v>
      </c>
      <c r="K6" s="2">
        <v>2053</v>
      </c>
      <c r="L6" s="2" t="s">
        <v>361</v>
      </c>
      <c r="M6" s="2"/>
      <c r="N6" s="2"/>
      <c r="O6" s="2"/>
      <c r="P6" s="2"/>
      <c r="Q6" s="2"/>
      <c r="R6" s="2"/>
      <c r="S6" s="9"/>
      <c r="T6" s="7">
        <v>4.2680875</v>
      </c>
      <c r="U6" s="7"/>
      <c r="V6" s="2">
        <v>100</v>
      </c>
      <c r="W6" s="2"/>
      <c r="X6" s="2">
        <v>6.57</v>
      </c>
    </row>
    <row r="7" spans="1:24" x14ac:dyDescent="0.2">
      <c r="A7" s="2">
        <v>6</v>
      </c>
      <c r="B7" s="2" t="s">
        <v>324</v>
      </c>
      <c r="C7" s="2" t="s">
        <v>2</v>
      </c>
      <c r="D7" s="2" t="s">
        <v>3</v>
      </c>
      <c r="E7" s="2" t="str">
        <f t="shared" si="0"/>
        <v>Ag2O-Ag</v>
      </c>
      <c r="F7" s="2">
        <v>-36.4</v>
      </c>
      <c r="G7" s="2">
        <v>-39.42</v>
      </c>
      <c r="H7" s="2">
        <v>-42.55</v>
      </c>
      <c r="I7" s="2" t="s">
        <v>326</v>
      </c>
      <c r="J7" s="2" t="s">
        <v>10</v>
      </c>
      <c r="K7" s="2">
        <v>315</v>
      </c>
      <c r="L7" s="9" t="s">
        <v>369</v>
      </c>
      <c r="M7" s="2"/>
      <c r="N7" s="2"/>
      <c r="O7" s="2"/>
      <c r="P7" s="2"/>
      <c r="Q7" s="2"/>
      <c r="R7" s="2"/>
      <c r="S7" s="9"/>
      <c r="T7" s="7" t="s">
        <v>304</v>
      </c>
      <c r="U7" s="7"/>
      <c r="V7" s="2"/>
      <c r="W7" s="2"/>
      <c r="X7" s="2"/>
    </row>
    <row r="8" spans="1:24" x14ac:dyDescent="0.2">
      <c r="A8" s="2">
        <v>7</v>
      </c>
      <c r="B8" s="2" t="s">
        <v>353</v>
      </c>
      <c r="C8" s="2" t="s">
        <v>4</v>
      </c>
      <c r="D8" s="2" t="s">
        <v>3</v>
      </c>
      <c r="E8" s="2" t="str">
        <f t="shared" si="0"/>
        <v>Ag3O4-Ag</v>
      </c>
      <c r="F8" s="2">
        <v>-42.3</v>
      </c>
      <c r="G8" s="2">
        <v>-45.32</v>
      </c>
      <c r="H8" s="2">
        <v>-48.45</v>
      </c>
      <c r="I8" s="2" t="s">
        <v>326</v>
      </c>
      <c r="J8" s="19" t="s">
        <v>8</v>
      </c>
      <c r="K8" s="20">
        <v>312</v>
      </c>
      <c r="L8" s="2" t="s">
        <v>369</v>
      </c>
      <c r="M8" s="2"/>
      <c r="N8" s="2"/>
      <c r="O8" s="2"/>
      <c r="P8" s="2"/>
      <c r="Q8" s="2"/>
      <c r="R8" s="2"/>
      <c r="S8" s="9"/>
      <c r="T8" s="7" t="s">
        <v>304</v>
      </c>
      <c r="U8" s="7"/>
      <c r="V8" s="13" t="s">
        <v>337</v>
      </c>
      <c r="W8" s="13"/>
      <c r="X8" s="2">
        <v>1.1299999999999999</v>
      </c>
    </row>
    <row r="9" spans="1:24" x14ac:dyDescent="0.2">
      <c r="A9" s="2">
        <v>8</v>
      </c>
      <c r="B9" s="2" t="s">
        <v>351</v>
      </c>
      <c r="C9" s="2" t="s">
        <v>6</v>
      </c>
      <c r="D9" s="2" t="s">
        <v>7</v>
      </c>
      <c r="E9" s="2" t="str">
        <f t="shared" si="0"/>
        <v>Al2O3-Al</v>
      </c>
      <c r="F9" s="2">
        <v>73.09</v>
      </c>
      <c r="G9" s="2">
        <v>70.069999999999993</v>
      </c>
      <c r="H9" s="2">
        <v>66.94</v>
      </c>
      <c r="I9" s="2" t="s">
        <v>326</v>
      </c>
      <c r="J9" s="2" t="s">
        <v>11</v>
      </c>
      <c r="K9" s="2">
        <v>150</v>
      </c>
      <c r="L9" s="2" t="s">
        <v>380</v>
      </c>
      <c r="M9" s="2"/>
      <c r="N9" s="2"/>
      <c r="O9" s="2"/>
      <c r="P9" s="2"/>
      <c r="Q9" s="2"/>
      <c r="R9" s="2"/>
      <c r="S9" s="9"/>
      <c r="T9" s="7" t="s">
        <v>304</v>
      </c>
      <c r="U9" s="7"/>
      <c r="V9" s="2"/>
      <c r="W9" s="2"/>
      <c r="X9" s="2"/>
    </row>
    <row r="10" spans="1:24" x14ac:dyDescent="0.2">
      <c r="A10" s="2">
        <v>9</v>
      </c>
      <c r="B10" s="2" t="s">
        <v>352</v>
      </c>
      <c r="C10" s="2" t="s">
        <v>10</v>
      </c>
      <c r="D10" s="2" t="s">
        <v>8</v>
      </c>
      <c r="E10" s="2" t="str">
        <f t="shared" si="0"/>
        <v>As2O5-As2O3</v>
      </c>
      <c r="F10" s="2">
        <v>-26.59</v>
      </c>
      <c r="G10" s="2">
        <v>-29.61</v>
      </c>
      <c r="H10" s="2">
        <v>-32.74</v>
      </c>
      <c r="I10" s="2" t="s">
        <v>326</v>
      </c>
      <c r="J10" s="2" t="s">
        <v>13</v>
      </c>
      <c r="K10" s="2">
        <v>450</v>
      </c>
      <c r="L10" s="2" t="s">
        <v>362</v>
      </c>
      <c r="M10" s="2"/>
      <c r="N10" s="2"/>
      <c r="O10" s="2"/>
      <c r="P10" s="2"/>
      <c r="Q10" s="2"/>
      <c r="R10" s="2"/>
      <c r="S10" s="9"/>
      <c r="T10" s="7" t="s">
        <v>304</v>
      </c>
      <c r="U10" s="7"/>
      <c r="V10" s="2"/>
      <c r="W10" s="2"/>
      <c r="X10" s="2"/>
    </row>
    <row r="11" spans="1:24" x14ac:dyDescent="0.2">
      <c r="A11" s="2">
        <v>10</v>
      </c>
      <c r="B11" s="2" t="s">
        <v>348</v>
      </c>
      <c r="C11" s="2" t="s">
        <v>10</v>
      </c>
      <c r="D11" s="2" t="s">
        <v>9</v>
      </c>
      <c r="E11" s="2" t="str">
        <f t="shared" si="0"/>
        <v>As2O5-As</v>
      </c>
      <c r="F11" s="2">
        <v>-8.31</v>
      </c>
      <c r="G11" s="2">
        <v>-11.33</v>
      </c>
      <c r="H11" s="2">
        <v>-14.46</v>
      </c>
      <c r="I11" s="2" t="s">
        <v>326</v>
      </c>
      <c r="J11" s="2" t="s">
        <v>14</v>
      </c>
      <c r="K11" s="2">
        <v>2000</v>
      </c>
      <c r="L11" s="2" t="s">
        <v>356</v>
      </c>
      <c r="M11" s="2"/>
      <c r="N11" s="2"/>
      <c r="O11" s="2"/>
      <c r="P11" s="2"/>
      <c r="Q11" s="2"/>
      <c r="R11" s="2"/>
      <c r="S11" s="9"/>
      <c r="T11" s="7" t="s">
        <v>304</v>
      </c>
      <c r="U11" s="7"/>
      <c r="V11" s="2"/>
      <c r="W11" s="2"/>
      <c r="X11" s="2"/>
    </row>
    <row r="12" spans="1:24" x14ac:dyDescent="0.2">
      <c r="A12" s="2">
        <v>11</v>
      </c>
      <c r="B12" s="2" t="s">
        <v>325</v>
      </c>
      <c r="C12" s="2" t="s">
        <v>8</v>
      </c>
      <c r="D12" s="2" t="s">
        <v>9</v>
      </c>
      <c r="E12" s="2" t="str">
        <f t="shared" si="0"/>
        <v>As2O3-As</v>
      </c>
      <c r="F12" s="2">
        <v>3.87</v>
      </c>
      <c r="G12" s="2">
        <v>0.85</v>
      </c>
      <c r="H12" s="2">
        <v>-2.2799999999999998</v>
      </c>
      <c r="I12" s="2" t="s">
        <v>327</v>
      </c>
      <c r="J12" s="19" t="s">
        <v>18</v>
      </c>
      <c r="K12" s="20">
        <v>450</v>
      </c>
      <c r="L12" s="9" t="s">
        <v>370</v>
      </c>
      <c r="M12" s="2"/>
      <c r="N12" s="2"/>
      <c r="O12" s="2"/>
      <c r="P12" s="2"/>
      <c r="Q12" s="2"/>
      <c r="R12" s="2"/>
      <c r="S12" s="9"/>
      <c r="T12" s="7" t="s">
        <v>304</v>
      </c>
      <c r="U12" s="7"/>
      <c r="V12" s="2"/>
      <c r="W12" s="2"/>
      <c r="X12" s="2"/>
    </row>
    <row r="13" spans="1:24" x14ac:dyDescent="0.2">
      <c r="B13" s="2" t="s">
        <v>338</v>
      </c>
      <c r="C13" s="2" t="s">
        <v>11</v>
      </c>
      <c r="D13" s="2" t="s">
        <v>12</v>
      </c>
      <c r="E13" s="2" t="str">
        <f t="shared" si="0"/>
        <v>Au2O3-Au</v>
      </c>
      <c r="F13" s="2">
        <v>-41.27</v>
      </c>
      <c r="G13" s="2">
        <v>-44.29</v>
      </c>
      <c r="H13" s="2">
        <v>-47.42</v>
      </c>
      <c r="I13" s="2" t="s">
        <v>326</v>
      </c>
      <c r="J13" s="2" t="s">
        <v>16</v>
      </c>
      <c r="K13" s="2">
        <v>1972</v>
      </c>
      <c r="L13" s="9" t="s">
        <v>362</v>
      </c>
      <c r="M13" s="2"/>
      <c r="N13" s="2"/>
      <c r="O13" s="2"/>
      <c r="P13" s="2"/>
      <c r="Q13" s="2"/>
      <c r="R13" s="2"/>
      <c r="S13" s="9"/>
      <c r="T13" s="7" t="s">
        <v>304</v>
      </c>
      <c r="U13" s="7"/>
      <c r="V13" s="2">
        <v>100</v>
      </c>
      <c r="W13" s="2"/>
      <c r="X13" s="2">
        <v>5.09</v>
      </c>
    </row>
    <row r="14" spans="1:24" x14ac:dyDescent="0.2">
      <c r="B14" s="2"/>
      <c r="C14" s="2" t="s">
        <v>13</v>
      </c>
      <c r="D14" s="2" t="s">
        <v>14</v>
      </c>
      <c r="E14" s="2" t="str">
        <f t="shared" si="0"/>
        <v>B2O3-B6O</v>
      </c>
      <c r="F14" s="2">
        <v>46.11</v>
      </c>
      <c r="G14" s="2">
        <v>43.09</v>
      </c>
      <c r="H14" s="2">
        <v>39.96</v>
      </c>
      <c r="I14" s="2" t="s">
        <v>326</v>
      </c>
      <c r="J14" s="2" t="s">
        <v>19</v>
      </c>
      <c r="K14" s="2">
        <v>2577</v>
      </c>
      <c r="L14" s="9" t="s">
        <v>362</v>
      </c>
      <c r="M14" s="2"/>
      <c r="N14" s="2"/>
      <c r="O14" s="2"/>
      <c r="P14" s="2"/>
      <c r="Q14" s="2"/>
      <c r="R14" s="2"/>
      <c r="S14" s="9"/>
      <c r="T14" s="7" t="s">
        <v>304</v>
      </c>
      <c r="U14" s="7"/>
      <c r="V14" s="2">
        <v>100</v>
      </c>
      <c r="W14" s="2"/>
      <c r="X14" s="2">
        <v>7.18</v>
      </c>
    </row>
    <row r="15" spans="1:24" x14ac:dyDescent="0.2">
      <c r="B15" s="2"/>
      <c r="C15" s="2" t="s">
        <v>13</v>
      </c>
      <c r="D15" s="2" t="s">
        <v>15</v>
      </c>
      <c r="E15" s="2" t="str">
        <f t="shared" si="0"/>
        <v>B2O3-B</v>
      </c>
      <c r="F15" s="2">
        <v>48.92</v>
      </c>
      <c r="G15" s="2">
        <v>45.9</v>
      </c>
      <c r="H15" s="2">
        <v>42.77</v>
      </c>
      <c r="I15" s="2" t="s">
        <v>326</v>
      </c>
      <c r="J15" s="16" t="s">
        <v>23</v>
      </c>
      <c r="K15" s="2"/>
      <c r="L15" s="2"/>
      <c r="M15" s="2"/>
      <c r="N15" s="2"/>
      <c r="O15" s="2"/>
      <c r="P15" s="2"/>
      <c r="Q15" s="2"/>
      <c r="R15" s="2"/>
      <c r="S15" s="9"/>
      <c r="T15" s="7" t="s">
        <v>304</v>
      </c>
      <c r="U15" s="7"/>
      <c r="V15" s="2"/>
      <c r="W15" s="2"/>
      <c r="X15" s="2"/>
    </row>
    <row r="16" spans="1:24" x14ac:dyDescent="0.2">
      <c r="A16" s="2" t="s">
        <v>334</v>
      </c>
      <c r="B16" s="2"/>
      <c r="C16" s="2" t="s">
        <v>14</v>
      </c>
      <c r="D16" s="2" t="s">
        <v>15</v>
      </c>
      <c r="E16" s="2" t="str">
        <f t="shared" si="0"/>
        <v>B6O-B</v>
      </c>
      <c r="F16" s="2">
        <v>71.400000000000006</v>
      </c>
      <c r="G16" s="2">
        <v>68.38</v>
      </c>
      <c r="H16" s="2">
        <v>65.25</v>
      </c>
      <c r="I16" s="2" t="s">
        <v>326</v>
      </c>
      <c r="J16" s="2" t="s">
        <v>24</v>
      </c>
      <c r="K16" s="2">
        <v>305</v>
      </c>
      <c r="L16" s="2" t="s">
        <v>371</v>
      </c>
      <c r="M16" s="2"/>
      <c r="N16" s="2"/>
      <c r="O16" s="2"/>
      <c r="P16" s="2"/>
      <c r="Q16" s="2"/>
      <c r="R16" s="2"/>
      <c r="S16" s="9"/>
      <c r="T16" s="7" t="s">
        <v>304</v>
      </c>
      <c r="U16" s="7"/>
      <c r="V16" s="2"/>
      <c r="W16" s="2"/>
      <c r="X16" s="2"/>
    </row>
    <row r="17" spans="2:24" x14ac:dyDescent="0.2">
      <c r="B17" s="2" t="str">
        <f>"bv"&amp;"e"</f>
        <v>bve</v>
      </c>
      <c r="C17" s="2" t="s">
        <v>18</v>
      </c>
      <c r="D17" s="2" t="s">
        <v>16</v>
      </c>
      <c r="E17" s="2" t="str">
        <f t="shared" si="0"/>
        <v>BaO2-BaO</v>
      </c>
      <c r="F17" s="2">
        <v>-39.909999999999997</v>
      </c>
      <c r="G17" s="2">
        <v>-42.93</v>
      </c>
      <c r="H17" s="2">
        <v>-46.06</v>
      </c>
      <c r="I17" s="2" t="s">
        <v>326</v>
      </c>
      <c r="J17" s="15" t="s">
        <v>21</v>
      </c>
      <c r="K17" s="2">
        <v>817</v>
      </c>
      <c r="L17" s="2" t="s">
        <v>371</v>
      </c>
      <c r="M17" s="2">
        <v>277</v>
      </c>
      <c r="N17" s="2">
        <v>477</v>
      </c>
      <c r="O17" s="2" t="s">
        <v>304</v>
      </c>
      <c r="P17" s="2" t="s">
        <v>304</v>
      </c>
      <c r="Q17" s="2" t="s">
        <v>441</v>
      </c>
      <c r="R17" s="2"/>
      <c r="S17" s="10" t="s">
        <v>442</v>
      </c>
      <c r="T17" s="7" t="s">
        <v>304</v>
      </c>
      <c r="U17" s="7"/>
      <c r="V17" s="13" t="s">
        <v>337</v>
      </c>
      <c r="W17" s="13"/>
      <c r="X17" s="2">
        <v>3.12</v>
      </c>
    </row>
    <row r="18" spans="2:24" x14ac:dyDescent="0.2">
      <c r="B18" s="2" t="s">
        <v>333</v>
      </c>
      <c r="C18" s="2" t="s">
        <v>18</v>
      </c>
      <c r="D18" s="2" t="s">
        <v>17</v>
      </c>
      <c r="E18" s="2" t="str">
        <f t="shared" si="0"/>
        <v>BaO2-Ba</v>
      </c>
      <c r="F18" s="2">
        <v>15.81</v>
      </c>
      <c r="G18" s="2">
        <v>12.79</v>
      </c>
      <c r="H18" s="2">
        <v>9.66</v>
      </c>
      <c r="I18" s="2" t="s">
        <v>327</v>
      </c>
      <c r="J18" s="2" t="s">
        <v>25</v>
      </c>
      <c r="K18" s="2">
        <v>2898</v>
      </c>
      <c r="L18" s="2" t="s">
        <v>362</v>
      </c>
      <c r="M18" s="2"/>
      <c r="N18" s="2"/>
      <c r="O18" s="2"/>
      <c r="P18" s="2"/>
      <c r="Q18" s="2"/>
      <c r="R18" s="2"/>
      <c r="S18" s="9"/>
      <c r="T18" s="7">
        <v>3.9680874999999989</v>
      </c>
      <c r="U18" s="7"/>
      <c r="V18" s="2">
        <v>100</v>
      </c>
      <c r="W18" s="2"/>
      <c r="X18" s="2">
        <v>6.17</v>
      </c>
    </row>
    <row r="19" spans="2:24" ht="25.5" x14ac:dyDescent="0.2">
      <c r="B19" s="140" t="s">
        <v>335</v>
      </c>
      <c r="C19" s="2" t="s">
        <v>16</v>
      </c>
      <c r="D19" s="2" t="s">
        <v>17</v>
      </c>
      <c r="E19" s="2" t="str">
        <f t="shared" si="0"/>
        <v>BaO-Ba</v>
      </c>
      <c r="F19" s="2">
        <v>71.53</v>
      </c>
      <c r="G19" s="2">
        <v>68.510000000000005</v>
      </c>
      <c r="H19" s="2">
        <v>65.38</v>
      </c>
      <c r="I19" s="2" t="s">
        <v>326</v>
      </c>
      <c r="J19" s="15" t="s">
        <v>27</v>
      </c>
      <c r="K19" s="2">
        <v>1430</v>
      </c>
      <c r="L19" s="9" t="s">
        <v>357</v>
      </c>
      <c r="M19" s="2">
        <v>95</v>
      </c>
      <c r="N19" s="2" t="s">
        <v>304</v>
      </c>
      <c r="O19" s="2" t="s">
        <v>304</v>
      </c>
      <c r="P19" s="2" t="s">
        <v>304</v>
      </c>
      <c r="Q19" s="2" t="s">
        <v>343</v>
      </c>
      <c r="R19" s="2" t="s">
        <v>304</v>
      </c>
      <c r="S19" s="9" t="s">
        <v>342</v>
      </c>
      <c r="T19" s="7">
        <v>0.76808749999999826</v>
      </c>
      <c r="U19" s="7"/>
      <c r="V19" s="2">
        <v>100</v>
      </c>
      <c r="W19" s="2"/>
      <c r="X19" s="2">
        <v>2.76</v>
      </c>
    </row>
    <row r="20" spans="2:24" x14ac:dyDescent="0.2">
      <c r="B20" s="140"/>
      <c r="C20" s="2" t="s">
        <v>19</v>
      </c>
      <c r="D20" s="2" t="s">
        <v>20</v>
      </c>
      <c r="E20" s="2" t="str">
        <f t="shared" si="0"/>
        <v>BeO-Be</v>
      </c>
      <c r="F20" s="2">
        <v>84.47</v>
      </c>
      <c r="G20" s="2">
        <v>81.45</v>
      </c>
      <c r="H20" s="2">
        <v>78.319999999999993</v>
      </c>
      <c r="I20" s="2" t="s">
        <v>326</v>
      </c>
      <c r="J20" s="2" t="s">
        <v>35</v>
      </c>
      <c r="K20" s="2"/>
      <c r="L20" s="2"/>
      <c r="M20" s="2"/>
      <c r="N20" s="2"/>
      <c r="O20" s="2"/>
      <c r="P20" s="2"/>
      <c r="Q20" s="2"/>
      <c r="R20" s="2"/>
      <c r="S20" s="9"/>
      <c r="T20" s="7" t="s">
        <v>304</v>
      </c>
      <c r="U20" s="7"/>
      <c r="V20" s="2"/>
      <c r="W20" s="2"/>
      <c r="X20" s="2"/>
    </row>
    <row r="21" spans="2:24" x14ac:dyDescent="0.2">
      <c r="B21" s="140"/>
      <c r="C21" s="2" t="s">
        <v>23</v>
      </c>
      <c r="D21" s="2" t="s">
        <v>21</v>
      </c>
      <c r="E21" s="2" t="str">
        <f t="shared" si="0"/>
        <v>Bi4O7-Bi2O3</v>
      </c>
      <c r="F21" s="2">
        <v>-39.07</v>
      </c>
      <c r="G21" s="2">
        <v>-42.09</v>
      </c>
      <c r="H21" s="2">
        <v>-45.22</v>
      </c>
      <c r="I21" s="2" t="s">
        <v>326</v>
      </c>
      <c r="J21" s="2" t="s">
        <v>36</v>
      </c>
      <c r="K21" s="2">
        <v>2400</v>
      </c>
      <c r="L21" s="2" t="s">
        <v>372</v>
      </c>
      <c r="M21" s="2">
        <v>327</v>
      </c>
      <c r="N21" s="2">
        <v>527</v>
      </c>
      <c r="O21" s="2">
        <v>827</v>
      </c>
      <c r="P21" s="2" t="s">
        <v>304</v>
      </c>
      <c r="Q21" s="2" t="s">
        <v>443</v>
      </c>
      <c r="R21" s="2" t="s">
        <v>423</v>
      </c>
      <c r="S21" s="10" t="s">
        <v>444</v>
      </c>
      <c r="T21" s="7" t="s">
        <v>304</v>
      </c>
      <c r="U21" s="7"/>
      <c r="V21" s="2">
        <v>111</v>
      </c>
      <c r="W21" s="2"/>
      <c r="X21" s="2">
        <v>2.87</v>
      </c>
    </row>
    <row r="22" spans="2:24" x14ac:dyDescent="0.2">
      <c r="B22" s="2"/>
      <c r="C22" s="2" t="s">
        <v>24</v>
      </c>
      <c r="D22" s="2" t="s">
        <v>21</v>
      </c>
      <c r="E22" s="2" t="str">
        <f t="shared" si="0"/>
        <v>BiO2-Bi2O3</v>
      </c>
      <c r="F22" s="2">
        <v>-45.98</v>
      </c>
      <c r="G22" s="2">
        <v>-49</v>
      </c>
      <c r="H22" s="2">
        <v>-52.13</v>
      </c>
      <c r="I22" s="2" t="s">
        <v>326</v>
      </c>
      <c r="J22" s="2" t="s">
        <v>29</v>
      </c>
      <c r="K22" s="2"/>
      <c r="L22" s="2"/>
      <c r="M22" s="2"/>
      <c r="N22" s="2"/>
      <c r="O22" s="2"/>
      <c r="P22" s="2"/>
      <c r="Q22" s="2"/>
      <c r="R22" s="2"/>
      <c r="S22" s="9"/>
      <c r="T22" s="7" t="s">
        <v>304</v>
      </c>
      <c r="U22" s="7"/>
      <c r="V22" s="2"/>
      <c r="W22" s="2"/>
      <c r="X22" s="2"/>
    </row>
    <row r="23" spans="2:24" x14ac:dyDescent="0.2">
      <c r="B23" s="2" t="s">
        <v>320</v>
      </c>
      <c r="C23" s="2" t="s">
        <v>21</v>
      </c>
      <c r="D23" s="2" t="s">
        <v>22</v>
      </c>
      <c r="E23" s="2" t="str">
        <f t="shared" si="0"/>
        <v>Bi2O3-Bi</v>
      </c>
      <c r="F23" s="2">
        <v>4.3600000000000003</v>
      </c>
      <c r="G23" s="2">
        <v>1.34</v>
      </c>
      <c r="H23" s="2">
        <v>-1.79</v>
      </c>
      <c r="I23" s="2" t="s">
        <v>327</v>
      </c>
      <c r="J23" s="2" t="s">
        <v>30</v>
      </c>
      <c r="K23" s="2"/>
      <c r="L23" s="2"/>
      <c r="M23" s="2"/>
      <c r="N23" s="2"/>
      <c r="O23" s="2"/>
      <c r="P23" s="2"/>
      <c r="Q23" s="2"/>
      <c r="R23" s="2"/>
      <c r="S23" s="9"/>
      <c r="T23" s="7" t="s">
        <v>304</v>
      </c>
      <c r="U23" s="7"/>
      <c r="V23" s="2"/>
      <c r="W23" s="2"/>
      <c r="X23" s="2"/>
    </row>
    <row r="24" spans="2:24" x14ac:dyDescent="0.2">
      <c r="B24" s="2" t="s">
        <v>336</v>
      </c>
      <c r="C24" s="2" t="s">
        <v>24</v>
      </c>
      <c r="D24" s="2" t="s">
        <v>23</v>
      </c>
      <c r="E24" s="2" t="str">
        <f t="shared" si="0"/>
        <v>BiO2-Bi4O7</v>
      </c>
      <c r="F24" s="2">
        <v>-52.88</v>
      </c>
      <c r="G24" s="2">
        <v>-55.9</v>
      </c>
      <c r="H24" s="2">
        <v>-59.03</v>
      </c>
      <c r="I24" s="2" t="s">
        <v>326</v>
      </c>
      <c r="J24" s="2" t="s">
        <v>31</v>
      </c>
      <c r="K24" s="2">
        <v>2210</v>
      </c>
      <c r="L24" s="2" t="s">
        <v>372</v>
      </c>
      <c r="M24" s="2"/>
      <c r="N24" s="2"/>
      <c r="O24" s="2"/>
      <c r="P24" s="2"/>
      <c r="Q24" s="2"/>
      <c r="R24" s="2"/>
      <c r="S24" s="9"/>
      <c r="T24" s="7" t="s">
        <v>304</v>
      </c>
      <c r="U24" s="7"/>
      <c r="V24" s="2"/>
      <c r="W24" s="2"/>
      <c r="X24" s="2"/>
    </row>
    <row r="25" spans="2:24" x14ac:dyDescent="0.2">
      <c r="B25" s="2"/>
      <c r="C25" s="2" t="s">
        <v>23</v>
      </c>
      <c r="D25" s="2" t="s">
        <v>22</v>
      </c>
      <c r="E25" s="2" t="str">
        <f t="shared" si="0"/>
        <v>Bi4O7-Bi</v>
      </c>
      <c r="F25" s="2">
        <v>-1.85</v>
      </c>
      <c r="G25" s="2">
        <v>-4.87</v>
      </c>
      <c r="H25" s="2">
        <v>-8</v>
      </c>
      <c r="I25" s="2" t="s">
        <v>327</v>
      </c>
      <c r="J25" s="2" t="s">
        <v>33</v>
      </c>
      <c r="K25" s="2"/>
      <c r="L25" s="2"/>
      <c r="M25" s="2"/>
      <c r="N25" s="2"/>
      <c r="O25" s="2"/>
      <c r="P25" s="2"/>
      <c r="Q25" s="2"/>
      <c r="R25" s="2"/>
      <c r="S25" s="9"/>
      <c r="T25" s="7" t="s">
        <v>304</v>
      </c>
      <c r="U25" s="7"/>
      <c r="V25" s="2"/>
      <c r="W25" s="2"/>
      <c r="X25" s="2"/>
    </row>
    <row r="26" spans="2:24" x14ac:dyDescent="0.2">
      <c r="B26" s="2"/>
      <c r="C26" s="2" t="s">
        <v>24</v>
      </c>
      <c r="D26" s="2" t="s">
        <v>22</v>
      </c>
      <c r="E26" s="2" t="str">
        <f t="shared" si="0"/>
        <v>BiO2-Bi</v>
      </c>
      <c r="F26" s="2">
        <v>-8.23</v>
      </c>
      <c r="G26" s="2">
        <v>-11.25</v>
      </c>
      <c r="H26" s="2">
        <v>-14.38</v>
      </c>
      <c r="I26" s="2" t="s">
        <v>326</v>
      </c>
      <c r="J26" s="2" t="s">
        <v>32</v>
      </c>
      <c r="K26" s="2"/>
      <c r="L26" s="2"/>
      <c r="M26" s="2"/>
      <c r="N26" s="2"/>
      <c r="O26" s="2"/>
      <c r="P26" s="2"/>
      <c r="Q26" s="2"/>
      <c r="R26" s="2"/>
      <c r="S26" s="9"/>
      <c r="T26" s="7" t="s">
        <v>304</v>
      </c>
      <c r="U26" s="7"/>
      <c r="V26" s="2"/>
      <c r="W26" s="2"/>
      <c r="X26" s="2"/>
    </row>
    <row r="27" spans="2:24" x14ac:dyDescent="0.2">
      <c r="B27" s="2"/>
      <c r="C27" s="2" t="s">
        <v>25</v>
      </c>
      <c r="D27" s="2" t="s">
        <v>26</v>
      </c>
      <c r="E27" s="2" t="str">
        <f t="shared" si="0"/>
        <v>CaO-Ca</v>
      </c>
      <c r="F27" s="2">
        <v>93.97</v>
      </c>
      <c r="G27" s="2">
        <v>90.95</v>
      </c>
      <c r="H27" s="2">
        <v>87.81</v>
      </c>
      <c r="I27" s="2" t="s">
        <v>326</v>
      </c>
      <c r="J27" s="2" t="s">
        <v>40</v>
      </c>
      <c r="K27" s="2"/>
      <c r="L27" s="2"/>
      <c r="M27" s="2"/>
      <c r="N27" s="2"/>
      <c r="O27" s="2"/>
      <c r="P27" s="2"/>
      <c r="Q27" s="2"/>
      <c r="R27" s="2"/>
      <c r="S27" s="9"/>
      <c r="T27" s="7" t="s">
        <v>304</v>
      </c>
      <c r="U27" s="7"/>
      <c r="V27" s="2"/>
      <c r="W27" s="2"/>
      <c r="X27" s="2"/>
    </row>
    <row r="28" spans="2:24" x14ac:dyDescent="0.2">
      <c r="B28" s="2"/>
      <c r="C28" s="2" t="s">
        <v>27</v>
      </c>
      <c r="D28" s="2" t="s">
        <v>28</v>
      </c>
      <c r="E28" s="2" t="str">
        <f t="shared" si="0"/>
        <v>CdO-Cd</v>
      </c>
      <c r="F28" s="2">
        <v>4.5599999999999996</v>
      </c>
      <c r="G28" s="2">
        <v>1.54</v>
      </c>
      <c r="H28" s="2">
        <v>-1.59</v>
      </c>
      <c r="I28" s="2" t="s">
        <v>327</v>
      </c>
      <c r="J28" s="15" t="s">
        <v>37</v>
      </c>
      <c r="K28" s="2">
        <v>900</v>
      </c>
      <c r="L28" s="2" t="s">
        <v>375</v>
      </c>
      <c r="M28" s="2"/>
      <c r="N28" s="2"/>
      <c r="O28" s="2"/>
      <c r="P28" s="2"/>
      <c r="Q28" s="2"/>
      <c r="R28" s="2"/>
      <c r="S28" s="9"/>
      <c r="T28" s="7" t="s">
        <v>304</v>
      </c>
      <c r="U28" s="7"/>
      <c r="V28" s="2"/>
      <c r="W28" s="2"/>
      <c r="X28" s="2"/>
    </row>
    <row r="29" spans="2:24" x14ac:dyDescent="0.2">
      <c r="B29" s="2"/>
      <c r="C29" s="2" t="s">
        <v>35</v>
      </c>
      <c r="D29" s="2" t="s">
        <v>30</v>
      </c>
      <c r="E29" s="2" t="str">
        <f t="shared" si="0"/>
        <v>Ce17O32-Ce5O9</v>
      </c>
      <c r="F29" s="2">
        <v>32.97</v>
      </c>
      <c r="G29" s="2">
        <v>29.95</v>
      </c>
      <c r="H29" s="2">
        <v>26.82</v>
      </c>
      <c r="I29" s="2" t="s">
        <v>326</v>
      </c>
      <c r="J29" s="15" t="s">
        <v>38</v>
      </c>
      <c r="K29" s="2">
        <v>1830</v>
      </c>
      <c r="L29" s="2" t="s">
        <v>374</v>
      </c>
      <c r="M29" s="2">
        <v>364</v>
      </c>
      <c r="N29" s="2" t="s">
        <v>304</v>
      </c>
      <c r="O29" s="2" t="s">
        <v>304</v>
      </c>
      <c r="P29" s="2" t="s">
        <v>304</v>
      </c>
      <c r="Q29" s="2" t="s">
        <v>425</v>
      </c>
      <c r="R29" s="2" t="s">
        <v>424</v>
      </c>
      <c r="S29" s="9" t="s">
        <v>344</v>
      </c>
      <c r="T29" s="7">
        <v>1.268087499999998</v>
      </c>
      <c r="U29" s="7"/>
      <c r="V29" s="2"/>
      <c r="W29" s="2"/>
      <c r="X29" s="2"/>
    </row>
    <row r="30" spans="2:24" x14ac:dyDescent="0.2">
      <c r="B30" s="2"/>
      <c r="C30" s="2" t="s">
        <v>35</v>
      </c>
      <c r="D30" s="2" t="s">
        <v>29</v>
      </c>
      <c r="E30" s="2" t="str">
        <f t="shared" si="0"/>
        <v>Ce17O32-Ce11O20</v>
      </c>
      <c r="F30" s="2">
        <v>29.79</v>
      </c>
      <c r="G30" s="2">
        <v>26.77</v>
      </c>
      <c r="H30" s="2">
        <v>23.64</v>
      </c>
      <c r="I30" s="2" t="s">
        <v>326</v>
      </c>
      <c r="J30" s="19" t="s">
        <v>43</v>
      </c>
      <c r="K30" s="20">
        <v>300</v>
      </c>
      <c r="L30" s="2"/>
      <c r="M30" s="2"/>
      <c r="N30" s="2"/>
      <c r="O30" s="2"/>
      <c r="P30" s="2"/>
      <c r="Q30" s="2"/>
      <c r="R30" s="2"/>
      <c r="S30" s="9"/>
      <c r="T30" s="7" t="s">
        <v>304</v>
      </c>
      <c r="U30" s="7"/>
      <c r="V30" s="2"/>
      <c r="W30" s="2"/>
      <c r="X30" s="2"/>
    </row>
    <row r="31" spans="2:24" ht="25.5" x14ac:dyDescent="0.2">
      <c r="B31" s="2"/>
      <c r="C31" s="2" t="s">
        <v>35</v>
      </c>
      <c r="D31" s="2" t="s">
        <v>31</v>
      </c>
      <c r="E31" s="2" t="str">
        <f t="shared" si="0"/>
        <v>Ce17O32-Ce2O3</v>
      </c>
      <c r="F31" s="2">
        <v>58.69</v>
      </c>
      <c r="G31" s="2">
        <v>55.67</v>
      </c>
      <c r="H31" s="2">
        <v>52.54</v>
      </c>
      <c r="I31" s="2" t="s">
        <v>326</v>
      </c>
      <c r="J31" s="19" t="s">
        <v>44</v>
      </c>
      <c r="K31" s="20">
        <v>400</v>
      </c>
      <c r="L31" s="9" t="s">
        <v>373</v>
      </c>
      <c r="M31" s="2"/>
      <c r="N31" s="2"/>
      <c r="O31" s="2"/>
      <c r="P31" s="2"/>
      <c r="Q31" s="2"/>
      <c r="R31" s="2"/>
      <c r="S31" s="9"/>
      <c r="T31" s="7" t="s">
        <v>304</v>
      </c>
      <c r="U31" s="7"/>
      <c r="V31" s="2"/>
      <c r="W31" s="2"/>
      <c r="X31" s="2"/>
    </row>
    <row r="32" spans="2:24" ht="25.5" x14ac:dyDescent="0.2">
      <c r="B32" s="2"/>
      <c r="C32" s="2" t="s">
        <v>36</v>
      </c>
      <c r="D32" s="2" t="s">
        <v>35</v>
      </c>
      <c r="E32" s="2" t="str">
        <f t="shared" si="0"/>
        <v>CeO2-Ce17O32</v>
      </c>
      <c r="F32" s="2">
        <v>26.83</v>
      </c>
      <c r="G32" s="2">
        <v>23.81</v>
      </c>
      <c r="H32" s="2">
        <v>20.68</v>
      </c>
      <c r="I32" s="2" t="s">
        <v>326</v>
      </c>
      <c r="J32" s="2" t="s">
        <v>41</v>
      </c>
      <c r="K32" s="2">
        <v>2329</v>
      </c>
      <c r="L32" s="2" t="s">
        <v>363</v>
      </c>
      <c r="M32" s="2">
        <v>197</v>
      </c>
      <c r="N32" s="2">
        <v>275</v>
      </c>
      <c r="O32" s="2" t="s">
        <v>304</v>
      </c>
      <c r="P32" s="2" t="s">
        <v>304</v>
      </c>
      <c r="Q32" s="2" t="s">
        <v>445</v>
      </c>
      <c r="R32" s="2" t="s">
        <v>423</v>
      </c>
      <c r="S32" s="10" t="s">
        <v>446</v>
      </c>
      <c r="T32" s="7" t="s">
        <v>304</v>
      </c>
      <c r="U32" s="7"/>
      <c r="V32" s="2"/>
      <c r="W32" s="2"/>
      <c r="X32" s="2"/>
    </row>
    <row r="33" spans="2:24" x14ac:dyDescent="0.2">
      <c r="B33" s="2"/>
      <c r="C33" s="2" t="s">
        <v>35</v>
      </c>
      <c r="D33" s="2" t="s">
        <v>32</v>
      </c>
      <c r="E33" s="2" t="str">
        <f t="shared" si="0"/>
        <v>Ce17O32-CeO</v>
      </c>
      <c r="F33" s="2">
        <v>69.13</v>
      </c>
      <c r="G33" s="2">
        <v>66.11</v>
      </c>
      <c r="H33" s="2">
        <v>62.98</v>
      </c>
      <c r="I33" s="2" t="s">
        <v>326</v>
      </c>
      <c r="J33" s="21" t="s">
        <v>49</v>
      </c>
      <c r="K33" s="22">
        <v>590</v>
      </c>
      <c r="L33" s="9" t="s">
        <v>358</v>
      </c>
      <c r="M33" s="2"/>
      <c r="N33" s="2"/>
      <c r="O33" s="2"/>
      <c r="P33" s="2"/>
      <c r="Q33" s="2"/>
      <c r="R33" s="2"/>
      <c r="S33" s="9"/>
      <c r="T33" s="7" t="s">
        <v>304</v>
      </c>
      <c r="U33" s="7"/>
      <c r="V33" s="2"/>
      <c r="W33" s="2"/>
      <c r="X33" s="2"/>
    </row>
    <row r="34" spans="2:24" x14ac:dyDescent="0.2">
      <c r="B34" s="2"/>
      <c r="C34" s="2" t="s">
        <v>35</v>
      </c>
      <c r="D34" s="2" t="s">
        <v>33</v>
      </c>
      <c r="E34" s="2" t="str">
        <f t="shared" si="0"/>
        <v>Ce17O32-Ce7O12</v>
      </c>
      <c r="F34" s="2">
        <v>41.68</v>
      </c>
      <c r="G34" s="2">
        <v>38.659999999999997</v>
      </c>
      <c r="H34" s="2">
        <v>35.53</v>
      </c>
      <c r="I34" s="2" t="s">
        <v>326</v>
      </c>
      <c r="J34" s="21" t="s">
        <v>47</v>
      </c>
      <c r="K34" s="22">
        <v>490</v>
      </c>
      <c r="L34" s="9" t="s">
        <v>372</v>
      </c>
      <c r="M34" s="2"/>
      <c r="N34" s="2"/>
      <c r="O34" s="2"/>
      <c r="P34" s="2"/>
      <c r="Q34" s="2"/>
      <c r="R34" s="2"/>
      <c r="S34" s="9"/>
      <c r="T34" s="7" t="s">
        <v>304</v>
      </c>
      <c r="U34" s="7"/>
      <c r="V34" s="2"/>
      <c r="W34" s="2"/>
      <c r="X34" s="2"/>
    </row>
    <row r="35" spans="2:24" x14ac:dyDescent="0.2">
      <c r="B35" s="2"/>
      <c r="C35" s="2" t="s">
        <v>35</v>
      </c>
      <c r="D35" s="2" t="s">
        <v>34</v>
      </c>
      <c r="E35" s="2" t="str">
        <f t="shared" si="0"/>
        <v>Ce17O32-Ce</v>
      </c>
      <c r="F35" s="2">
        <v>80.41</v>
      </c>
      <c r="G35" s="2">
        <v>77.39</v>
      </c>
      <c r="H35" s="2">
        <v>74.260000000000005</v>
      </c>
      <c r="I35" s="2" t="s">
        <v>326</v>
      </c>
      <c r="J35" s="2" t="s">
        <v>50</v>
      </c>
      <c r="K35" s="2">
        <v>432</v>
      </c>
      <c r="L35" s="2" t="s">
        <v>372</v>
      </c>
      <c r="M35" s="2"/>
      <c r="N35" s="2"/>
      <c r="O35" s="2"/>
      <c r="P35" s="2"/>
      <c r="Q35" s="2"/>
      <c r="R35" s="2"/>
      <c r="S35" s="9"/>
      <c r="T35" s="7" t="s">
        <v>304</v>
      </c>
      <c r="U35" s="7"/>
      <c r="V35" s="2"/>
      <c r="W35" s="2"/>
      <c r="X35" s="2"/>
    </row>
    <row r="36" spans="2:24" x14ac:dyDescent="0.2">
      <c r="B36" s="2"/>
      <c r="C36" s="2" t="s">
        <v>29</v>
      </c>
      <c r="D36" s="2" t="s">
        <v>30</v>
      </c>
      <c r="E36" s="2" t="str">
        <f t="shared" si="0"/>
        <v>Ce11O20-Ce5O9</v>
      </c>
      <c r="F36" s="2">
        <v>44.18</v>
      </c>
      <c r="G36" s="2">
        <v>41.16</v>
      </c>
      <c r="H36" s="2">
        <v>38.03</v>
      </c>
      <c r="I36" s="2" t="s">
        <v>326</v>
      </c>
      <c r="J36" s="21" t="s">
        <v>48</v>
      </c>
      <c r="K36" s="22">
        <v>164</v>
      </c>
      <c r="L36" s="9" t="s">
        <v>358</v>
      </c>
      <c r="M36" s="2"/>
      <c r="N36" s="2"/>
      <c r="O36" s="2"/>
      <c r="P36" s="2"/>
      <c r="Q36" s="2"/>
      <c r="R36" s="2"/>
      <c r="S36" s="9"/>
      <c r="T36" s="7" t="s">
        <v>304</v>
      </c>
      <c r="U36" s="7"/>
      <c r="V36" s="2"/>
      <c r="W36" s="2"/>
      <c r="X36" s="2"/>
    </row>
    <row r="37" spans="2:24" x14ac:dyDescent="0.2">
      <c r="B37" s="2"/>
      <c r="C37" s="2" t="s">
        <v>30</v>
      </c>
      <c r="D37" s="2" t="s">
        <v>31</v>
      </c>
      <c r="E37" s="2" t="str">
        <f t="shared" si="0"/>
        <v>Ce5O9-Ce2O3</v>
      </c>
      <c r="F37" s="2">
        <v>65.75</v>
      </c>
      <c r="G37" s="2">
        <v>62.73</v>
      </c>
      <c r="H37" s="2">
        <v>59.6</v>
      </c>
      <c r="I37" s="2" t="s">
        <v>326</v>
      </c>
      <c r="J37" s="2" t="s">
        <v>45</v>
      </c>
      <c r="K37" s="2"/>
      <c r="L37" s="2"/>
      <c r="M37" s="2"/>
      <c r="N37" s="2"/>
      <c r="O37" s="2"/>
      <c r="P37" s="2"/>
      <c r="Q37" s="2"/>
      <c r="R37" s="2"/>
      <c r="S37" s="9"/>
      <c r="T37" s="7" t="s">
        <v>304</v>
      </c>
      <c r="U37" s="7"/>
      <c r="V37" s="2"/>
      <c r="W37" s="2"/>
      <c r="X37" s="2"/>
    </row>
    <row r="38" spans="2:24" x14ac:dyDescent="0.2">
      <c r="B38" s="2"/>
      <c r="C38" s="2" t="s">
        <v>36</v>
      </c>
      <c r="D38" s="2" t="s">
        <v>30</v>
      </c>
      <c r="E38" s="2" t="str">
        <f t="shared" si="0"/>
        <v>CeO2-Ce5O9</v>
      </c>
      <c r="F38" s="2">
        <v>29.36</v>
      </c>
      <c r="G38" s="2">
        <v>26.34</v>
      </c>
      <c r="H38" s="2">
        <v>23.21</v>
      </c>
      <c r="I38" s="2" t="s">
        <v>326</v>
      </c>
      <c r="J38" s="2" t="s">
        <v>54</v>
      </c>
      <c r="K38" s="2">
        <v>1446</v>
      </c>
      <c r="L38" s="2" t="s">
        <v>364</v>
      </c>
      <c r="M38" s="2">
        <v>280</v>
      </c>
      <c r="N38" s="2">
        <v>244</v>
      </c>
      <c r="O38" s="2" t="s">
        <v>304</v>
      </c>
      <c r="P38" s="2" t="s">
        <v>304</v>
      </c>
      <c r="Q38" s="2" t="s">
        <v>448</v>
      </c>
      <c r="R38" s="2"/>
      <c r="S38" s="14" t="s">
        <v>449</v>
      </c>
      <c r="T38" s="7" t="s">
        <v>304</v>
      </c>
      <c r="U38" s="7"/>
      <c r="V38" s="2"/>
      <c r="W38" s="2"/>
      <c r="X38" s="2"/>
    </row>
    <row r="39" spans="2:24" x14ac:dyDescent="0.2">
      <c r="B39" s="2"/>
      <c r="C39" s="2" t="s">
        <v>30</v>
      </c>
      <c r="D39" s="2" t="s">
        <v>32</v>
      </c>
      <c r="E39" s="2" t="str">
        <f t="shared" si="0"/>
        <v>Ce5O9-CeO</v>
      </c>
      <c r="F39" s="2">
        <v>72.849999999999994</v>
      </c>
      <c r="G39" s="2">
        <v>69.83</v>
      </c>
      <c r="H39" s="2">
        <v>66.7</v>
      </c>
      <c r="I39" s="2" t="s">
        <v>326</v>
      </c>
      <c r="J39" s="2" t="s">
        <v>53</v>
      </c>
      <c r="K39" s="2"/>
      <c r="L39" s="2"/>
      <c r="M39" s="2"/>
      <c r="N39" s="2"/>
      <c r="O39" s="2"/>
      <c r="P39" s="2"/>
      <c r="Q39" s="2"/>
      <c r="R39" s="2"/>
      <c r="S39" s="9"/>
      <c r="T39" s="7" t="s">
        <v>304</v>
      </c>
      <c r="U39" s="7"/>
      <c r="V39" s="2"/>
      <c r="W39" s="2"/>
      <c r="X39" s="2"/>
    </row>
    <row r="40" spans="2:24" x14ac:dyDescent="0.2">
      <c r="B40" s="2"/>
      <c r="C40" s="2" t="s">
        <v>30</v>
      </c>
      <c r="D40" s="2" t="s">
        <v>33</v>
      </c>
      <c r="E40" s="2" t="str">
        <f t="shared" si="0"/>
        <v>Ce5O9-Ce7O12</v>
      </c>
      <c r="F40" s="2">
        <v>50.04</v>
      </c>
      <c r="G40" s="2">
        <v>47.02</v>
      </c>
      <c r="H40" s="2">
        <v>43.89</v>
      </c>
      <c r="I40" s="2" t="s">
        <v>326</v>
      </c>
      <c r="J40" s="2" t="s">
        <v>51</v>
      </c>
      <c r="K40" s="2">
        <v>1235</v>
      </c>
      <c r="L40" s="9" t="s">
        <v>376</v>
      </c>
      <c r="M40" s="2">
        <v>200</v>
      </c>
      <c r="N40" s="2">
        <v>255</v>
      </c>
      <c r="O40" s="2" t="s">
        <v>304</v>
      </c>
      <c r="P40" s="2" t="s">
        <v>304</v>
      </c>
      <c r="Q40" s="2" t="s">
        <v>447</v>
      </c>
      <c r="R40" s="2" t="s">
        <v>304</v>
      </c>
      <c r="S40" s="14" t="s">
        <v>449</v>
      </c>
      <c r="T40" s="7">
        <v>1.268087499999998</v>
      </c>
      <c r="U40" s="7"/>
      <c r="V40" s="2">
        <v>111</v>
      </c>
      <c r="W40" s="2"/>
      <c r="X40" s="2">
        <v>2.2799999999999998</v>
      </c>
    </row>
    <row r="41" spans="2:24" x14ac:dyDescent="0.2">
      <c r="B41" s="2"/>
      <c r="C41" s="2" t="s">
        <v>30</v>
      </c>
      <c r="D41" s="2" t="s">
        <v>34</v>
      </c>
      <c r="E41" s="2" t="str">
        <f t="shared" si="0"/>
        <v>Ce5O9-Ce</v>
      </c>
      <c r="F41" s="2">
        <v>82.58</v>
      </c>
      <c r="G41" s="2">
        <v>79.56</v>
      </c>
      <c r="H41" s="2">
        <v>76.430000000000007</v>
      </c>
      <c r="I41" s="2" t="s">
        <v>326</v>
      </c>
      <c r="J41" s="2" t="s">
        <v>55</v>
      </c>
      <c r="K41" s="2">
        <v>2228</v>
      </c>
      <c r="L41" s="9" t="s">
        <v>377</v>
      </c>
      <c r="M41" s="2"/>
      <c r="N41" s="2"/>
      <c r="O41" s="2"/>
      <c r="P41" s="2"/>
      <c r="Q41" s="2"/>
      <c r="R41" s="2"/>
      <c r="S41" s="9"/>
      <c r="T41" s="7" t="s">
        <v>304</v>
      </c>
      <c r="U41" s="7"/>
      <c r="V41" s="2"/>
      <c r="W41" s="2"/>
      <c r="X41" s="2"/>
    </row>
    <row r="42" spans="2:24" x14ac:dyDescent="0.2">
      <c r="B42" s="2"/>
      <c r="C42" s="2" t="s">
        <v>29</v>
      </c>
      <c r="D42" s="2" t="s">
        <v>31</v>
      </c>
      <c r="E42" s="2" t="str">
        <f t="shared" si="0"/>
        <v>Ce11O20-Ce2O3</v>
      </c>
      <c r="F42" s="2">
        <v>64.510000000000005</v>
      </c>
      <c r="G42" s="2">
        <v>61.49</v>
      </c>
      <c r="H42" s="2">
        <v>58.36</v>
      </c>
      <c r="I42" s="2" t="s">
        <v>326</v>
      </c>
      <c r="J42" s="2" t="s">
        <v>57</v>
      </c>
      <c r="K42" s="2">
        <v>2344</v>
      </c>
      <c r="L42" s="9" t="s">
        <v>377</v>
      </c>
      <c r="M42" s="2"/>
      <c r="N42" s="2"/>
      <c r="O42" s="2"/>
      <c r="P42" s="2"/>
      <c r="Q42" s="2"/>
      <c r="R42" s="2"/>
      <c r="S42" s="9"/>
      <c r="T42" s="7" t="s">
        <v>304</v>
      </c>
      <c r="U42" s="7"/>
      <c r="V42" s="2"/>
      <c r="W42" s="2"/>
      <c r="X42" s="2"/>
    </row>
    <row r="43" spans="2:24" x14ac:dyDescent="0.2">
      <c r="B43" s="2"/>
      <c r="C43" s="2" t="s">
        <v>36</v>
      </c>
      <c r="D43" s="2" t="s">
        <v>29</v>
      </c>
      <c r="E43" s="2" t="str">
        <f t="shared" si="0"/>
        <v>CeO2-Ce11O20</v>
      </c>
      <c r="F43" s="2">
        <v>27.88</v>
      </c>
      <c r="G43" s="2">
        <v>24.86</v>
      </c>
      <c r="H43" s="2">
        <v>21.73</v>
      </c>
      <c r="I43" s="2" t="s">
        <v>326</v>
      </c>
      <c r="J43" s="15" t="s">
        <v>59</v>
      </c>
      <c r="K43" s="2">
        <v>2291</v>
      </c>
      <c r="L43" s="9" t="s">
        <v>377</v>
      </c>
      <c r="M43" s="2"/>
      <c r="N43" s="2"/>
      <c r="O43" s="2"/>
      <c r="P43" s="2"/>
      <c r="Q43" s="2"/>
      <c r="R43" s="2"/>
      <c r="S43" s="9"/>
      <c r="T43" s="7" t="s">
        <v>304</v>
      </c>
      <c r="U43" s="7"/>
      <c r="V43" s="2"/>
      <c r="W43" s="2"/>
      <c r="X43" s="2"/>
    </row>
    <row r="44" spans="2:24" x14ac:dyDescent="0.2">
      <c r="B44" s="2"/>
      <c r="C44" s="2" t="s">
        <v>29</v>
      </c>
      <c r="D44" s="2" t="s">
        <v>32</v>
      </c>
      <c r="E44" s="2" t="str">
        <f t="shared" si="0"/>
        <v>Ce11O20-CeO</v>
      </c>
      <c r="F44" s="2">
        <v>72.209999999999994</v>
      </c>
      <c r="G44" s="2">
        <v>69.19</v>
      </c>
      <c r="H44" s="2">
        <v>66.06</v>
      </c>
      <c r="I44" s="2" t="s">
        <v>326</v>
      </c>
      <c r="J44" s="2" t="s">
        <v>60</v>
      </c>
      <c r="K44" s="2"/>
      <c r="L44" s="2"/>
      <c r="M44" s="2"/>
      <c r="N44" s="2"/>
      <c r="O44" s="2"/>
      <c r="P44" s="2"/>
      <c r="Q44" s="2"/>
      <c r="R44" s="2"/>
      <c r="S44" s="9"/>
      <c r="T44" s="7" t="s">
        <v>304</v>
      </c>
      <c r="U44" s="7"/>
      <c r="V44" s="2"/>
      <c r="W44" s="2"/>
      <c r="X44" s="2"/>
    </row>
    <row r="45" spans="2:24" x14ac:dyDescent="0.2">
      <c r="B45" s="2"/>
      <c r="C45" s="2" t="s">
        <v>29</v>
      </c>
      <c r="D45" s="2" t="s">
        <v>33</v>
      </c>
      <c r="E45" s="2" t="str">
        <f t="shared" si="0"/>
        <v>Ce11O20-Ce7O12</v>
      </c>
      <c r="F45" s="2">
        <v>49.01</v>
      </c>
      <c r="G45" s="2">
        <v>45.99</v>
      </c>
      <c r="H45" s="2">
        <v>42.86</v>
      </c>
      <c r="I45" s="2" t="s">
        <v>326</v>
      </c>
      <c r="J45" s="15" t="s">
        <v>62</v>
      </c>
      <c r="K45" s="2">
        <v>1565</v>
      </c>
      <c r="L45" s="2" t="s">
        <v>384</v>
      </c>
      <c r="M45" s="2">
        <v>325</v>
      </c>
      <c r="N45" s="2">
        <v>400</v>
      </c>
      <c r="O45" s="2">
        <v>600</v>
      </c>
      <c r="P45" s="2" t="s">
        <v>304</v>
      </c>
      <c r="Q45" s="2" t="s">
        <v>426</v>
      </c>
      <c r="R45" s="2" t="s">
        <v>423</v>
      </c>
      <c r="S45" s="2" t="s">
        <v>427</v>
      </c>
      <c r="T45" s="7" t="s">
        <v>304</v>
      </c>
      <c r="U45" s="7" t="s">
        <v>458</v>
      </c>
      <c r="V45" s="2"/>
      <c r="W45" s="2"/>
      <c r="X45" s="2"/>
    </row>
    <row r="46" spans="2:24" x14ac:dyDescent="0.2">
      <c r="B46" s="2"/>
      <c r="C46" s="2" t="s">
        <v>29</v>
      </c>
      <c r="D46" s="2" t="s">
        <v>34</v>
      </c>
      <c r="E46" s="2" t="str">
        <f t="shared" si="0"/>
        <v>Ce11O20-Ce</v>
      </c>
      <c r="F46" s="2">
        <v>82.2</v>
      </c>
      <c r="G46" s="2">
        <v>79.180000000000007</v>
      </c>
      <c r="H46" s="2">
        <v>76.05</v>
      </c>
      <c r="I46" s="2" t="s">
        <v>326</v>
      </c>
      <c r="J46" s="15" t="s">
        <v>63</v>
      </c>
      <c r="K46" s="2">
        <v>1597</v>
      </c>
      <c r="L46" s="2" t="s">
        <v>364</v>
      </c>
      <c r="M46" s="2">
        <v>300</v>
      </c>
      <c r="N46" s="2">
        <v>325</v>
      </c>
      <c r="O46" s="2">
        <v>650</v>
      </c>
      <c r="P46" s="2">
        <v>750</v>
      </c>
      <c r="Q46" s="2" t="s">
        <v>429</v>
      </c>
      <c r="R46" s="2" t="s">
        <v>423</v>
      </c>
      <c r="S46" s="2" t="s">
        <v>430</v>
      </c>
      <c r="T46" s="7" t="s">
        <v>304</v>
      </c>
      <c r="U46" s="7"/>
      <c r="V46" s="2"/>
      <c r="W46" s="2"/>
      <c r="X46" s="2"/>
    </row>
    <row r="47" spans="2:24" x14ac:dyDescent="0.2">
      <c r="B47" s="2"/>
      <c r="C47" s="2" t="s">
        <v>36</v>
      </c>
      <c r="D47" s="2" t="s">
        <v>31</v>
      </c>
      <c r="E47" s="2" t="str">
        <f t="shared" si="0"/>
        <v>CeO2-Ce2O3</v>
      </c>
      <c r="F47" s="2">
        <v>51.19</v>
      </c>
      <c r="G47" s="2">
        <v>48.17</v>
      </c>
      <c r="H47" s="2">
        <v>45.04</v>
      </c>
      <c r="I47" s="2" t="s">
        <v>326</v>
      </c>
      <c r="J47" s="15" t="s">
        <v>64</v>
      </c>
      <c r="K47" s="2">
        <v>1377</v>
      </c>
      <c r="L47" s="2" t="s">
        <v>364</v>
      </c>
      <c r="M47" s="2">
        <v>380</v>
      </c>
      <c r="N47" s="2">
        <v>550</v>
      </c>
      <c r="O47" s="2" t="s">
        <v>304</v>
      </c>
      <c r="P47" s="2" t="s">
        <v>304</v>
      </c>
      <c r="Q47" s="2" t="s">
        <v>431</v>
      </c>
      <c r="R47" s="2" t="s">
        <v>423</v>
      </c>
      <c r="S47" s="9" t="s">
        <v>430</v>
      </c>
      <c r="T47" s="7">
        <v>1.768087499999998</v>
      </c>
      <c r="U47" s="7"/>
      <c r="V47" s="2"/>
      <c r="W47" s="2"/>
      <c r="X47" s="2"/>
    </row>
    <row r="48" spans="2:24" x14ac:dyDescent="0.2">
      <c r="B48" s="2"/>
      <c r="C48" s="2" t="s">
        <v>31</v>
      </c>
      <c r="D48" s="2" t="s">
        <v>32</v>
      </c>
      <c r="E48" s="2" t="str">
        <f t="shared" si="0"/>
        <v>Ce2O3-CeO</v>
      </c>
      <c r="F48" s="2">
        <v>77.11</v>
      </c>
      <c r="G48" s="2">
        <v>74.09</v>
      </c>
      <c r="H48" s="2">
        <v>70.959999999999994</v>
      </c>
      <c r="I48" s="2" t="s">
        <v>326</v>
      </c>
      <c r="J48" s="2" t="s">
        <v>66</v>
      </c>
      <c r="K48" s="2">
        <v>1806</v>
      </c>
      <c r="L48" s="2" t="s">
        <v>364</v>
      </c>
      <c r="M48" s="2">
        <v>1000</v>
      </c>
      <c r="N48" s="2" t="s">
        <v>304</v>
      </c>
      <c r="O48" s="2" t="s">
        <v>304</v>
      </c>
      <c r="P48" s="2" t="s">
        <v>304</v>
      </c>
      <c r="Q48" s="2" t="s">
        <v>304</v>
      </c>
      <c r="R48" s="2" t="s">
        <v>304</v>
      </c>
      <c r="S48" s="10" t="s">
        <v>418</v>
      </c>
      <c r="T48" s="7">
        <v>1.9680874999999991</v>
      </c>
      <c r="U48" s="7"/>
      <c r="V48" s="2">
        <v>100</v>
      </c>
      <c r="W48" s="2"/>
      <c r="X48" s="2">
        <v>4.38</v>
      </c>
    </row>
    <row r="49" spans="2:24" x14ac:dyDescent="0.2">
      <c r="B49" s="2"/>
      <c r="C49" s="2" t="s">
        <v>33</v>
      </c>
      <c r="D49" s="2" t="s">
        <v>31</v>
      </c>
      <c r="E49" s="2" t="str">
        <f t="shared" si="0"/>
        <v>Ce7O12-Ce2O3</v>
      </c>
      <c r="F49" s="2">
        <v>72.03</v>
      </c>
      <c r="G49" s="2">
        <v>69.010000000000005</v>
      </c>
      <c r="H49" s="2">
        <v>65.88</v>
      </c>
      <c r="I49" s="2" t="s">
        <v>326</v>
      </c>
      <c r="J49" s="2" t="s">
        <v>68</v>
      </c>
      <c r="K49" s="2">
        <v>2339</v>
      </c>
      <c r="L49" s="2" t="s">
        <v>378</v>
      </c>
      <c r="M49" s="2"/>
      <c r="N49" s="2"/>
      <c r="O49" s="2"/>
      <c r="P49" s="2"/>
      <c r="Q49" s="2"/>
      <c r="R49" s="2"/>
      <c r="S49" s="9"/>
      <c r="T49" s="7" t="s">
        <v>304</v>
      </c>
      <c r="U49" s="7"/>
      <c r="V49" s="13" t="s">
        <v>339</v>
      </c>
      <c r="W49" s="13"/>
      <c r="X49" s="2">
        <v>6.8</v>
      </c>
    </row>
    <row r="50" spans="2:24" ht="25.5" x14ac:dyDescent="0.2">
      <c r="B50" s="2"/>
      <c r="C50" s="2" t="s">
        <v>31</v>
      </c>
      <c r="D50" s="2" t="s">
        <v>34</v>
      </c>
      <c r="E50" s="2" t="str">
        <f t="shared" si="0"/>
        <v>Ce2O3-Ce</v>
      </c>
      <c r="F50" s="2">
        <v>85.95</v>
      </c>
      <c r="G50" s="2">
        <v>82.93</v>
      </c>
      <c r="H50" s="2">
        <v>79.8</v>
      </c>
      <c r="I50" s="2" t="s">
        <v>326</v>
      </c>
      <c r="J50" s="15" t="s">
        <v>70</v>
      </c>
      <c r="K50" s="2">
        <v>1115</v>
      </c>
      <c r="L50" s="2" t="s">
        <v>379</v>
      </c>
      <c r="M50" s="2">
        <v>327</v>
      </c>
      <c r="N50" s="2" t="s">
        <v>304</v>
      </c>
      <c r="O50" s="2" t="s">
        <v>304</v>
      </c>
      <c r="P50" s="2" t="s">
        <v>304</v>
      </c>
      <c r="Q50" s="2" t="s">
        <v>439</v>
      </c>
      <c r="R50" s="2" t="s">
        <v>423</v>
      </c>
      <c r="S50" s="9" t="s">
        <v>440</v>
      </c>
      <c r="T50" s="7">
        <v>1.568087499999999</v>
      </c>
      <c r="U50" s="7"/>
      <c r="V50" s="2">
        <v>110</v>
      </c>
      <c r="W50" s="2"/>
      <c r="X50" s="2">
        <v>3.38</v>
      </c>
    </row>
    <row r="51" spans="2:24" x14ac:dyDescent="0.2">
      <c r="B51" s="2"/>
      <c r="C51" s="2" t="s">
        <v>36</v>
      </c>
      <c r="D51" s="2" t="s">
        <v>32</v>
      </c>
      <c r="E51" s="2" t="str">
        <f t="shared" si="0"/>
        <v>CeO2-CeO</v>
      </c>
      <c r="F51" s="2">
        <v>64.150000000000006</v>
      </c>
      <c r="G51" s="2">
        <v>61.13</v>
      </c>
      <c r="H51" s="2">
        <v>58</v>
      </c>
      <c r="I51" s="2" t="s">
        <v>326</v>
      </c>
      <c r="J51" s="2" t="s">
        <v>72</v>
      </c>
      <c r="K51" s="2">
        <v>2774</v>
      </c>
      <c r="L51" s="2" t="s">
        <v>379</v>
      </c>
      <c r="M51" s="2"/>
      <c r="N51" s="2"/>
      <c r="O51" s="2"/>
      <c r="P51" s="2"/>
      <c r="Q51" s="2"/>
      <c r="R51" s="2"/>
      <c r="S51" s="9"/>
      <c r="T51" s="7" t="s">
        <v>304</v>
      </c>
      <c r="U51" s="7"/>
      <c r="V51" s="2">
        <v>111</v>
      </c>
      <c r="W51" s="2"/>
      <c r="X51" s="2">
        <v>6.38</v>
      </c>
    </row>
    <row r="52" spans="2:24" x14ac:dyDescent="0.2">
      <c r="B52" s="2"/>
      <c r="C52" s="2" t="s">
        <v>36</v>
      </c>
      <c r="D52" s="2" t="s">
        <v>33</v>
      </c>
      <c r="E52" s="2" t="str">
        <f t="shared" si="0"/>
        <v>CeO2-Ce7O12</v>
      </c>
      <c r="F52" s="2">
        <v>35.56</v>
      </c>
      <c r="G52" s="2">
        <v>32.54</v>
      </c>
      <c r="H52" s="2">
        <v>29.41</v>
      </c>
      <c r="I52" s="2" t="s">
        <v>326</v>
      </c>
      <c r="J52" s="2" t="s">
        <v>74</v>
      </c>
      <c r="K52" s="2">
        <v>500</v>
      </c>
      <c r="L52" s="2" t="s">
        <v>390</v>
      </c>
      <c r="M52" s="2"/>
      <c r="N52" s="2"/>
      <c r="O52" s="2"/>
      <c r="P52" s="2"/>
      <c r="Q52" s="2"/>
      <c r="R52" s="2"/>
      <c r="S52" s="9"/>
      <c r="T52" s="7" t="s">
        <v>304</v>
      </c>
      <c r="U52" s="7"/>
      <c r="V52" s="13" t="s">
        <v>337</v>
      </c>
      <c r="W52" s="13"/>
      <c r="X52" s="2">
        <v>1.24</v>
      </c>
    </row>
    <row r="53" spans="2:24" x14ac:dyDescent="0.2">
      <c r="B53" s="2"/>
      <c r="C53" s="2" t="s">
        <v>36</v>
      </c>
      <c r="D53" s="2" t="s">
        <v>34</v>
      </c>
      <c r="E53" s="2" t="str">
        <f t="shared" si="0"/>
        <v>CeO2-Ce</v>
      </c>
      <c r="F53" s="2">
        <v>77.260000000000005</v>
      </c>
      <c r="G53" s="2">
        <v>74.239999999999995</v>
      </c>
      <c r="H53" s="2">
        <v>71.11</v>
      </c>
      <c r="I53" s="2" t="s">
        <v>326</v>
      </c>
      <c r="J53" s="2" t="s">
        <v>76</v>
      </c>
      <c r="K53" s="2">
        <v>2330</v>
      </c>
      <c r="L53" s="2" t="s">
        <v>381</v>
      </c>
      <c r="M53" s="2"/>
      <c r="N53" s="2"/>
      <c r="O53" s="2"/>
      <c r="P53" s="2"/>
      <c r="Q53" s="2"/>
      <c r="R53" s="2"/>
      <c r="S53" s="9"/>
      <c r="T53" s="7" t="s">
        <v>304</v>
      </c>
      <c r="U53" s="7"/>
      <c r="V53" s="2"/>
      <c r="W53" s="2"/>
      <c r="X53" s="2"/>
    </row>
    <row r="54" spans="2:24" x14ac:dyDescent="0.2">
      <c r="B54" s="2"/>
      <c r="C54" s="2" t="s">
        <v>33</v>
      </c>
      <c r="D54" s="2" t="s">
        <v>32</v>
      </c>
      <c r="E54" s="2" t="str">
        <f t="shared" si="0"/>
        <v>Ce7O12-CeO</v>
      </c>
      <c r="F54" s="2">
        <v>75.59</v>
      </c>
      <c r="G54" s="2">
        <v>72.569999999999993</v>
      </c>
      <c r="H54" s="2">
        <v>69.44</v>
      </c>
      <c r="I54" s="2" t="s">
        <v>326</v>
      </c>
      <c r="J54" s="2" t="s">
        <v>78</v>
      </c>
      <c r="K54" s="2">
        <v>300</v>
      </c>
      <c r="L54" s="2" t="s">
        <v>382</v>
      </c>
      <c r="M54" s="2"/>
      <c r="N54" s="2"/>
      <c r="O54" s="2"/>
      <c r="P54" s="2"/>
      <c r="Q54" s="2"/>
      <c r="R54" s="2"/>
      <c r="S54" s="9"/>
      <c r="T54" s="7" t="s">
        <v>304</v>
      </c>
      <c r="U54" s="7"/>
      <c r="V54" s="2"/>
      <c r="W54" s="2"/>
      <c r="X54" s="2"/>
    </row>
    <row r="55" spans="2:24" x14ac:dyDescent="0.2">
      <c r="B55" s="2"/>
      <c r="C55" s="2" t="s">
        <v>32</v>
      </c>
      <c r="D55" s="2" t="s">
        <v>34</v>
      </c>
      <c r="E55" s="2" t="str">
        <f t="shared" si="0"/>
        <v>CeO-Ce</v>
      </c>
      <c r="F55" s="2">
        <v>90.37</v>
      </c>
      <c r="G55" s="2">
        <v>87.35</v>
      </c>
      <c r="H55" s="2">
        <v>84.22</v>
      </c>
      <c r="I55" s="2" t="s">
        <v>326</v>
      </c>
      <c r="J55" s="15" t="s">
        <v>80</v>
      </c>
      <c r="K55" s="2">
        <v>1912</v>
      </c>
      <c r="L55" s="2" t="s">
        <v>365</v>
      </c>
      <c r="M55" s="2"/>
      <c r="N55" s="2">
        <v>1000</v>
      </c>
      <c r="O55" s="2"/>
      <c r="P55" s="2"/>
      <c r="Q55" s="2"/>
      <c r="R55" s="2"/>
      <c r="S55" s="9"/>
      <c r="T55" s="7" t="s">
        <v>304</v>
      </c>
      <c r="U55" s="7"/>
      <c r="V55" s="2">
        <v>111</v>
      </c>
      <c r="W55" s="2"/>
      <c r="X55" s="2">
        <v>2.4</v>
      </c>
    </row>
    <row r="56" spans="2:24" x14ac:dyDescent="0.2">
      <c r="B56" s="2"/>
      <c r="C56" s="2" t="s">
        <v>33</v>
      </c>
      <c r="D56" s="2" t="s">
        <v>34</v>
      </c>
      <c r="E56" s="2" t="str">
        <f t="shared" si="0"/>
        <v>Ce7O12-Ce</v>
      </c>
      <c r="F56" s="2">
        <v>84.21</v>
      </c>
      <c r="G56" s="2">
        <v>81.19</v>
      </c>
      <c r="H56" s="2">
        <v>78.06</v>
      </c>
      <c r="I56" s="2" t="s">
        <v>326</v>
      </c>
      <c r="J56" s="2" t="s">
        <v>84</v>
      </c>
      <c r="K56" s="2"/>
      <c r="L56" s="2"/>
      <c r="M56" s="2"/>
      <c r="N56" s="2"/>
      <c r="O56" s="2"/>
      <c r="P56" s="2"/>
      <c r="Q56" s="2"/>
      <c r="R56" s="2"/>
      <c r="S56" s="9"/>
      <c r="T56" s="7" t="s">
        <v>304</v>
      </c>
      <c r="U56" s="7"/>
      <c r="V56" s="2"/>
      <c r="W56" s="2"/>
      <c r="X56" s="2"/>
    </row>
    <row r="57" spans="2:24" x14ac:dyDescent="0.2">
      <c r="B57" s="2"/>
      <c r="C57" s="2" t="s">
        <v>40</v>
      </c>
      <c r="D57" s="2" t="s">
        <v>37</v>
      </c>
      <c r="E57" s="2" t="str">
        <f t="shared" si="0"/>
        <v>CoO2-Co3O4</v>
      </c>
      <c r="F57" s="2">
        <v>-55.5</v>
      </c>
      <c r="G57" s="2">
        <v>-58.52</v>
      </c>
      <c r="H57" s="2">
        <v>-61.65</v>
      </c>
      <c r="I57" s="2" t="s">
        <v>326</v>
      </c>
      <c r="J57" s="2" t="s">
        <v>82</v>
      </c>
      <c r="K57" s="2">
        <v>1100</v>
      </c>
      <c r="L57" s="2" t="s">
        <v>383</v>
      </c>
      <c r="M57" s="2"/>
      <c r="N57" s="2"/>
      <c r="O57" s="2"/>
      <c r="P57" s="2"/>
      <c r="Q57" s="2"/>
      <c r="R57" s="2"/>
      <c r="S57" s="9"/>
      <c r="T57" s="7" t="s">
        <v>304</v>
      </c>
      <c r="U57" s="7"/>
      <c r="V57" s="2"/>
      <c r="W57" s="2"/>
      <c r="X57" s="2"/>
    </row>
    <row r="58" spans="2:24" x14ac:dyDescent="0.2">
      <c r="B58" s="2"/>
      <c r="C58" s="2" t="s">
        <v>40</v>
      </c>
      <c r="D58" s="2" t="s">
        <v>38</v>
      </c>
      <c r="E58" s="2" t="str">
        <f t="shared" si="0"/>
        <v>CoO2-CoO</v>
      </c>
      <c r="F58" s="2">
        <v>-41.83</v>
      </c>
      <c r="G58" s="2">
        <v>-44.85</v>
      </c>
      <c r="H58" s="2">
        <v>-47.98</v>
      </c>
      <c r="I58" s="2" t="s">
        <v>326</v>
      </c>
      <c r="J58" s="2" t="s">
        <v>88</v>
      </c>
      <c r="K58" s="2">
        <v>380</v>
      </c>
      <c r="L58" s="2" t="s">
        <v>397</v>
      </c>
      <c r="M58" s="2"/>
      <c r="N58" s="2"/>
      <c r="O58" s="2"/>
      <c r="P58" s="2"/>
      <c r="Q58" s="2"/>
      <c r="R58" s="2"/>
      <c r="S58" s="9"/>
      <c r="T58" s="7" t="s">
        <v>304</v>
      </c>
      <c r="U58" s="7"/>
      <c r="V58" s="2"/>
      <c r="W58" s="2"/>
      <c r="X58" s="2"/>
    </row>
    <row r="59" spans="2:24" x14ac:dyDescent="0.2">
      <c r="B59" s="2"/>
      <c r="C59" s="2" t="s">
        <v>40</v>
      </c>
      <c r="D59" s="2" t="s">
        <v>39</v>
      </c>
      <c r="E59" s="2" t="str">
        <f t="shared" si="0"/>
        <v>CoO2-Co</v>
      </c>
      <c r="F59" s="2">
        <v>-19.84</v>
      </c>
      <c r="G59" s="2">
        <v>-22.86</v>
      </c>
      <c r="H59" s="2">
        <v>-25.99</v>
      </c>
      <c r="I59" s="2" t="s">
        <v>326</v>
      </c>
      <c r="J59" s="19" t="s">
        <v>87</v>
      </c>
      <c r="K59" s="20">
        <v>490</v>
      </c>
      <c r="L59" s="2" t="s">
        <v>397</v>
      </c>
      <c r="M59" s="2"/>
      <c r="N59" s="2"/>
      <c r="O59" s="2"/>
      <c r="P59" s="2"/>
      <c r="Q59" s="2"/>
      <c r="R59" s="2"/>
      <c r="S59" s="9"/>
      <c r="T59" s="7" t="s">
        <v>304</v>
      </c>
      <c r="U59" s="7"/>
      <c r="V59" s="2"/>
      <c r="W59" s="2"/>
      <c r="X59" s="2"/>
    </row>
    <row r="60" spans="2:24" x14ac:dyDescent="0.2">
      <c r="B60" s="2"/>
      <c r="C60" s="2" t="s">
        <v>37</v>
      </c>
      <c r="D60" s="2" t="s">
        <v>38</v>
      </c>
      <c r="E60" s="2" t="str">
        <f t="shared" si="0"/>
        <v>Co3O4-CoO</v>
      </c>
      <c r="F60" s="2">
        <v>-14.47</v>
      </c>
      <c r="G60" s="2">
        <v>-17.489999999999998</v>
      </c>
      <c r="H60" s="2">
        <v>-20.62</v>
      </c>
      <c r="I60" s="2" t="s">
        <v>326</v>
      </c>
      <c r="J60" s="2" t="s">
        <v>85</v>
      </c>
      <c r="K60" s="2">
        <v>350</v>
      </c>
      <c r="L60" s="2" t="s">
        <v>396</v>
      </c>
      <c r="M60" s="2"/>
      <c r="N60" s="2"/>
      <c r="O60" s="2"/>
      <c r="P60" s="2"/>
      <c r="Q60" s="2"/>
      <c r="R60" s="2"/>
      <c r="S60" s="9"/>
      <c r="T60" s="7">
        <v>2.068087499999999</v>
      </c>
      <c r="U60" s="7"/>
      <c r="V60" s="2">
        <v>111</v>
      </c>
      <c r="W60" s="2"/>
      <c r="X60" s="2">
        <v>3.2</v>
      </c>
    </row>
    <row r="61" spans="2:24" x14ac:dyDescent="0.2">
      <c r="B61" s="2"/>
      <c r="C61" s="2" t="s">
        <v>37</v>
      </c>
      <c r="D61" s="2" t="s">
        <v>39</v>
      </c>
      <c r="E61" s="2" t="str">
        <f t="shared" si="0"/>
        <v>Co3O4-Co</v>
      </c>
      <c r="F61" s="2">
        <v>-2.0099999999999998</v>
      </c>
      <c r="G61" s="2">
        <v>-5.03</v>
      </c>
      <c r="H61" s="2">
        <v>-8.16</v>
      </c>
      <c r="I61" s="2" t="s">
        <v>327</v>
      </c>
      <c r="J61" s="2" t="s">
        <v>89</v>
      </c>
      <c r="K61" s="2">
        <v>2304</v>
      </c>
      <c r="L61" s="2" t="s">
        <v>385</v>
      </c>
      <c r="M61" s="2"/>
      <c r="N61" s="2"/>
      <c r="O61" s="2"/>
      <c r="P61" s="2"/>
      <c r="Q61" s="2"/>
      <c r="R61" s="2"/>
      <c r="S61" s="9"/>
      <c r="T61" s="7" t="s">
        <v>304</v>
      </c>
      <c r="U61" s="7"/>
      <c r="V61" s="13" t="s">
        <v>339</v>
      </c>
      <c r="W61" s="13"/>
      <c r="X61" s="2">
        <v>6.69</v>
      </c>
    </row>
    <row r="62" spans="2:24" x14ac:dyDescent="0.2">
      <c r="B62" s="2"/>
      <c r="C62" s="2" t="s">
        <v>38</v>
      </c>
      <c r="D62" s="2" t="s">
        <v>39</v>
      </c>
      <c r="E62" s="2" t="str">
        <f t="shared" si="0"/>
        <v>CoO-Co</v>
      </c>
      <c r="F62" s="2">
        <v>2.15</v>
      </c>
      <c r="G62" s="2">
        <v>-0.87</v>
      </c>
      <c r="H62" s="2">
        <v>-4</v>
      </c>
      <c r="I62" s="2" t="s">
        <v>327</v>
      </c>
      <c r="J62" s="19" t="s">
        <v>93</v>
      </c>
      <c r="K62" s="20">
        <v>195</v>
      </c>
      <c r="L62" s="2"/>
      <c r="M62" s="2"/>
      <c r="N62" s="2"/>
      <c r="O62" s="2"/>
      <c r="P62" s="2"/>
      <c r="Q62" s="2"/>
      <c r="R62" s="2"/>
      <c r="S62" s="9"/>
      <c r="T62" s="7" t="s">
        <v>304</v>
      </c>
      <c r="U62" s="7"/>
      <c r="V62" s="2"/>
      <c r="W62" s="2"/>
      <c r="X62" s="2"/>
    </row>
    <row r="63" spans="2:24" x14ac:dyDescent="0.2">
      <c r="B63" s="2"/>
      <c r="C63" s="2" t="s">
        <v>43</v>
      </c>
      <c r="D63" s="2" t="s">
        <v>41</v>
      </c>
      <c r="E63" s="2" t="str">
        <f t="shared" si="0"/>
        <v>Cr5O12-Cr2O3</v>
      </c>
      <c r="F63" s="2">
        <v>-48.77</v>
      </c>
      <c r="G63" s="2">
        <v>-51.79</v>
      </c>
      <c r="H63" s="2">
        <v>-54.92</v>
      </c>
      <c r="I63" s="2" t="s">
        <v>326</v>
      </c>
      <c r="J63" s="2" t="s">
        <v>91</v>
      </c>
      <c r="K63" s="2">
        <v>1570</v>
      </c>
      <c r="L63" s="2" t="s">
        <v>367</v>
      </c>
      <c r="M63" s="2"/>
      <c r="N63" s="2"/>
      <c r="O63" s="2"/>
      <c r="P63" s="2"/>
      <c r="Q63" s="2"/>
      <c r="R63" s="2"/>
      <c r="S63" s="9"/>
      <c r="T63" s="7">
        <v>3.8680875000000001</v>
      </c>
      <c r="U63" s="7"/>
      <c r="V63" s="2">
        <v>111</v>
      </c>
      <c r="W63" s="2"/>
      <c r="X63" s="2">
        <v>6.06</v>
      </c>
    </row>
    <row r="64" spans="2:24" x14ac:dyDescent="0.2">
      <c r="B64" s="2"/>
      <c r="C64" s="2" t="s">
        <v>43</v>
      </c>
      <c r="D64" s="2" t="s">
        <v>44</v>
      </c>
      <c r="E64" s="2" t="str">
        <f t="shared" si="0"/>
        <v>Cr5O12-CrO2</v>
      </c>
      <c r="F64" s="2">
        <v>-52.55</v>
      </c>
      <c r="G64" s="2">
        <v>-55.57</v>
      </c>
      <c r="H64" s="2">
        <v>-58.7</v>
      </c>
      <c r="I64" s="2" t="s">
        <v>326</v>
      </c>
      <c r="J64" s="2" t="s">
        <v>94</v>
      </c>
      <c r="K64" s="2">
        <v>2427</v>
      </c>
      <c r="L64" s="2" t="s">
        <v>367</v>
      </c>
      <c r="M64" s="2"/>
      <c r="N64" s="2"/>
      <c r="O64" s="2"/>
      <c r="P64" s="2"/>
      <c r="Q64" s="2"/>
      <c r="R64" s="2"/>
      <c r="S64" s="9"/>
      <c r="T64" s="7" t="s">
        <v>304</v>
      </c>
      <c r="U64" s="7"/>
      <c r="V64" s="2"/>
      <c r="W64" s="2"/>
      <c r="X64" s="2"/>
    </row>
    <row r="65" spans="2:24" x14ac:dyDescent="0.2">
      <c r="B65" s="2"/>
      <c r="C65" s="2" t="s">
        <v>43</v>
      </c>
      <c r="D65" s="2" t="s">
        <v>42</v>
      </c>
      <c r="E65" s="2" t="str">
        <f t="shared" si="0"/>
        <v>Cr5O12-Cr</v>
      </c>
      <c r="F65" s="2">
        <v>1.1499999999999999</v>
      </c>
      <c r="G65" s="2">
        <v>-1.87</v>
      </c>
      <c r="H65" s="2">
        <v>-5</v>
      </c>
      <c r="I65" s="2" t="s">
        <v>327</v>
      </c>
      <c r="J65" s="2" t="s">
        <v>96</v>
      </c>
      <c r="K65" s="2">
        <v>2825</v>
      </c>
      <c r="L65" s="9" t="s">
        <v>365</v>
      </c>
      <c r="M65" s="2"/>
      <c r="N65" s="2"/>
      <c r="O65" s="2"/>
      <c r="P65" s="2"/>
      <c r="Q65" s="2"/>
      <c r="R65" s="2"/>
      <c r="S65" s="9"/>
      <c r="T65" s="7">
        <v>3.8680875000000001</v>
      </c>
      <c r="U65" s="7"/>
      <c r="V65" s="2">
        <v>100</v>
      </c>
      <c r="W65" s="2"/>
      <c r="X65" s="2">
        <v>6.27</v>
      </c>
    </row>
    <row r="66" spans="2:24" x14ac:dyDescent="0.2">
      <c r="B66" s="2"/>
      <c r="C66" s="2" t="s">
        <v>44</v>
      </c>
      <c r="D66" s="2" t="s">
        <v>41</v>
      </c>
      <c r="E66" s="2" t="str">
        <f t="shared" ref="E66:E129" si="1">C66 &amp; "-" &amp; D66</f>
        <v>CrO2-Cr2O3</v>
      </c>
      <c r="F66" s="2">
        <v>-45.74</v>
      </c>
      <c r="G66" s="2">
        <v>-48.76</v>
      </c>
      <c r="H66" s="2">
        <v>-51.89</v>
      </c>
      <c r="I66" s="2" t="s">
        <v>326</v>
      </c>
      <c r="J66" s="2" t="s">
        <v>102</v>
      </c>
      <c r="K66" s="2">
        <v>535</v>
      </c>
      <c r="L66" s="2" t="s">
        <v>388</v>
      </c>
      <c r="M66" s="2">
        <v>200</v>
      </c>
      <c r="N66" s="2" t="s">
        <v>304</v>
      </c>
      <c r="O66" s="2" t="s">
        <v>304</v>
      </c>
      <c r="P66" s="2" t="s">
        <v>304</v>
      </c>
      <c r="Q66" s="2" t="s">
        <v>437</v>
      </c>
      <c r="R66" s="2" t="s">
        <v>304</v>
      </c>
      <c r="S66" s="9" t="s">
        <v>438</v>
      </c>
      <c r="T66" s="7" t="s">
        <v>304</v>
      </c>
      <c r="U66" s="7"/>
      <c r="V66" s="2"/>
      <c r="W66" s="2"/>
      <c r="X66" s="2"/>
    </row>
    <row r="67" spans="2:24" x14ac:dyDescent="0.2">
      <c r="B67" s="2"/>
      <c r="C67" s="2" t="s">
        <v>41</v>
      </c>
      <c r="D67" s="2" t="s">
        <v>42</v>
      </c>
      <c r="E67" s="2" t="str">
        <f t="shared" si="1"/>
        <v>Cr2O3-Cr</v>
      </c>
      <c r="F67" s="2">
        <v>31.1</v>
      </c>
      <c r="G67" s="2">
        <v>28.08</v>
      </c>
      <c r="H67" s="2">
        <v>24.95</v>
      </c>
      <c r="I67" s="2" t="s">
        <v>326</v>
      </c>
      <c r="J67" s="15" t="s">
        <v>99</v>
      </c>
      <c r="K67" s="2">
        <v>1567</v>
      </c>
      <c r="L67" s="2" t="s">
        <v>388</v>
      </c>
      <c r="M67" s="2"/>
      <c r="N67" s="2"/>
      <c r="O67" s="2"/>
      <c r="P67" s="2"/>
      <c r="Q67" s="2"/>
      <c r="R67" s="2"/>
      <c r="S67" s="9"/>
      <c r="T67" s="7" t="s">
        <v>304</v>
      </c>
      <c r="U67" s="7"/>
      <c r="V67" s="2"/>
      <c r="W67" s="2"/>
      <c r="X67" s="2"/>
    </row>
    <row r="68" spans="2:24" x14ac:dyDescent="0.2">
      <c r="B68" s="2"/>
      <c r="C68" s="2" t="s">
        <v>44</v>
      </c>
      <c r="D68" s="2" t="s">
        <v>42</v>
      </c>
      <c r="E68" s="2" t="str">
        <f t="shared" si="1"/>
        <v>CrO2-Cr</v>
      </c>
      <c r="F68" s="2">
        <v>11.89</v>
      </c>
      <c r="G68" s="2">
        <v>8.8699999999999992</v>
      </c>
      <c r="H68" s="2">
        <v>5.74</v>
      </c>
      <c r="I68" s="2" t="s">
        <v>327</v>
      </c>
      <c r="J68" s="15" t="s">
        <v>98</v>
      </c>
      <c r="K68" s="2">
        <v>1080</v>
      </c>
      <c r="L68" s="2" t="s">
        <v>389</v>
      </c>
      <c r="M68" s="2"/>
      <c r="N68" s="2"/>
      <c r="O68" s="2"/>
      <c r="P68" s="2"/>
      <c r="Q68" s="2"/>
      <c r="R68" s="2"/>
      <c r="S68" s="9"/>
      <c r="T68" s="7" t="s">
        <v>304</v>
      </c>
      <c r="U68" s="7"/>
      <c r="V68" s="2"/>
      <c r="W68" s="2"/>
      <c r="X68" s="2"/>
    </row>
    <row r="69" spans="2:24" x14ac:dyDescent="0.2">
      <c r="B69" s="2"/>
      <c r="C69" s="2" t="s">
        <v>49</v>
      </c>
      <c r="D69" s="2" t="s">
        <v>47</v>
      </c>
      <c r="E69" s="2" t="str">
        <f t="shared" si="1"/>
        <v>Cs2O2-Cs2O</v>
      </c>
      <c r="F69" s="2">
        <v>-28.49</v>
      </c>
      <c r="G69" s="2">
        <v>-31.51</v>
      </c>
      <c r="H69" s="2">
        <v>-34.64</v>
      </c>
      <c r="I69" s="2" t="s">
        <v>326</v>
      </c>
      <c r="J69" s="15" t="s">
        <v>100</v>
      </c>
      <c r="K69" s="2">
        <v>1839</v>
      </c>
      <c r="L69" s="2" t="s">
        <v>365</v>
      </c>
      <c r="M69" s="2"/>
      <c r="N69" s="2"/>
      <c r="O69" s="2"/>
      <c r="P69" s="2"/>
      <c r="Q69" s="2"/>
      <c r="R69" s="2"/>
      <c r="S69" s="9"/>
      <c r="T69" s="7" t="s">
        <v>304</v>
      </c>
      <c r="U69" s="7"/>
      <c r="V69" s="2"/>
      <c r="W69" s="2"/>
      <c r="X69" s="2"/>
    </row>
    <row r="70" spans="2:24" x14ac:dyDescent="0.2">
      <c r="B70" s="2"/>
      <c r="C70" s="2" t="s">
        <v>47</v>
      </c>
      <c r="D70" s="2" t="s">
        <v>45</v>
      </c>
      <c r="E70" s="2" t="str">
        <f t="shared" si="1"/>
        <v>Cs2O-Cs11O3</v>
      </c>
      <c r="F70" s="2">
        <v>19.89</v>
      </c>
      <c r="G70" s="2">
        <v>16.87</v>
      </c>
      <c r="H70" s="2">
        <v>13.74</v>
      </c>
      <c r="I70" s="2" t="s">
        <v>326</v>
      </c>
      <c r="J70" s="2" t="s">
        <v>103</v>
      </c>
      <c r="K70" s="2"/>
      <c r="L70" s="2"/>
      <c r="M70" s="2"/>
      <c r="N70" s="2"/>
      <c r="O70" s="2"/>
      <c r="P70" s="2"/>
      <c r="Q70" s="2"/>
      <c r="R70" s="2"/>
      <c r="S70" s="9"/>
      <c r="T70" s="7" t="s">
        <v>304</v>
      </c>
      <c r="U70" s="7"/>
      <c r="V70" s="2"/>
      <c r="W70" s="2"/>
      <c r="X70" s="2"/>
    </row>
    <row r="71" spans="2:24" x14ac:dyDescent="0.2">
      <c r="B71" s="2"/>
      <c r="C71" s="2" t="s">
        <v>47</v>
      </c>
      <c r="D71" s="2" t="s">
        <v>48</v>
      </c>
      <c r="E71" s="2" t="str">
        <f t="shared" si="1"/>
        <v>Cs2O-Cs3O</v>
      </c>
      <c r="F71" s="2">
        <v>16.75</v>
      </c>
      <c r="G71" s="2">
        <v>13.73</v>
      </c>
      <c r="H71" s="2">
        <v>10.6</v>
      </c>
      <c r="I71" s="2" t="s">
        <v>327</v>
      </c>
      <c r="J71" s="15" t="s">
        <v>106</v>
      </c>
      <c r="K71" s="2">
        <v>801</v>
      </c>
      <c r="L71" s="2" t="s">
        <v>365</v>
      </c>
      <c r="M71" s="2">
        <v>327</v>
      </c>
      <c r="N71" s="2">
        <v>377</v>
      </c>
      <c r="O71" s="2">
        <v>527</v>
      </c>
      <c r="P71" s="2">
        <v>577</v>
      </c>
      <c r="Q71" s="2" t="s">
        <v>436</v>
      </c>
      <c r="R71" s="2" t="s">
        <v>423</v>
      </c>
      <c r="S71" s="9" t="s">
        <v>435</v>
      </c>
      <c r="T71" s="7" t="s">
        <v>304</v>
      </c>
      <c r="U71" s="7"/>
      <c r="V71" s="2">
        <v>100</v>
      </c>
      <c r="W71" s="2"/>
      <c r="X71" s="2">
        <v>2.48</v>
      </c>
    </row>
    <row r="72" spans="2:24" x14ac:dyDescent="0.2">
      <c r="B72" s="2"/>
      <c r="C72" s="2" t="s">
        <v>50</v>
      </c>
      <c r="D72" s="2" t="s">
        <v>47</v>
      </c>
      <c r="E72" s="2" t="str">
        <f t="shared" si="1"/>
        <v>CsO2-Cs2O</v>
      </c>
      <c r="F72" s="2">
        <v>-42.05</v>
      </c>
      <c r="G72" s="2">
        <v>-45.07</v>
      </c>
      <c r="H72" s="2">
        <v>-48.2</v>
      </c>
      <c r="I72" s="2" t="s">
        <v>326</v>
      </c>
      <c r="J72" s="15" t="s">
        <v>104</v>
      </c>
      <c r="K72" s="2">
        <v>1100</v>
      </c>
      <c r="L72" s="2" t="s">
        <v>390</v>
      </c>
      <c r="M72" s="2">
        <v>557</v>
      </c>
      <c r="N72" s="2">
        <v>612</v>
      </c>
      <c r="O72" s="2" t="s">
        <v>304</v>
      </c>
      <c r="P72" s="2" t="s">
        <v>304</v>
      </c>
      <c r="Q72" s="2" t="s">
        <v>434</v>
      </c>
      <c r="R72" s="2" t="s">
        <v>423</v>
      </c>
      <c r="S72" s="9" t="s">
        <v>435</v>
      </c>
      <c r="T72" s="7" t="s">
        <v>304</v>
      </c>
      <c r="U72" s="7"/>
      <c r="V72" s="2"/>
      <c r="W72" s="2"/>
      <c r="X72" s="2"/>
    </row>
    <row r="73" spans="2:24" x14ac:dyDescent="0.2">
      <c r="B73" s="2"/>
      <c r="C73" s="2" t="s">
        <v>47</v>
      </c>
      <c r="D73" s="2" t="s">
        <v>46</v>
      </c>
      <c r="E73" s="2" t="str">
        <f t="shared" si="1"/>
        <v>Cs2O-Cs</v>
      </c>
      <c r="F73" s="2">
        <v>23.62</v>
      </c>
      <c r="G73" s="2">
        <v>20.6</v>
      </c>
      <c r="H73" s="2">
        <v>17.47</v>
      </c>
      <c r="I73" s="2" t="s">
        <v>326</v>
      </c>
      <c r="J73" s="19" t="s">
        <v>109</v>
      </c>
      <c r="K73" s="20">
        <v>675</v>
      </c>
      <c r="L73" s="2" t="s">
        <v>405</v>
      </c>
      <c r="M73" s="2"/>
      <c r="N73" s="2"/>
      <c r="O73" s="2"/>
      <c r="P73" s="2"/>
      <c r="Q73" s="2"/>
      <c r="R73" s="2"/>
      <c r="S73" s="9"/>
      <c r="T73" s="7" t="s">
        <v>304</v>
      </c>
      <c r="U73" s="7"/>
      <c r="V73" s="2"/>
      <c r="W73" s="2"/>
      <c r="X73" s="2"/>
    </row>
    <row r="74" spans="2:24" x14ac:dyDescent="0.2">
      <c r="B74" s="2"/>
      <c r="C74" s="2" t="s">
        <v>49</v>
      </c>
      <c r="D74" s="2" t="s">
        <v>45</v>
      </c>
      <c r="E74" s="2" t="str">
        <f t="shared" si="1"/>
        <v>Cs2O2-Cs11O3</v>
      </c>
      <c r="F74" s="2">
        <v>-13.37</v>
      </c>
      <c r="G74" s="2">
        <v>-16.39</v>
      </c>
      <c r="H74" s="2">
        <v>-19.52</v>
      </c>
      <c r="I74" s="2" t="s">
        <v>326</v>
      </c>
      <c r="J74" s="2" t="s">
        <v>110</v>
      </c>
      <c r="K74" s="1">
        <v>552</v>
      </c>
      <c r="L74" s="2" t="s">
        <v>406</v>
      </c>
      <c r="M74" s="2"/>
      <c r="N74" s="2"/>
      <c r="O74" s="2"/>
      <c r="P74" s="2"/>
      <c r="Q74" s="2"/>
      <c r="R74" s="2"/>
      <c r="S74" s="9"/>
      <c r="T74" s="7" t="s">
        <v>304</v>
      </c>
      <c r="U74" s="7"/>
      <c r="V74" s="2"/>
      <c r="W74" s="2"/>
      <c r="X74" s="2"/>
    </row>
    <row r="75" spans="2:24" x14ac:dyDescent="0.2">
      <c r="B75" s="2"/>
      <c r="C75" s="2" t="s">
        <v>49</v>
      </c>
      <c r="D75" s="2" t="s">
        <v>48</v>
      </c>
      <c r="E75" s="2" t="str">
        <f t="shared" si="1"/>
        <v>Cs2O2-Cs3O</v>
      </c>
      <c r="F75" s="2">
        <v>-17.18</v>
      </c>
      <c r="G75" s="2">
        <v>-20.2</v>
      </c>
      <c r="H75" s="2">
        <v>-23.33</v>
      </c>
      <c r="I75" s="2" t="s">
        <v>326</v>
      </c>
      <c r="J75" s="2" t="s">
        <v>107</v>
      </c>
      <c r="K75" s="2">
        <v>1132</v>
      </c>
      <c r="L75" s="2" t="s">
        <v>366</v>
      </c>
      <c r="M75" s="2"/>
      <c r="N75" s="2"/>
      <c r="O75" s="2"/>
      <c r="P75" s="2"/>
      <c r="Q75" s="2"/>
      <c r="R75" s="2"/>
      <c r="S75" s="9"/>
      <c r="T75" s="7">
        <v>2.068087499999999</v>
      </c>
      <c r="U75" s="7"/>
      <c r="V75" s="2">
        <v>111</v>
      </c>
      <c r="W75" s="2"/>
      <c r="X75" s="2">
        <v>4.09</v>
      </c>
    </row>
    <row r="76" spans="2:24" x14ac:dyDescent="0.2">
      <c r="B76" s="2"/>
      <c r="C76" s="2" t="s">
        <v>50</v>
      </c>
      <c r="D76" s="2" t="s">
        <v>49</v>
      </c>
      <c r="E76" s="2" t="str">
        <f t="shared" si="1"/>
        <v>CsO2-Cs2O2</v>
      </c>
      <c r="F76" s="2">
        <v>-48.83</v>
      </c>
      <c r="G76" s="2">
        <v>-51.85</v>
      </c>
      <c r="H76" s="2">
        <v>-54.98</v>
      </c>
      <c r="I76" s="2" t="s">
        <v>326</v>
      </c>
      <c r="J76" s="2" t="s">
        <v>111</v>
      </c>
      <c r="K76" s="2">
        <v>1512</v>
      </c>
      <c r="L76" s="9" t="s">
        <v>366</v>
      </c>
      <c r="M76" s="2">
        <v>900</v>
      </c>
      <c r="N76" s="2" t="s">
        <v>304</v>
      </c>
      <c r="O76" s="2" t="s">
        <v>304</v>
      </c>
      <c r="P76" s="2" t="s">
        <v>304</v>
      </c>
      <c r="Q76" s="2" t="s">
        <v>304</v>
      </c>
      <c r="R76" s="2" t="s">
        <v>304</v>
      </c>
      <c r="S76" s="10" t="s">
        <v>418</v>
      </c>
      <c r="T76" s="7" t="s">
        <v>304</v>
      </c>
      <c r="U76" s="7"/>
      <c r="V76" s="2"/>
      <c r="W76" s="2"/>
      <c r="X76" s="2"/>
    </row>
    <row r="77" spans="2:24" x14ac:dyDescent="0.2">
      <c r="B77" s="2"/>
      <c r="C77" s="2" t="s">
        <v>49</v>
      </c>
      <c r="D77" s="2" t="s">
        <v>46</v>
      </c>
      <c r="E77" s="2" t="str">
        <f t="shared" si="1"/>
        <v>Cs2O2-Cs</v>
      </c>
      <c r="F77" s="2">
        <v>-2.4300000000000002</v>
      </c>
      <c r="G77" s="2">
        <v>-5.45</v>
      </c>
      <c r="H77" s="2">
        <v>-8.58</v>
      </c>
      <c r="I77" s="2" t="s">
        <v>327</v>
      </c>
      <c r="J77" s="2" t="s">
        <v>112</v>
      </c>
      <c r="K77" s="2">
        <v>1901</v>
      </c>
      <c r="L77" s="2" t="s">
        <v>366</v>
      </c>
      <c r="M77" s="2"/>
      <c r="N77" s="2"/>
      <c r="O77" s="2"/>
      <c r="P77" s="2"/>
      <c r="Q77" s="2"/>
      <c r="R77" s="2"/>
      <c r="S77" s="9"/>
      <c r="T77" s="7" t="s">
        <v>304</v>
      </c>
      <c r="U77" s="7"/>
      <c r="V77" s="2"/>
      <c r="W77" s="2"/>
      <c r="X77" s="2"/>
    </row>
    <row r="78" spans="2:24" x14ac:dyDescent="0.2">
      <c r="B78" s="2"/>
      <c r="C78" s="2" t="s">
        <v>48</v>
      </c>
      <c r="D78" s="2" t="s">
        <v>45</v>
      </c>
      <c r="E78" s="2" t="str">
        <f t="shared" si="1"/>
        <v>Cs3O-Cs11O3</v>
      </c>
      <c r="F78" s="2">
        <v>28.53</v>
      </c>
      <c r="G78" s="2">
        <v>25.51</v>
      </c>
      <c r="H78" s="2">
        <v>22.38</v>
      </c>
      <c r="I78" s="2" t="s">
        <v>326</v>
      </c>
      <c r="J78" s="2" t="s">
        <v>113</v>
      </c>
      <c r="K78" s="2">
        <v>1936</v>
      </c>
      <c r="L78" s="9" t="s">
        <v>366</v>
      </c>
      <c r="M78" s="2"/>
      <c r="N78" s="2"/>
      <c r="O78" s="2"/>
      <c r="P78" s="2"/>
      <c r="Q78" s="2"/>
      <c r="R78" s="2"/>
      <c r="S78" s="9"/>
      <c r="T78" s="7" t="s">
        <v>304</v>
      </c>
      <c r="U78" s="7"/>
      <c r="V78" s="2"/>
      <c r="W78" s="2"/>
      <c r="X78" s="2"/>
    </row>
    <row r="79" spans="2:24" x14ac:dyDescent="0.2">
      <c r="B79" s="2"/>
      <c r="C79" s="2" t="s">
        <v>50</v>
      </c>
      <c r="D79" s="2" t="s">
        <v>45</v>
      </c>
      <c r="E79" s="2" t="str">
        <f t="shared" si="1"/>
        <v>CsO2-Cs11O3</v>
      </c>
      <c r="F79" s="2">
        <v>-33.9</v>
      </c>
      <c r="G79" s="2">
        <v>-36.92</v>
      </c>
      <c r="H79" s="2">
        <v>-40.049999999999997</v>
      </c>
      <c r="I79" s="2" t="s">
        <v>326</v>
      </c>
      <c r="J79" s="2" t="s">
        <v>115</v>
      </c>
      <c r="K79" s="2">
        <v>2233</v>
      </c>
      <c r="L79" s="9" t="s">
        <v>391</v>
      </c>
      <c r="M79" s="2"/>
      <c r="N79" s="2"/>
      <c r="O79" s="2"/>
      <c r="P79" s="2"/>
      <c r="Q79" s="2"/>
      <c r="R79" s="2"/>
      <c r="S79" s="9"/>
      <c r="T79" s="7" t="s">
        <v>304</v>
      </c>
      <c r="U79" s="7"/>
      <c r="V79" s="2"/>
      <c r="W79" s="2"/>
      <c r="X79" s="2"/>
    </row>
    <row r="80" spans="2:24" x14ac:dyDescent="0.2">
      <c r="B80" s="2"/>
      <c r="C80" s="2" t="s">
        <v>45</v>
      </c>
      <c r="D80" s="2" t="s">
        <v>46</v>
      </c>
      <c r="E80" s="2" t="str">
        <f t="shared" si="1"/>
        <v>Cs11O3-Cs</v>
      </c>
      <c r="F80" s="2">
        <v>26.73</v>
      </c>
      <c r="G80" s="2">
        <v>23.71</v>
      </c>
      <c r="H80" s="2">
        <v>20.58</v>
      </c>
      <c r="I80" s="2" t="s">
        <v>326</v>
      </c>
      <c r="J80" s="2" t="s">
        <v>117</v>
      </c>
      <c r="K80" s="2"/>
      <c r="L80" s="2"/>
      <c r="M80" s="2"/>
      <c r="N80" s="2"/>
      <c r="O80" s="2"/>
      <c r="P80" s="2"/>
      <c r="Q80" s="2"/>
      <c r="R80" s="2"/>
      <c r="S80" s="9"/>
      <c r="T80" s="7" t="s">
        <v>304</v>
      </c>
      <c r="U80" s="7"/>
      <c r="V80" s="2"/>
      <c r="W80" s="2"/>
      <c r="X80" s="2"/>
    </row>
    <row r="81" spans="2:24" x14ac:dyDescent="0.2">
      <c r="B81" s="2"/>
      <c r="C81" s="2" t="s">
        <v>50</v>
      </c>
      <c r="D81" s="2" t="s">
        <v>48</v>
      </c>
      <c r="E81" s="2" t="str">
        <f t="shared" si="1"/>
        <v>CsO2-Cs3O</v>
      </c>
      <c r="F81" s="2">
        <v>-36.17</v>
      </c>
      <c r="G81" s="2">
        <v>-39.19</v>
      </c>
      <c r="H81" s="2">
        <v>-42.32</v>
      </c>
      <c r="I81" s="2" t="s">
        <v>326</v>
      </c>
      <c r="J81" s="2" t="s">
        <v>118</v>
      </c>
      <c r="K81" s="2">
        <v>1955</v>
      </c>
      <c r="L81" s="2" t="s">
        <v>392</v>
      </c>
      <c r="M81" s="2">
        <v>285</v>
      </c>
      <c r="N81" s="2">
        <v>315</v>
      </c>
      <c r="O81" s="2" t="s">
        <v>304</v>
      </c>
      <c r="P81" s="2" t="s">
        <v>304</v>
      </c>
      <c r="Q81" s="2" t="s">
        <v>432</v>
      </c>
      <c r="R81" s="2" t="s">
        <v>423</v>
      </c>
      <c r="S81" s="9" t="s">
        <v>433</v>
      </c>
      <c r="T81" s="7">
        <v>1.268087499999998</v>
      </c>
      <c r="U81" s="7"/>
      <c r="V81" s="2"/>
      <c r="W81" s="2"/>
      <c r="X81" s="2"/>
    </row>
    <row r="82" spans="2:24" x14ac:dyDescent="0.2">
      <c r="B82" s="2"/>
      <c r="C82" s="2" t="s">
        <v>48</v>
      </c>
      <c r="D82" s="2" t="s">
        <v>46</v>
      </c>
      <c r="E82" s="2" t="str">
        <f t="shared" si="1"/>
        <v>Cs3O-Cs</v>
      </c>
      <c r="F82" s="2">
        <v>27.06</v>
      </c>
      <c r="G82" s="2">
        <v>24.04</v>
      </c>
      <c r="H82" s="2">
        <v>20.91</v>
      </c>
      <c r="I82" s="2" t="s">
        <v>326</v>
      </c>
      <c r="J82" s="2" t="s">
        <v>120</v>
      </c>
      <c r="K82" s="2">
        <v>2547</v>
      </c>
      <c r="L82" s="9" t="s">
        <v>391</v>
      </c>
      <c r="M82" s="2"/>
      <c r="N82" s="2"/>
      <c r="O82" s="2"/>
      <c r="P82" s="2"/>
      <c r="Q82" s="2"/>
      <c r="R82" s="2"/>
      <c r="S82" s="9"/>
      <c r="T82" s="7" t="s">
        <v>304</v>
      </c>
      <c r="U82" s="7"/>
      <c r="V82" s="2"/>
      <c r="W82" s="2"/>
      <c r="X82" s="2"/>
    </row>
    <row r="83" spans="2:24" x14ac:dyDescent="0.2">
      <c r="B83" s="2"/>
      <c r="C83" s="2" t="s">
        <v>50</v>
      </c>
      <c r="D83" s="2" t="s">
        <v>46</v>
      </c>
      <c r="E83" s="2" t="str">
        <f t="shared" si="1"/>
        <v>CsO2-Cs</v>
      </c>
      <c r="F83" s="2">
        <v>-25.63</v>
      </c>
      <c r="G83" s="2">
        <v>-28.65</v>
      </c>
      <c r="H83" s="2">
        <v>-31.78</v>
      </c>
      <c r="I83" s="2" t="s">
        <v>326</v>
      </c>
      <c r="J83" s="2" t="s">
        <v>124</v>
      </c>
      <c r="K83" s="2">
        <v>41</v>
      </c>
      <c r="L83" s="2" t="s">
        <v>366</v>
      </c>
      <c r="M83" s="2"/>
      <c r="N83" s="2"/>
      <c r="O83" s="2"/>
      <c r="P83" s="2"/>
      <c r="Q83" s="2"/>
      <c r="R83" s="2"/>
      <c r="S83" s="9"/>
      <c r="T83" s="7" t="s">
        <v>304</v>
      </c>
      <c r="U83" s="7"/>
      <c r="V83" s="2"/>
      <c r="W83" s="2"/>
      <c r="X83" s="2"/>
    </row>
    <row r="84" spans="2:24" x14ac:dyDescent="0.2">
      <c r="B84" s="2"/>
      <c r="C84" s="2" t="s">
        <v>54</v>
      </c>
      <c r="D84" s="2" t="s">
        <v>51</v>
      </c>
      <c r="E84" s="2" t="str">
        <f t="shared" si="1"/>
        <v>CuO-Cu2O</v>
      </c>
      <c r="F84" s="2">
        <v>-16.170000000000002</v>
      </c>
      <c r="G84" s="2">
        <v>-19.190000000000001</v>
      </c>
      <c r="H84" s="2">
        <v>-22.32</v>
      </c>
      <c r="I84" s="2" t="s">
        <v>326</v>
      </c>
      <c r="J84" s="2" t="s">
        <v>122</v>
      </c>
      <c r="K84" s="2"/>
      <c r="L84" s="2"/>
      <c r="M84" s="2"/>
      <c r="N84" s="2"/>
      <c r="O84" s="2"/>
      <c r="P84" s="2"/>
      <c r="Q84" s="2"/>
      <c r="R84" s="2"/>
      <c r="S84" s="9"/>
      <c r="T84" s="7" t="s">
        <v>304</v>
      </c>
      <c r="U84" s="7"/>
      <c r="V84" s="2"/>
      <c r="W84" s="2"/>
      <c r="X84" s="2"/>
    </row>
    <row r="85" spans="2:24" x14ac:dyDescent="0.2">
      <c r="B85" s="2"/>
      <c r="C85" s="2" t="s">
        <v>53</v>
      </c>
      <c r="D85" s="2" t="s">
        <v>51</v>
      </c>
      <c r="E85" s="2" t="str">
        <f t="shared" si="1"/>
        <v>Cu2O3-Cu2O</v>
      </c>
      <c r="F85" s="2">
        <v>-33.06</v>
      </c>
      <c r="G85" s="2">
        <v>-36.08</v>
      </c>
      <c r="H85" s="2">
        <v>-39.21</v>
      </c>
      <c r="I85" s="2" t="s">
        <v>326</v>
      </c>
      <c r="J85" s="2" t="s">
        <v>125</v>
      </c>
      <c r="K85" s="2">
        <v>562</v>
      </c>
      <c r="L85" s="2" t="s">
        <v>366</v>
      </c>
      <c r="M85" s="2"/>
      <c r="N85" s="2"/>
      <c r="O85" s="2"/>
      <c r="P85" s="2"/>
      <c r="Q85" s="2"/>
      <c r="R85" s="2"/>
      <c r="S85" s="9"/>
      <c r="T85" s="7" t="s">
        <v>304</v>
      </c>
      <c r="U85" s="7"/>
      <c r="V85" s="2"/>
      <c r="W85" s="2"/>
      <c r="X85" s="2"/>
    </row>
    <row r="86" spans="2:24" x14ac:dyDescent="0.2">
      <c r="B86" s="2"/>
      <c r="C86" s="2" t="s">
        <v>51</v>
      </c>
      <c r="D86" s="2" t="s">
        <v>52</v>
      </c>
      <c r="E86" s="2" t="str">
        <f t="shared" si="1"/>
        <v>Cu2O-Cu</v>
      </c>
      <c r="F86" s="2">
        <v>-14.28</v>
      </c>
      <c r="G86" s="2">
        <v>-17.3</v>
      </c>
      <c r="H86" s="2">
        <v>-20.43</v>
      </c>
      <c r="I86" s="2" t="s">
        <v>326</v>
      </c>
      <c r="J86" s="2" t="s">
        <v>129</v>
      </c>
      <c r="K86" s="2"/>
      <c r="L86" s="2"/>
      <c r="M86" s="2"/>
      <c r="N86" s="2"/>
      <c r="O86" s="2"/>
      <c r="P86" s="2"/>
      <c r="Q86" s="2"/>
      <c r="R86" s="2"/>
      <c r="S86" s="9"/>
      <c r="T86" s="7" t="s">
        <v>304</v>
      </c>
      <c r="U86" s="7"/>
      <c r="V86" s="2"/>
      <c r="W86" s="2"/>
      <c r="X86" s="2"/>
    </row>
    <row r="87" spans="2:24" x14ac:dyDescent="0.2">
      <c r="B87" s="2"/>
      <c r="C87" s="2" t="s">
        <v>53</v>
      </c>
      <c r="D87" s="2" t="s">
        <v>54</v>
      </c>
      <c r="E87" s="2" t="str">
        <f t="shared" si="1"/>
        <v>Cu2O3-CuO</v>
      </c>
      <c r="F87" s="2">
        <v>-49.95</v>
      </c>
      <c r="G87" s="2">
        <v>-52.97</v>
      </c>
      <c r="H87" s="2">
        <v>-56.1</v>
      </c>
      <c r="I87" s="2" t="s">
        <v>326</v>
      </c>
      <c r="J87" s="2" t="s">
        <v>127</v>
      </c>
      <c r="K87" s="2"/>
      <c r="L87" s="2"/>
      <c r="M87" s="2"/>
      <c r="N87" s="2"/>
      <c r="O87" s="2"/>
      <c r="P87" s="2"/>
      <c r="Q87" s="2"/>
      <c r="R87" s="2"/>
      <c r="S87" s="9"/>
      <c r="T87" s="7" t="s">
        <v>304</v>
      </c>
      <c r="U87" s="7"/>
      <c r="V87" s="2"/>
      <c r="W87" s="2"/>
      <c r="X87" s="2"/>
    </row>
    <row r="88" spans="2:24" x14ac:dyDescent="0.2">
      <c r="B88" s="2"/>
      <c r="C88" s="2" t="s">
        <v>54</v>
      </c>
      <c r="D88" s="2" t="s">
        <v>52</v>
      </c>
      <c r="E88" s="2" t="str">
        <f t="shared" si="1"/>
        <v>CuO-Cu</v>
      </c>
      <c r="F88" s="2">
        <v>-15.23</v>
      </c>
      <c r="G88" s="2">
        <v>-18.25</v>
      </c>
      <c r="H88" s="2">
        <v>-21.38</v>
      </c>
      <c r="I88" s="2" t="s">
        <v>326</v>
      </c>
      <c r="J88" s="2" t="s">
        <v>133</v>
      </c>
      <c r="K88" s="2">
        <v>290</v>
      </c>
      <c r="L88" s="9" t="s">
        <v>387</v>
      </c>
      <c r="M88" s="2"/>
      <c r="N88" s="2"/>
      <c r="O88" s="2"/>
      <c r="P88" s="2"/>
      <c r="Q88" s="2"/>
      <c r="R88" s="2"/>
      <c r="S88" s="9"/>
      <c r="T88" s="7" t="s">
        <v>304</v>
      </c>
      <c r="U88" s="7"/>
      <c r="V88" s="2"/>
      <c r="W88" s="2"/>
      <c r="X88" s="2"/>
    </row>
    <row r="89" spans="2:24" x14ac:dyDescent="0.2">
      <c r="B89" s="2"/>
      <c r="C89" s="2" t="s">
        <v>53</v>
      </c>
      <c r="D89" s="2" t="s">
        <v>52</v>
      </c>
      <c r="E89" s="2" t="str">
        <f t="shared" si="1"/>
        <v>Cu2O3-Cu</v>
      </c>
      <c r="F89" s="2">
        <v>-26.8</v>
      </c>
      <c r="G89" s="2">
        <v>-29.82</v>
      </c>
      <c r="H89" s="2">
        <v>-32.950000000000003</v>
      </c>
      <c r="I89" s="2" t="s">
        <v>326</v>
      </c>
      <c r="J89" s="15" t="s">
        <v>130</v>
      </c>
      <c r="K89" s="2">
        <v>830</v>
      </c>
      <c r="L89" s="9" t="s">
        <v>386</v>
      </c>
      <c r="M89" s="2"/>
      <c r="N89" s="2"/>
      <c r="O89" s="2"/>
      <c r="P89" s="2"/>
      <c r="Q89" s="2"/>
      <c r="R89" s="2"/>
      <c r="S89" s="9"/>
      <c r="T89" s="7" t="s">
        <v>304</v>
      </c>
      <c r="U89" s="7"/>
      <c r="V89" s="2"/>
      <c r="W89" s="2"/>
      <c r="X89" s="2"/>
    </row>
    <row r="90" spans="2:24" ht="25.5" x14ac:dyDescent="0.2">
      <c r="B90" s="2"/>
      <c r="C90" s="2" t="s">
        <v>55</v>
      </c>
      <c r="D90" s="2" t="s">
        <v>56</v>
      </c>
      <c r="E90" s="2" t="str">
        <f t="shared" si="1"/>
        <v>Dy2O3-Dy</v>
      </c>
      <c r="F90" s="2">
        <v>95.56</v>
      </c>
      <c r="G90" s="2">
        <v>92.54</v>
      </c>
      <c r="H90" s="2">
        <v>89.41</v>
      </c>
      <c r="I90" s="2" t="s">
        <v>326</v>
      </c>
      <c r="J90" s="15" t="s">
        <v>131</v>
      </c>
      <c r="K90" s="2">
        <v>897</v>
      </c>
      <c r="L90" s="9" t="s">
        <v>386</v>
      </c>
      <c r="M90" s="2">
        <v>200</v>
      </c>
      <c r="N90" s="2" t="s">
        <v>304</v>
      </c>
      <c r="O90" s="2" t="s">
        <v>304</v>
      </c>
      <c r="P90" s="2" t="s">
        <v>304</v>
      </c>
      <c r="Q90" s="2" t="s">
        <v>447</v>
      </c>
      <c r="R90" s="2" t="s">
        <v>304</v>
      </c>
      <c r="S90" s="14" t="s">
        <v>450</v>
      </c>
      <c r="T90" s="7" t="s">
        <v>304</v>
      </c>
      <c r="U90" s="7"/>
      <c r="V90" s="13" t="s">
        <v>339</v>
      </c>
      <c r="W90" s="13"/>
      <c r="X90" s="2">
        <v>3.76</v>
      </c>
    </row>
    <row r="91" spans="2:24" x14ac:dyDescent="0.2">
      <c r="B91" s="2"/>
      <c r="C91" s="2" t="s">
        <v>57</v>
      </c>
      <c r="D91" s="2" t="s">
        <v>58</v>
      </c>
      <c r="E91" s="2" t="str">
        <f t="shared" si="1"/>
        <v>Er2O3-Er</v>
      </c>
      <c r="F91" s="2">
        <v>97.36</v>
      </c>
      <c r="G91" s="2">
        <v>94.34</v>
      </c>
      <c r="H91" s="2">
        <v>91.21</v>
      </c>
      <c r="I91" s="2" t="s">
        <v>326</v>
      </c>
      <c r="J91" s="2" t="s">
        <v>136</v>
      </c>
      <c r="K91" s="2"/>
      <c r="L91" s="2"/>
      <c r="M91" s="2"/>
      <c r="N91" s="2"/>
      <c r="O91" s="2"/>
      <c r="P91" s="2"/>
      <c r="Q91" s="2"/>
      <c r="R91" s="2"/>
      <c r="S91" s="9"/>
      <c r="T91" s="7" t="s">
        <v>304</v>
      </c>
      <c r="U91" s="7"/>
      <c r="V91" s="2"/>
      <c r="W91" s="2"/>
      <c r="X91" s="2"/>
    </row>
    <row r="92" spans="2:24" x14ac:dyDescent="0.2">
      <c r="B92" s="2"/>
      <c r="C92" s="2" t="s">
        <v>59</v>
      </c>
      <c r="D92" s="2" t="s">
        <v>60</v>
      </c>
      <c r="E92" s="2" t="str">
        <f t="shared" si="1"/>
        <v>Eu2O3-EuO</v>
      </c>
      <c r="F92" s="2">
        <v>18.329999999999998</v>
      </c>
      <c r="G92" s="2">
        <v>15.31</v>
      </c>
      <c r="H92" s="2">
        <v>12.18</v>
      </c>
      <c r="I92" s="2" t="s">
        <v>327</v>
      </c>
      <c r="J92" s="2" t="s">
        <v>134</v>
      </c>
      <c r="K92" s="2">
        <v>750</v>
      </c>
      <c r="L92" s="9" t="s">
        <v>393</v>
      </c>
      <c r="M92" s="2"/>
      <c r="N92" s="2"/>
      <c r="O92" s="2"/>
      <c r="P92" s="2"/>
      <c r="Q92" s="2"/>
      <c r="R92" s="2"/>
      <c r="S92" s="9"/>
      <c r="T92" s="7" t="s">
        <v>304</v>
      </c>
      <c r="U92" s="7"/>
      <c r="V92" s="2"/>
      <c r="W92" s="2"/>
      <c r="X92" s="2"/>
    </row>
    <row r="93" spans="2:24" x14ac:dyDescent="0.2">
      <c r="B93" s="2"/>
      <c r="C93" s="2" t="s">
        <v>60</v>
      </c>
      <c r="D93" s="2" t="s">
        <v>61</v>
      </c>
      <c r="E93" s="2" t="str">
        <f t="shared" si="1"/>
        <v>EuO-Eu</v>
      </c>
      <c r="F93" s="2">
        <v>85.43</v>
      </c>
      <c r="G93" s="2">
        <v>82.41</v>
      </c>
      <c r="H93" s="2">
        <v>79.28</v>
      </c>
      <c r="I93" s="2" t="s">
        <v>326</v>
      </c>
      <c r="J93" s="2" t="s">
        <v>137</v>
      </c>
      <c r="K93" s="2"/>
      <c r="L93" s="2"/>
      <c r="M93" s="2"/>
      <c r="N93" s="2"/>
      <c r="O93" s="2"/>
      <c r="P93" s="2"/>
      <c r="Q93" s="2"/>
      <c r="R93" s="2"/>
      <c r="S93" s="9"/>
      <c r="T93" s="7" t="s">
        <v>304</v>
      </c>
      <c r="U93" s="7"/>
      <c r="V93" s="2"/>
      <c r="W93" s="2"/>
      <c r="X93" s="2"/>
    </row>
    <row r="94" spans="2:24" x14ac:dyDescent="0.2">
      <c r="B94" s="2"/>
      <c r="C94" s="2" t="s">
        <v>59</v>
      </c>
      <c r="D94" s="2" t="s">
        <v>61</v>
      </c>
      <c r="E94" s="2" t="str">
        <f t="shared" si="1"/>
        <v>Eu2O3-Eu</v>
      </c>
      <c r="F94" s="2">
        <v>63.06</v>
      </c>
      <c r="G94" s="2">
        <v>60.04</v>
      </c>
      <c r="H94" s="2">
        <v>56.91</v>
      </c>
      <c r="I94" s="2" t="s">
        <v>326</v>
      </c>
      <c r="J94" s="2" t="s">
        <v>139</v>
      </c>
      <c r="K94" s="2">
        <v>2183</v>
      </c>
      <c r="L94" s="9" t="s">
        <v>398</v>
      </c>
      <c r="M94" s="2"/>
      <c r="N94" s="2"/>
      <c r="O94" s="2"/>
      <c r="P94" s="2"/>
      <c r="Q94" s="2"/>
      <c r="R94" s="2"/>
      <c r="S94" s="9"/>
      <c r="T94" s="7" t="s">
        <v>304</v>
      </c>
      <c r="U94" s="7"/>
      <c r="V94" s="2"/>
      <c r="W94" s="2"/>
      <c r="X94" s="2"/>
    </row>
    <row r="95" spans="2:24" x14ac:dyDescent="0.2">
      <c r="B95" s="2"/>
      <c r="C95" s="2" t="s">
        <v>62</v>
      </c>
      <c r="D95" s="2" t="s">
        <v>63</v>
      </c>
      <c r="E95" s="2" t="str">
        <f t="shared" si="1"/>
        <v>Fe2O3-Fe3O4</v>
      </c>
      <c r="F95" s="2">
        <v>-0.82</v>
      </c>
      <c r="G95" s="2">
        <v>-3.84</v>
      </c>
      <c r="H95" s="2">
        <v>-6.97</v>
      </c>
      <c r="I95" s="2" t="s">
        <v>327</v>
      </c>
      <c r="J95" s="2" t="s">
        <v>143</v>
      </c>
      <c r="K95" s="2">
        <v>450</v>
      </c>
      <c r="L95" s="9" t="s">
        <v>394</v>
      </c>
      <c r="M95" s="2"/>
      <c r="N95" s="2"/>
      <c r="O95" s="2"/>
      <c r="P95" s="2"/>
      <c r="Q95" s="2"/>
      <c r="R95" s="2"/>
      <c r="S95" s="9"/>
      <c r="T95" s="7" t="s">
        <v>304</v>
      </c>
      <c r="U95" s="7"/>
      <c r="V95" s="2"/>
      <c r="W95" s="2"/>
      <c r="X95" s="2"/>
    </row>
    <row r="96" spans="2:24" x14ac:dyDescent="0.2">
      <c r="B96" s="2"/>
      <c r="C96" s="2" t="s">
        <v>62</v>
      </c>
      <c r="D96" s="2" t="s">
        <v>64</v>
      </c>
      <c r="E96" s="2" t="str">
        <f t="shared" si="1"/>
        <v>Fe2O3-FeO</v>
      </c>
      <c r="F96" s="2">
        <v>3.44</v>
      </c>
      <c r="G96" s="2">
        <v>0.42</v>
      </c>
      <c r="H96" s="2">
        <v>-2.71</v>
      </c>
      <c r="I96" s="2" t="s">
        <v>327</v>
      </c>
      <c r="J96" s="2" t="s">
        <v>141</v>
      </c>
      <c r="K96" s="2"/>
      <c r="L96" s="2"/>
      <c r="M96" s="2"/>
      <c r="N96" s="2"/>
      <c r="O96" s="2"/>
      <c r="P96" s="2"/>
      <c r="Q96" s="2"/>
      <c r="R96" s="2"/>
      <c r="S96" s="9"/>
      <c r="T96" s="7" t="s">
        <v>304</v>
      </c>
      <c r="U96" s="7"/>
      <c r="V96" s="2"/>
      <c r="W96" s="2"/>
      <c r="X96" s="2"/>
    </row>
    <row r="97" spans="2:24" x14ac:dyDescent="0.2">
      <c r="B97" s="2"/>
      <c r="C97" s="2" t="s">
        <v>62</v>
      </c>
      <c r="D97" s="2" t="s">
        <v>65</v>
      </c>
      <c r="E97" s="2" t="str">
        <f t="shared" si="1"/>
        <v>Fe2O3-Fe</v>
      </c>
      <c r="F97" s="2">
        <v>13.29</v>
      </c>
      <c r="G97" s="2">
        <v>10.27</v>
      </c>
      <c r="H97" s="2">
        <v>7.14</v>
      </c>
      <c r="I97" s="2" t="s">
        <v>327</v>
      </c>
      <c r="J97" s="2" t="s">
        <v>146</v>
      </c>
      <c r="K97" s="2">
        <v>2400</v>
      </c>
      <c r="L97" s="9" t="s">
        <v>395</v>
      </c>
      <c r="M97" s="2"/>
      <c r="N97" s="2"/>
      <c r="O97" s="2"/>
      <c r="P97" s="2"/>
      <c r="Q97" s="2"/>
      <c r="R97" s="2"/>
      <c r="S97" s="9"/>
      <c r="T97" s="7" t="s">
        <v>304</v>
      </c>
      <c r="U97" s="7"/>
      <c r="V97" s="2"/>
      <c r="W97" s="2"/>
      <c r="X97" s="2"/>
    </row>
    <row r="98" spans="2:24" x14ac:dyDescent="0.2">
      <c r="B98" s="2"/>
      <c r="C98" s="2" t="s">
        <v>63</v>
      </c>
      <c r="D98" s="2" t="s">
        <v>64</v>
      </c>
      <c r="E98" s="2" t="str">
        <f t="shared" si="1"/>
        <v>Fe3O4-FeO</v>
      </c>
      <c r="F98" s="2">
        <v>5.57</v>
      </c>
      <c r="G98" s="2">
        <v>2.5499999999999998</v>
      </c>
      <c r="H98" s="2">
        <v>-0.57999999999999996</v>
      </c>
      <c r="I98" s="2" t="s">
        <v>327</v>
      </c>
      <c r="J98" s="2" t="s">
        <v>144</v>
      </c>
      <c r="K98" s="2"/>
      <c r="L98" s="2"/>
      <c r="M98" s="2"/>
      <c r="N98" s="2"/>
      <c r="O98" s="2"/>
      <c r="P98" s="2"/>
      <c r="Q98" s="2"/>
      <c r="R98" s="2"/>
      <c r="S98" s="9"/>
      <c r="T98" s="7" t="s">
        <v>304</v>
      </c>
      <c r="U98" s="7"/>
      <c r="V98" s="2"/>
      <c r="W98" s="2"/>
      <c r="X98" s="2"/>
    </row>
    <row r="99" spans="2:24" ht="25.5" x14ac:dyDescent="0.2">
      <c r="B99" s="2"/>
      <c r="C99" s="2" t="s">
        <v>63</v>
      </c>
      <c r="D99" s="2" t="s">
        <v>65</v>
      </c>
      <c r="E99" s="2" t="str">
        <f t="shared" si="1"/>
        <v>Fe3O4-Fe</v>
      </c>
      <c r="F99" s="2">
        <v>15.06</v>
      </c>
      <c r="G99" s="2">
        <v>12.04</v>
      </c>
      <c r="H99" s="2">
        <v>8.91</v>
      </c>
      <c r="I99" s="2" t="s">
        <v>327</v>
      </c>
      <c r="J99" s="19" t="s">
        <v>150</v>
      </c>
      <c r="K99" s="20">
        <v>570</v>
      </c>
      <c r="L99" s="9" t="s">
        <v>359</v>
      </c>
      <c r="M99" s="2"/>
      <c r="N99" s="2"/>
      <c r="O99" s="2"/>
      <c r="P99" s="2"/>
      <c r="Q99" s="2"/>
      <c r="R99" s="2"/>
      <c r="S99" s="9"/>
      <c r="T99" s="7" t="s">
        <v>304</v>
      </c>
      <c r="U99" s="7"/>
      <c r="V99" s="2"/>
      <c r="W99" s="2"/>
      <c r="X99" s="2"/>
    </row>
    <row r="100" spans="2:24" x14ac:dyDescent="0.2">
      <c r="B100" s="2"/>
      <c r="C100" s="2" t="s">
        <v>64</v>
      </c>
      <c r="D100" s="2" t="s">
        <v>65</v>
      </c>
      <c r="E100" s="2" t="str">
        <f t="shared" si="1"/>
        <v>FeO-Fe</v>
      </c>
      <c r="F100" s="2">
        <v>18.22</v>
      </c>
      <c r="G100" s="2">
        <v>15.2</v>
      </c>
      <c r="H100" s="2">
        <v>12.07</v>
      </c>
      <c r="I100" s="2" t="s">
        <v>327</v>
      </c>
      <c r="J100" s="2" t="s">
        <v>151</v>
      </c>
      <c r="K100" s="2">
        <v>412</v>
      </c>
      <c r="L100" s="2" t="s">
        <v>401</v>
      </c>
      <c r="M100" s="2"/>
      <c r="N100" s="2"/>
      <c r="O100" s="2"/>
      <c r="P100" s="2"/>
      <c r="Q100" s="2"/>
      <c r="R100" s="2"/>
      <c r="S100" s="9"/>
      <c r="T100" s="7" t="s">
        <v>304</v>
      </c>
      <c r="U100" s="7"/>
      <c r="V100" s="2"/>
      <c r="W100" s="2"/>
      <c r="X100" s="2"/>
    </row>
    <row r="101" spans="2:24" x14ac:dyDescent="0.2">
      <c r="B101" s="2"/>
      <c r="C101" s="2" t="s">
        <v>66</v>
      </c>
      <c r="D101" s="2" t="s">
        <v>67</v>
      </c>
      <c r="E101" s="2" t="str">
        <f t="shared" si="1"/>
        <v>Ga2O3-Ga</v>
      </c>
      <c r="F101" s="2">
        <v>28.46</v>
      </c>
      <c r="G101" s="2">
        <v>25.44</v>
      </c>
      <c r="H101" s="2">
        <v>22.31</v>
      </c>
      <c r="I101" s="2" t="s">
        <v>326</v>
      </c>
      <c r="J101" s="19" t="s">
        <v>147</v>
      </c>
      <c r="K101" s="20">
        <v>400</v>
      </c>
      <c r="L101" s="9" t="s">
        <v>400</v>
      </c>
      <c r="M101" s="2"/>
      <c r="N101" s="2"/>
      <c r="O101" s="2"/>
      <c r="P101" s="2"/>
      <c r="Q101" s="2"/>
      <c r="R101" s="2"/>
      <c r="S101" s="9"/>
      <c r="T101" s="7">
        <v>1.8680874999999999</v>
      </c>
      <c r="U101" s="7"/>
      <c r="V101" s="2">
        <v>111</v>
      </c>
      <c r="W101" s="2"/>
      <c r="X101" s="2">
        <v>2.95</v>
      </c>
    </row>
    <row r="102" spans="2:24" x14ac:dyDescent="0.2">
      <c r="B102" s="2"/>
      <c r="C102" s="2" t="s">
        <v>68</v>
      </c>
      <c r="D102" s="2" t="s">
        <v>69</v>
      </c>
      <c r="E102" s="2" t="str">
        <f t="shared" si="1"/>
        <v>Gd2O3-Gd</v>
      </c>
      <c r="F102" s="2">
        <v>90.92</v>
      </c>
      <c r="G102" s="2">
        <v>87.9</v>
      </c>
      <c r="H102" s="2">
        <v>84.77</v>
      </c>
      <c r="I102" s="2" t="s">
        <v>326</v>
      </c>
      <c r="J102" s="2" t="s">
        <v>148</v>
      </c>
      <c r="K102" s="2"/>
      <c r="L102" s="2"/>
      <c r="M102" s="2"/>
      <c r="N102" s="2"/>
      <c r="O102" s="2"/>
      <c r="P102" s="2"/>
      <c r="Q102" s="2"/>
      <c r="R102" s="2"/>
      <c r="S102" s="9"/>
      <c r="T102" s="7" t="s">
        <v>304</v>
      </c>
      <c r="U102" s="7"/>
      <c r="V102" s="2"/>
      <c r="W102" s="2"/>
      <c r="X102" s="2"/>
    </row>
    <row r="103" spans="2:24" x14ac:dyDescent="0.2">
      <c r="B103" s="2"/>
      <c r="C103" s="2" t="s">
        <v>70</v>
      </c>
      <c r="D103" s="2" t="s">
        <v>71</v>
      </c>
      <c r="E103" s="2" t="str">
        <f t="shared" si="1"/>
        <v>GeO2-Ge</v>
      </c>
      <c r="F103" s="2">
        <v>13.23</v>
      </c>
      <c r="G103" s="2">
        <v>10.210000000000001</v>
      </c>
      <c r="H103" s="2">
        <v>7.08</v>
      </c>
      <c r="I103" s="2" t="s">
        <v>327</v>
      </c>
      <c r="J103" s="19" t="s">
        <v>152</v>
      </c>
      <c r="K103" s="20">
        <v>297</v>
      </c>
      <c r="L103" s="2" t="s">
        <v>366</v>
      </c>
      <c r="M103" s="2"/>
      <c r="N103" s="2"/>
      <c r="O103" s="2"/>
      <c r="P103" s="2"/>
      <c r="Q103" s="2"/>
      <c r="R103" s="2"/>
      <c r="S103" s="9"/>
      <c r="T103" s="7" t="s">
        <v>304</v>
      </c>
      <c r="U103" s="7"/>
      <c r="V103" s="2"/>
      <c r="W103" s="2"/>
      <c r="X103" s="2"/>
    </row>
    <row r="104" spans="2:24" x14ac:dyDescent="0.2">
      <c r="B104" s="2"/>
      <c r="C104" s="2" t="s">
        <v>72</v>
      </c>
      <c r="D104" s="2" t="s">
        <v>73</v>
      </c>
      <c r="E104" s="2" t="str">
        <f t="shared" si="1"/>
        <v>HfO2-Hf</v>
      </c>
      <c r="F104" s="2">
        <v>80.510000000000005</v>
      </c>
      <c r="G104" s="2">
        <v>77.489999999999995</v>
      </c>
      <c r="H104" s="2">
        <v>74.36</v>
      </c>
      <c r="I104" s="2" t="s">
        <v>326</v>
      </c>
      <c r="J104" s="19" t="s">
        <v>153</v>
      </c>
      <c r="K104" s="20">
        <v>400</v>
      </c>
      <c r="L104" s="9" t="s">
        <v>399</v>
      </c>
      <c r="M104" s="2"/>
      <c r="N104" s="2"/>
      <c r="O104" s="2"/>
      <c r="P104" s="2"/>
      <c r="Q104" s="2"/>
      <c r="R104" s="2"/>
      <c r="S104" s="9"/>
      <c r="T104" s="7" t="s">
        <v>304</v>
      </c>
      <c r="U104" s="7"/>
      <c r="V104" s="2"/>
      <c r="W104" s="2"/>
      <c r="X104" s="2"/>
    </row>
    <row r="105" spans="2:24" x14ac:dyDescent="0.2">
      <c r="B105" s="2"/>
      <c r="C105" s="2" t="s">
        <v>74</v>
      </c>
      <c r="D105" s="2" t="s">
        <v>75</v>
      </c>
      <c r="E105" s="2" t="str">
        <f t="shared" si="1"/>
        <v>HgO-Hg</v>
      </c>
      <c r="F105" s="2">
        <v>-29.37</v>
      </c>
      <c r="G105" s="2">
        <v>-32.39</v>
      </c>
      <c r="H105" s="2">
        <v>-35.520000000000003</v>
      </c>
      <c r="I105" s="2" t="s">
        <v>326</v>
      </c>
      <c r="J105" s="2" t="s">
        <v>155</v>
      </c>
      <c r="K105" s="2"/>
      <c r="L105" s="2"/>
      <c r="M105" s="2"/>
      <c r="N105" s="2"/>
      <c r="O105" s="2"/>
      <c r="P105" s="2"/>
      <c r="Q105" s="2"/>
      <c r="R105" s="2"/>
      <c r="S105" s="9"/>
      <c r="T105" s="7" t="s">
        <v>304</v>
      </c>
      <c r="U105" s="7"/>
      <c r="V105" s="2"/>
      <c r="W105" s="2"/>
      <c r="X105" s="2"/>
    </row>
    <row r="106" spans="2:24" x14ac:dyDescent="0.2">
      <c r="B106" s="2"/>
      <c r="C106" s="2" t="s">
        <v>76</v>
      </c>
      <c r="D106" s="2" t="s">
        <v>77</v>
      </c>
      <c r="E106" s="2" t="str">
        <f t="shared" si="1"/>
        <v>Ho2O3-Ho</v>
      </c>
      <c r="F106" s="2">
        <v>96.53</v>
      </c>
      <c r="G106" s="2">
        <v>93.51</v>
      </c>
      <c r="H106" s="2">
        <v>90.38</v>
      </c>
      <c r="I106" s="2" t="s">
        <v>326</v>
      </c>
      <c r="J106" s="2" t="s">
        <v>159</v>
      </c>
      <c r="K106" s="2">
        <v>25.4</v>
      </c>
      <c r="L106" s="2" t="s">
        <v>401</v>
      </c>
      <c r="M106" s="2"/>
      <c r="N106" s="2"/>
      <c r="O106" s="2"/>
      <c r="P106" s="2"/>
      <c r="Q106" s="2"/>
      <c r="R106" s="2"/>
      <c r="S106" s="9"/>
      <c r="T106" s="7" t="s">
        <v>304</v>
      </c>
      <c r="U106" s="7"/>
      <c r="V106" s="2"/>
      <c r="W106" s="2"/>
      <c r="X106" s="2"/>
    </row>
    <row r="107" spans="2:24" ht="25.5" x14ac:dyDescent="0.2">
      <c r="B107" s="2"/>
      <c r="C107" s="2" t="s">
        <v>78</v>
      </c>
      <c r="D107" s="2" t="s">
        <v>79</v>
      </c>
      <c r="E107" s="2" t="str">
        <f t="shared" si="1"/>
        <v>I2O5-I</v>
      </c>
      <c r="F107" s="2">
        <v>-34.29</v>
      </c>
      <c r="G107" s="2">
        <v>-37.31</v>
      </c>
      <c r="H107" s="2">
        <v>-40.44</v>
      </c>
      <c r="I107" s="2" t="s">
        <v>326</v>
      </c>
      <c r="J107" s="2" t="s">
        <v>157</v>
      </c>
      <c r="K107" s="2">
        <v>1200</v>
      </c>
      <c r="L107" s="10" t="s">
        <v>416</v>
      </c>
      <c r="M107" s="2"/>
      <c r="N107" s="2"/>
      <c r="O107" s="2"/>
      <c r="P107" s="2"/>
      <c r="Q107" s="2"/>
      <c r="R107" s="2"/>
      <c r="S107" s="9"/>
      <c r="T107" s="7" t="s">
        <v>304</v>
      </c>
      <c r="U107" s="7"/>
      <c r="V107" s="2"/>
      <c r="W107" s="2"/>
      <c r="X107" s="2"/>
    </row>
    <row r="108" spans="2:24" ht="38.25" x14ac:dyDescent="0.2">
      <c r="B108" s="2"/>
      <c r="C108" s="2" t="s">
        <v>80</v>
      </c>
      <c r="D108" s="2" t="s">
        <v>81</v>
      </c>
      <c r="E108" s="2" t="str">
        <f t="shared" si="1"/>
        <v>In2O3-In</v>
      </c>
      <c r="F108" s="2">
        <v>18.190000000000001</v>
      </c>
      <c r="G108" s="2">
        <v>15.17</v>
      </c>
      <c r="H108" s="2">
        <v>12.04</v>
      </c>
      <c r="I108" s="2" t="s">
        <v>327</v>
      </c>
      <c r="J108" s="19" t="s">
        <v>162</v>
      </c>
      <c r="K108" s="20">
        <v>380</v>
      </c>
      <c r="L108" s="10" t="s">
        <v>417</v>
      </c>
      <c r="M108" s="2"/>
      <c r="N108" s="2"/>
      <c r="O108" s="2"/>
      <c r="P108" s="2"/>
      <c r="Q108" s="2"/>
      <c r="R108" s="2"/>
      <c r="S108" s="9"/>
      <c r="T108" s="7" t="s">
        <v>304</v>
      </c>
      <c r="U108" s="7"/>
      <c r="V108" s="2"/>
      <c r="W108" s="2"/>
      <c r="X108" s="2"/>
    </row>
    <row r="109" spans="2:24" x14ac:dyDescent="0.2">
      <c r="B109" s="2"/>
      <c r="C109" s="2" t="s">
        <v>84</v>
      </c>
      <c r="D109" s="2" t="s">
        <v>82</v>
      </c>
      <c r="E109" s="2" t="str">
        <f t="shared" si="1"/>
        <v>IrO3-IrO2</v>
      </c>
      <c r="F109" s="2">
        <v>-54.54</v>
      </c>
      <c r="G109" s="2">
        <v>-57.56</v>
      </c>
      <c r="H109" s="2">
        <v>-60.69</v>
      </c>
      <c r="I109" s="2" t="s">
        <v>326</v>
      </c>
      <c r="J109" s="15" t="s">
        <v>163</v>
      </c>
      <c r="K109" s="2">
        <v>930</v>
      </c>
      <c r="L109" s="2" t="s">
        <v>635</v>
      </c>
      <c r="M109" s="2"/>
      <c r="N109" s="2"/>
      <c r="O109" s="2"/>
      <c r="P109" s="2"/>
      <c r="Q109" s="2"/>
      <c r="R109" s="2"/>
      <c r="S109" s="9"/>
      <c r="T109" s="7" t="s">
        <v>304</v>
      </c>
      <c r="U109" s="7"/>
      <c r="V109" s="2"/>
      <c r="W109" s="2"/>
      <c r="X109" s="2"/>
    </row>
    <row r="110" spans="2:24" x14ac:dyDescent="0.2">
      <c r="B110" s="2"/>
      <c r="C110" s="2" t="s">
        <v>82</v>
      </c>
      <c r="D110" s="2" t="s">
        <v>83</v>
      </c>
      <c r="E110" s="2" t="str">
        <f t="shared" si="1"/>
        <v>IrO2-Ir</v>
      </c>
      <c r="F110" s="2">
        <v>-15.61</v>
      </c>
      <c r="G110" s="2">
        <v>-18.63</v>
      </c>
      <c r="H110" s="2">
        <v>-21.76</v>
      </c>
      <c r="I110" s="2" t="s">
        <v>326</v>
      </c>
      <c r="J110" s="15" t="s">
        <v>160</v>
      </c>
      <c r="K110" s="2">
        <v>656</v>
      </c>
      <c r="L110" s="2" t="s">
        <v>360</v>
      </c>
      <c r="M110" s="2">
        <v>550</v>
      </c>
      <c r="N110" s="2" t="s">
        <v>304</v>
      </c>
      <c r="O110" s="2" t="s">
        <v>304</v>
      </c>
      <c r="P110" s="2" t="s">
        <v>304</v>
      </c>
      <c r="Q110" s="2" t="s">
        <v>345</v>
      </c>
      <c r="R110" s="2" t="s">
        <v>304</v>
      </c>
      <c r="S110" s="2" t="s">
        <v>451</v>
      </c>
      <c r="T110" s="7" t="s">
        <v>304</v>
      </c>
      <c r="U110" s="7"/>
      <c r="V110" s="2">
        <v>100</v>
      </c>
      <c r="W110" s="2"/>
      <c r="X110" s="2">
        <v>3.45</v>
      </c>
    </row>
    <row r="111" spans="2:24" x14ac:dyDescent="0.2">
      <c r="B111" s="2"/>
      <c r="C111" s="2" t="s">
        <v>84</v>
      </c>
      <c r="D111" s="2" t="s">
        <v>83</v>
      </c>
      <c r="E111" s="2" t="str">
        <f t="shared" si="1"/>
        <v>IrO3-Ir</v>
      </c>
      <c r="F111" s="2">
        <v>-28.59</v>
      </c>
      <c r="G111" s="2">
        <v>-31.61</v>
      </c>
      <c r="H111" s="2">
        <v>-34.74</v>
      </c>
      <c r="I111" s="2" t="s">
        <v>326</v>
      </c>
      <c r="J111" s="2" t="s">
        <v>164</v>
      </c>
      <c r="K111" s="2">
        <v>2485</v>
      </c>
      <c r="L111" s="2" t="s">
        <v>402</v>
      </c>
      <c r="M111" s="2"/>
      <c r="N111" s="2"/>
      <c r="O111" s="2"/>
      <c r="P111" s="2"/>
      <c r="Q111" s="2"/>
      <c r="R111" s="2"/>
      <c r="S111" s="9"/>
      <c r="T111" s="7">
        <v>4.1680875000000004</v>
      </c>
      <c r="U111" s="7"/>
      <c r="V111" s="2"/>
      <c r="W111" s="2"/>
      <c r="X111" s="2"/>
    </row>
    <row r="112" spans="2:24" x14ac:dyDescent="0.2">
      <c r="B112" s="2"/>
      <c r="C112" s="2" t="s">
        <v>88</v>
      </c>
      <c r="D112" s="2" t="s">
        <v>85</v>
      </c>
      <c r="E112" s="2" t="str">
        <f t="shared" si="1"/>
        <v>KO2-K2O</v>
      </c>
      <c r="F112" s="2">
        <v>-43.07</v>
      </c>
      <c r="G112" s="2">
        <v>-46.09</v>
      </c>
      <c r="H112" s="2">
        <v>-49.22</v>
      </c>
      <c r="I112" s="2" t="s">
        <v>326</v>
      </c>
      <c r="J112" s="2" t="s">
        <v>166</v>
      </c>
      <c r="K112" s="2"/>
      <c r="L112" s="2"/>
      <c r="M112" s="2"/>
      <c r="N112" s="2"/>
      <c r="O112" s="2"/>
      <c r="P112" s="2"/>
      <c r="Q112" s="2"/>
      <c r="R112" s="2"/>
      <c r="S112" s="9"/>
      <c r="T112" s="7" t="s">
        <v>304</v>
      </c>
      <c r="U112" s="7"/>
      <c r="V112" s="2"/>
      <c r="W112" s="2"/>
      <c r="X112" s="2"/>
    </row>
    <row r="113" spans="2:24" x14ac:dyDescent="0.2">
      <c r="B113" s="2"/>
      <c r="C113" s="2" t="s">
        <v>87</v>
      </c>
      <c r="D113" s="2" t="s">
        <v>85</v>
      </c>
      <c r="E113" s="2" t="str">
        <f t="shared" si="1"/>
        <v>K2O2-K2O</v>
      </c>
      <c r="F113" s="2">
        <v>-26.67</v>
      </c>
      <c r="G113" s="2">
        <v>-29.69</v>
      </c>
      <c r="H113" s="2">
        <v>-32.82</v>
      </c>
      <c r="I113" s="2" t="s">
        <v>326</v>
      </c>
      <c r="J113" s="2" t="s">
        <v>167</v>
      </c>
      <c r="K113" s="2" t="s">
        <v>403</v>
      </c>
      <c r="L113" s="2" t="s">
        <v>402</v>
      </c>
      <c r="M113" s="2"/>
      <c r="N113" s="2"/>
      <c r="O113" s="2"/>
      <c r="P113" s="2"/>
      <c r="Q113" s="2"/>
      <c r="R113" s="2"/>
      <c r="S113" s="9"/>
      <c r="T113" s="7" t="s">
        <v>304</v>
      </c>
      <c r="U113" s="7"/>
      <c r="V113" s="2"/>
      <c r="W113" s="2"/>
      <c r="X113" s="2"/>
    </row>
    <row r="114" spans="2:24" x14ac:dyDescent="0.2">
      <c r="B114" s="2"/>
      <c r="C114" s="2" t="s">
        <v>85</v>
      </c>
      <c r="D114" s="2" t="s">
        <v>86</v>
      </c>
      <c r="E114" s="2" t="str">
        <f t="shared" si="1"/>
        <v>K2O-K</v>
      </c>
      <c r="F114" s="2">
        <v>27.77</v>
      </c>
      <c r="G114" s="2">
        <v>24.75</v>
      </c>
      <c r="H114" s="2">
        <v>21.62</v>
      </c>
      <c r="I114" s="2" t="s">
        <v>326</v>
      </c>
      <c r="J114" s="2" t="s">
        <v>169</v>
      </c>
      <c r="K114" s="2">
        <v>1722</v>
      </c>
      <c r="L114" s="2" t="s">
        <v>366</v>
      </c>
      <c r="M114" s="2"/>
      <c r="N114" s="2"/>
      <c r="O114" s="2"/>
      <c r="P114" s="2"/>
      <c r="Q114" s="2"/>
      <c r="R114" s="2"/>
      <c r="S114" s="9"/>
      <c r="T114" s="7" t="s">
        <v>304</v>
      </c>
      <c r="U114" s="7"/>
      <c r="V114" s="2"/>
      <c r="W114" s="2"/>
      <c r="X114" s="2"/>
    </row>
    <row r="115" spans="2:24" x14ac:dyDescent="0.2">
      <c r="B115" s="2"/>
      <c r="C115" s="2" t="s">
        <v>88</v>
      </c>
      <c r="D115" s="2" t="s">
        <v>87</v>
      </c>
      <c r="E115" s="2" t="str">
        <f t="shared" si="1"/>
        <v>KO2-K2O2</v>
      </c>
      <c r="F115" s="2">
        <v>-51.28</v>
      </c>
      <c r="G115" s="2">
        <v>-54.3</v>
      </c>
      <c r="H115" s="2">
        <v>-57.43</v>
      </c>
      <c r="I115" s="2" t="s">
        <v>326</v>
      </c>
      <c r="J115" s="2" t="s">
        <v>171</v>
      </c>
      <c r="K115" s="2">
        <v>2269</v>
      </c>
      <c r="L115" s="2" t="s">
        <v>401</v>
      </c>
      <c r="M115" s="2"/>
      <c r="N115" s="2"/>
      <c r="O115" s="2"/>
      <c r="P115" s="2"/>
      <c r="Q115" s="2"/>
      <c r="R115" s="2"/>
      <c r="S115" s="9"/>
      <c r="T115" s="7" t="s">
        <v>304</v>
      </c>
      <c r="U115" s="7"/>
      <c r="V115" s="2"/>
      <c r="W115" s="2"/>
      <c r="X115" s="2"/>
    </row>
    <row r="116" spans="2:24" x14ac:dyDescent="0.2">
      <c r="B116" s="2"/>
      <c r="C116" s="2" t="s">
        <v>88</v>
      </c>
      <c r="D116" s="2" t="s">
        <v>86</v>
      </c>
      <c r="E116" s="2" t="str">
        <f t="shared" si="1"/>
        <v>KO2-K</v>
      </c>
      <c r="F116" s="2">
        <v>-25.36</v>
      </c>
      <c r="G116" s="2">
        <v>-28.38</v>
      </c>
      <c r="H116" s="2">
        <v>-31.51</v>
      </c>
      <c r="I116" s="2" t="s">
        <v>326</v>
      </c>
      <c r="J116" s="15" t="s">
        <v>173</v>
      </c>
      <c r="K116" s="2"/>
      <c r="L116" s="2"/>
      <c r="M116" s="2"/>
      <c r="N116" s="2"/>
      <c r="O116" s="2"/>
      <c r="P116" s="2"/>
      <c r="Q116" s="2"/>
      <c r="R116" s="2"/>
      <c r="S116" s="9"/>
      <c r="T116" s="7" t="s">
        <v>304</v>
      </c>
      <c r="U116" s="7"/>
      <c r="V116" s="2"/>
      <c r="W116" s="2"/>
      <c r="X116" s="2"/>
    </row>
    <row r="117" spans="2:24" x14ac:dyDescent="0.2">
      <c r="B117" s="2"/>
      <c r="C117" s="2" t="s">
        <v>87</v>
      </c>
      <c r="D117" s="2" t="s">
        <v>86</v>
      </c>
      <c r="E117" s="2" t="str">
        <f t="shared" si="1"/>
        <v>K2O2-K</v>
      </c>
      <c r="F117" s="2">
        <v>0.55000000000000004</v>
      </c>
      <c r="G117" s="2">
        <v>-2.4700000000000002</v>
      </c>
      <c r="H117" s="2">
        <v>-5.6</v>
      </c>
      <c r="I117" s="2" t="s">
        <v>327</v>
      </c>
      <c r="J117" s="15" t="s">
        <v>176</v>
      </c>
      <c r="K117" s="2">
        <v>1630</v>
      </c>
      <c r="L117" s="2" t="s">
        <v>412</v>
      </c>
      <c r="M117" s="2">
        <v>500</v>
      </c>
      <c r="N117" s="2" t="s">
        <v>304</v>
      </c>
      <c r="O117" s="2" t="s">
        <v>304</v>
      </c>
      <c r="P117" s="2" t="s">
        <v>304</v>
      </c>
      <c r="Q117" s="2" t="s">
        <v>452</v>
      </c>
      <c r="R117" s="2" t="s">
        <v>304</v>
      </c>
      <c r="S117" s="2" t="s">
        <v>453</v>
      </c>
      <c r="T117" s="7">
        <v>1.068087499999999</v>
      </c>
      <c r="U117" s="7"/>
      <c r="V117" s="2">
        <v>110</v>
      </c>
      <c r="W117" s="2"/>
      <c r="X117" s="2">
        <v>2.33</v>
      </c>
    </row>
    <row r="118" spans="2:24" x14ac:dyDescent="0.2">
      <c r="B118" s="2"/>
      <c r="C118" s="2" t="s">
        <v>89</v>
      </c>
      <c r="D118" s="2" t="s">
        <v>90</v>
      </c>
      <c r="E118" s="2" t="str">
        <f t="shared" si="1"/>
        <v>La2O3-La</v>
      </c>
      <c r="F118" s="2">
        <v>90.14</v>
      </c>
      <c r="G118" s="2">
        <v>87.12</v>
      </c>
      <c r="H118" s="2">
        <v>83.99</v>
      </c>
      <c r="I118" s="2" t="s">
        <v>326</v>
      </c>
      <c r="J118" s="15" t="s">
        <v>174</v>
      </c>
      <c r="K118" s="2">
        <v>1080</v>
      </c>
      <c r="L118" s="2" t="s">
        <v>411</v>
      </c>
      <c r="M118" s="2"/>
      <c r="N118" s="2"/>
      <c r="O118" s="2"/>
      <c r="P118" s="2"/>
      <c r="Q118" s="2"/>
      <c r="R118" s="2"/>
      <c r="S118" s="14"/>
      <c r="T118" s="7">
        <v>1.4680874999999991</v>
      </c>
      <c r="U118" s="7"/>
      <c r="V118" s="2"/>
      <c r="W118" s="2"/>
      <c r="X118" s="2"/>
    </row>
    <row r="119" spans="2:24" x14ac:dyDescent="0.2">
      <c r="B119" s="2"/>
      <c r="C119" s="2" t="s">
        <v>93</v>
      </c>
      <c r="D119" s="2" t="s">
        <v>91</v>
      </c>
      <c r="E119" s="2" t="str">
        <f t="shared" si="1"/>
        <v>Li2O2-Li2O</v>
      </c>
      <c r="F119" s="2">
        <v>-50.26</v>
      </c>
      <c r="G119" s="2">
        <v>-53.28</v>
      </c>
      <c r="H119" s="2">
        <v>-56.41</v>
      </c>
      <c r="I119" s="2" t="s">
        <v>326</v>
      </c>
      <c r="J119" s="19" t="s">
        <v>179</v>
      </c>
      <c r="K119" s="20">
        <v>215</v>
      </c>
      <c r="L119" s="2" t="s">
        <v>407</v>
      </c>
      <c r="M119" s="2"/>
      <c r="N119" s="2"/>
      <c r="O119" s="2"/>
      <c r="P119" s="2"/>
      <c r="Q119" s="2"/>
      <c r="R119" s="2"/>
      <c r="S119" s="9"/>
      <c r="T119" s="7" t="s">
        <v>304</v>
      </c>
      <c r="U119" s="7"/>
      <c r="V119" s="2"/>
      <c r="W119" s="2"/>
      <c r="X119" s="2"/>
    </row>
    <row r="120" spans="2:24" x14ac:dyDescent="0.2">
      <c r="B120" s="2"/>
      <c r="C120" s="2" t="s">
        <v>93</v>
      </c>
      <c r="D120" s="2" t="s">
        <v>92</v>
      </c>
      <c r="E120" s="2" t="str">
        <f t="shared" si="1"/>
        <v>Li2O2-Li</v>
      </c>
      <c r="F120" s="2">
        <v>16.920000000000002</v>
      </c>
      <c r="G120" s="2">
        <v>13.9</v>
      </c>
      <c r="H120" s="2">
        <v>10.77</v>
      </c>
      <c r="I120" s="2" t="s">
        <v>327</v>
      </c>
      <c r="J120" s="2" t="s">
        <v>177</v>
      </c>
      <c r="K120" s="2">
        <v>2531</v>
      </c>
      <c r="L120" s="2" t="s">
        <v>366</v>
      </c>
      <c r="M120" s="2"/>
      <c r="N120" s="2"/>
      <c r="O120" s="2"/>
      <c r="P120" s="2"/>
      <c r="Q120" s="2"/>
      <c r="R120" s="2"/>
      <c r="S120" s="9"/>
      <c r="T120" s="7">
        <v>3.4680874999999989</v>
      </c>
      <c r="U120" s="7"/>
      <c r="V120" s="2">
        <v>100</v>
      </c>
      <c r="W120" s="2"/>
      <c r="X120" s="2">
        <v>5.6</v>
      </c>
    </row>
    <row r="121" spans="2:24" x14ac:dyDescent="0.2">
      <c r="B121" s="2"/>
      <c r="C121" s="2" t="s">
        <v>91</v>
      </c>
      <c r="D121" s="2" t="s">
        <v>92</v>
      </c>
      <c r="E121" s="2" t="str">
        <f t="shared" si="1"/>
        <v>Li2O-Li</v>
      </c>
      <c r="F121" s="2">
        <v>84.1</v>
      </c>
      <c r="G121" s="2">
        <v>81.08</v>
      </c>
      <c r="H121" s="2">
        <v>77.95</v>
      </c>
      <c r="I121" s="2" t="s">
        <v>326</v>
      </c>
      <c r="J121" s="2" t="s">
        <v>180</v>
      </c>
      <c r="K121" s="2">
        <v>1784</v>
      </c>
      <c r="L121" s="9" t="s">
        <v>366</v>
      </c>
      <c r="M121" s="2"/>
      <c r="N121" s="2"/>
      <c r="O121" s="2"/>
      <c r="P121" s="2"/>
      <c r="Q121" s="2"/>
      <c r="R121" s="2"/>
      <c r="S121" s="9"/>
      <c r="T121" s="7" t="s">
        <v>304</v>
      </c>
      <c r="U121" s="7"/>
      <c r="V121" s="2"/>
      <c r="W121" s="2"/>
      <c r="X121" s="2"/>
    </row>
    <row r="122" spans="2:24" x14ac:dyDescent="0.2">
      <c r="B122" s="2"/>
      <c r="C122" s="2" t="s">
        <v>94</v>
      </c>
      <c r="D122" s="2" t="s">
        <v>95</v>
      </c>
      <c r="E122" s="2" t="str">
        <f t="shared" si="1"/>
        <v>Lu2O3-Lu</v>
      </c>
      <c r="F122" s="2">
        <v>99.86</v>
      </c>
      <c r="G122" s="2">
        <v>96.84</v>
      </c>
      <c r="H122" s="2">
        <v>93.7</v>
      </c>
      <c r="I122" s="2" t="s">
        <v>326</v>
      </c>
      <c r="J122" s="2" t="s">
        <v>182</v>
      </c>
      <c r="K122" s="2">
        <v>2303</v>
      </c>
      <c r="L122" s="9" t="s">
        <v>409</v>
      </c>
      <c r="M122" s="2"/>
      <c r="N122" s="2"/>
      <c r="O122" s="2"/>
      <c r="P122" s="2"/>
      <c r="Q122" s="2"/>
      <c r="R122" s="2"/>
      <c r="S122" s="9"/>
      <c r="T122" s="7" t="s">
        <v>304</v>
      </c>
      <c r="U122" s="7"/>
      <c r="V122" s="2"/>
      <c r="W122" s="2"/>
      <c r="X122" s="2"/>
    </row>
    <row r="123" spans="2:24" x14ac:dyDescent="0.2">
      <c r="B123" s="2"/>
      <c r="C123" s="2" t="s">
        <v>96</v>
      </c>
      <c r="D123" s="2" t="s">
        <v>97</v>
      </c>
      <c r="E123" s="2" t="str">
        <f t="shared" si="1"/>
        <v>MgO-Mg</v>
      </c>
      <c r="F123" s="2">
        <v>82.17</v>
      </c>
      <c r="G123" s="2">
        <v>79.150000000000006</v>
      </c>
      <c r="H123" s="2">
        <v>76.02</v>
      </c>
      <c r="I123" s="2" t="s">
        <v>326</v>
      </c>
      <c r="J123" s="21" t="s">
        <v>184</v>
      </c>
      <c r="K123" s="2">
        <v>119.5</v>
      </c>
      <c r="L123" s="2"/>
      <c r="M123" s="2"/>
      <c r="N123" s="2"/>
      <c r="O123" s="2"/>
      <c r="P123" s="2"/>
      <c r="Q123" s="2"/>
      <c r="R123" s="2"/>
      <c r="S123" s="9"/>
      <c r="T123" s="7" t="s">
        <v>304</v>
      </c>
      <c r="U123" s="7"/>
      <c r="V123" s="2"/>
      <c r="W123" s="2"/>
      <c r="X123" s="2"/>
    </row>
    <row r="124" spans="2:24" x14ac:dyDescent="0.2">
      <c r="B124" s="2"/>
      <c r="C124" s="2" t="s">
        <v>102</v>
      </c>
      <c r="D124" s="2" t="s">
        <v>99</v>
      </c>
      <c r="E124" s="2" t="str">
        <f t="shared" si="1"/>
        <v>MnO2-Mn3O4</v>
      </c>
      <c r="F124" s="2">
        <v>-37.869999999999997</v>
      </c>
      <c r="G124" s="2">
        <v>-40.89</v>
      </c>
      <c r="H124" s="2">
        <v>-44.02</v>
      </c>
      <c r="I124" s="2" t="s">
        <v>326</v>
      </c>
      <c r="J124" s="21" t="s">
        <v>185</v>
      </c>
      <c r="K124" s="2"/>
      <c r="L124" s="2"/>
      <c r="M124" s="2"/>
      <c r="N124" s="2"/>
      <c r="O124" s="2"/>
      <c r="P124" s="2"/>
      <c r="Q124" s="2"/>
      <c r="R124" s="2"/>
      <c r="S124" s="9"/>
      <c r="T124" s="7" t="s">
        <v>304</v>
      </c>
      <c r="U124" s="7"/>
      <c r="V124" s="2"/>
      <c r="W124" s="2"/>
      <c r="X124" s="2"/>
    </row>
    <row r="125" spans="2:24" x14ac:dyDescent="0.2">
      <c r="B125" s="2"/>
      <c r="C125" s="2" t="s">
        <v>99</v>
      </c>
      <c r="D125" s="2" t="s">
        <v>100</v>
      </c>
      <c r="E125" s="2" t="str">
        <f t="shared" si="1"/>
        <v>Mn3O4-MnO</v>
      </c>
      <c r="F125" s="2">
        <v>-2.9</v>
      </c>
      <c r="G125" s="2">
        <v>-5.92</v>
      </c>
      <c r="H125" s="2">
        <v>-9.0500000000000007</v>
      </c>
      <c r="I125" s="2" t="s">
        <v>327</v>
      </c>
      <c r="J125" s="2" t="s">
        <v>187</v>
      </c>
      <c r="K125" s="2"/>
      <c r="L125" s="2"/>
      <c r="M125" s="2"/>
      <c r="N125" s="2"/>
      <c r="O125" s="2"/>
      <c r="P125" s="2"/>
      <c r="Q125" s="2"/>
      <c r="R125" s="2"/>
      <c r="S125" s="9"/>
      <c r="T125" s="7" t="s">
        <v>304</v>
      </c>
      <c r="U125" s="7"/>
      <c r="V125" s="2"/>
      <c r="W125" s="2"/>
      <c r="X125" s="2"/>
    </row>
    <row r="126" spans="2:24" x14ac:dyDescent="0.2">
      <c r="B126" s="2"/>
      <c r="C126" s="2" t="s">
        <v>98</v>
      </c>
      <c r="D126" s="2" t="s">
        <v>99</v>
      </c>
      <c r="E126" s="2" t="str">
        <f t="shared" si="1"/>
        <v>Mn2O3-Mn3O4</v>
      </c>
      <c r="F126" s="2">
        <v>-23.86</v>
      </c>
      <c r="G126" s="2">
        <v>-26.88</v>
      </c>
      <c r="H126" s="2">
        <v>-30.01</v>
      </c>
      <c r="I126" s="2" t="s">
        <v>326</v>
      </c>
      <c r="J126" s="2" t="s">
        <v>190</v>
      </c>
      <c r="K126" s="2">
        <v>430</v>
      </c>
      <c r="L126" s="2" t="s">
        <v>408</v>
      </c>
      <c r="M126" s="2"/>
      <c r="N126" s="2"/>
      <c r="O126" s="2"/>
      <c r="P126" s="2"/>
      <c r="Q126" s="2"/>
      <c r="R126" s="2"/>
      <c r="S126" s="9"/>
      <c r="T126" s="7" t="s">
        <v>304</v>
      </c>
      <c r="U126" s="7"/>
      <c r="V126" s="2"/>
      <c r="W126" s="2"/>
      <c r="X126" s="2"/>
    </row>
    <row r="127" spans="2:24" x14ac:dyDescent="0.2">
      <c r="B127" s="2"/>
      <c r="C127" s="2" t="s">
        <v>99</v>
      </c>
      <c r="D127" s="2" t="s">
        <v>101</v>
      </c>
      <c r="E127" s="2" t="str">
        <f t="shared" si="1"/>
        <v>Mn3O4-Mn</v>
      </c>
      <c r="F127" s="2">
        <v>24.07</v>
      </c>
      <c r="G127" s="2">
        <v>21.05</v>
      </c>
      <c r="H127" s="2">
        <v>17.920000000000002</v>
      </c>
      <c r="I127" s="2" t="s">
        <v>326</v>
      </c>
      <c r="J127" s="15" t="s">
        <v>188</v>
      </c>
      <c r="K127" s="2">
        <v>733</v>
      </c>
      <c r="L127" s="2" t="s">
        <v>408</v>
      </c>
      <c r="M127" s="2"/>
      <c r="N127" s="2"/>
      <c r="O127" s="2"/>
      <c r="P127" s="2"/>
      <c r="Q127" s="2"/>
      <c r="R127" s="2"/>
      <c r="S127" s="9"/>
      <c r="T127" s="7" t="s">
        <v>304</v>
      </c>
      <c r="U127" s="7"/>
      <c r="V127" s="2"/>
      <c r="W127" s="2"/>
      <c r="X127" s="2"/>
    </row>
    <row r="128" spans="2:24" x14ac:dyDescent="0.2">
      <c r="B128" s="2"/>
      <c r="C128" s="2" t="s">
        <v>102</v>
      </c>
      <c r="D128" s="2" t="s">
        <v>100</v>
      </c>
      <c r="E128" s="2" t="str">
        <f t="shared" si="1"/>
        <v>MnO2-MnO</v>
      </c>
      <c r="F128" s="2">
        <v>-26.22</v>
      </c>
      <c r="G128" s="2">
        <v>-29.24</v>
      </c>
      <c r="H128" s="2">
        <v>-32.369999999999997</v>
      </c>
      <c r="I128" s="2" t="s">
        <v>326</v>
      </c>
      <c r="J128" s="2" t="s">
        <v>191</v>
      </c>
      <c r="K128" s="2">
        <v>3390</v>
      </c>
      <c r="L128" s="2" t="s">
        <v>410</v>
      </c>
      <c r="M128" s="2"/>
      <c r="N128" s="2"/>
      <c r="O128" s="2"/>
      <c r="P128" s="2"/>
      <c r="Q128" s="2"/>
      <c r="R128" s="2"/>
      <c r="S128" s="9"/>
      <c r="T128" s="7" t="s">
        <v>304</v>
      </c>
      <c r="U128" s="7"/>
      <c r="V128" s="2"/>
      <c r="W128" s="2"/>
      <c r="X128" s="2"/>
    </row>
    <row r="129" spans="2:24" x14ac:dyDescent="0.2">
      <c r="B129" s="2"/>
      <c r="C129" s="2" t="s">
        <v>102</v>
      </c>
      <c r="D129" s="2" t="s">
        <v>98</v>
      </c>
      <c r="E129" s="2" t="str">
        <f t="shared" si="1"/>
        <v>MnO2-Mn2O3</v>
      </c>
      <c r="F129" s="2">
        <v>-42.54</v>
      </c>
      <c r="G129" s="2">
        <v>-45.56</v>
      </c>
      <c r="H129" s="2">
        <v>-48.69</v>
      </c>
      <c r="I129" s="2" t="s">
        <v>326</v>
      </c>
      <c r="J129" s="2" t="s">
        <v>200</v>
      </c>
      <c r="K129" s="2">
        <v>1843</v>
      </c>
      <c r="L129" s="2" t="s">
        <v>412</v>
      </c>
      <c r="M129" s="2"/>
      <c r="N129" s="2"/>
      <c r="O129" s="2"/>
      <c r="P129" s="2"/>
      <c r="Q129" s="2"/>
      <c r="R129" s="2"/>
      <c r="S129" s="9"/>
      <c r="T129" s="7">
        <v>2.8680875000000001</v>
      </c>
      <c r="U129" s="7"/>
      <c r="V129" s="2" t="s">
        <v>340</v>
      </c>
      <c r="W129" s="2"/>
      <c r="X129" s="2" t="s">
        <v>341</v>
      </c>
    </row>
    <row r="130" spans="2:24" x14ac:dyDescent="0.2">
      <c r="B130" s="2"/>
      <c r="C130" s="2" t="s">
        <v>102</v>
      </c>
      <c r="D130" s="2" t="s">
        <v>101</v>
      </c>
      <c r="E130" s="2" t="str">
        <f t="shared" ref="E130:E193" si="2">C130 &amp; "-" &amp; D130</f>
        <v>MnO2-Mn</v>
      </c>
      <c r="F130" s="2">
        <v>3.42</v>
      </c>
      <c r="G130" s="2">
        <v>0.4</v>
      </c>
      <c r="H130" s="2">
        <v>-2.73</v>
      </c>
      <c r="I130" s="2" t="s">
        <v>327</v>
      </c>
      <c r="J130" s="2" t="s">
        <v>198</v>
      </c>
      <c r="K130" s="2">
        <v>1750</v>
      </c>
      <c r="L130" s="2" t="s">
        <v>412</v>
      </c>
      <c r="M130" s="2"/>
      <c r="N130" s="2"/>
      <c r="O130" s="2"/>
      <c r="P130" s="2"/>
      <c r="Q130" s="2"/>
      <c r="R130" s="2"/>
      <c r="S130" s="9"/>
      <c r="T130" s="7" t="s">
        <v>304</v>
      </c>
      <c r="U130" s="7"/>
      <c r="V130" s="2"/>
      <c r="W130" s="2"/>
      <c r="X130" s="2"/>
    </row>
    <row r="131" spans="2:24" x14ac:dyDescent="0.2">
      <c r="B131" s="2"/>
      <c r="C131" s="2" t="s">
        <v>98</v>
      </c>
      <c r="D131" s="2" t="s">
        <v>100</v>
      </c>
      <c r="E131" s="2" t="str">
        <f t="shared" si="2"/>
        <v>Mn2O3-MnO</v>
      </c>
      <c r="F131" s="2">
        <v>-9.89</v>
      </c>
      <c r="G131" s="2">
        <v>-12.91</v>
      </c>
      <c r="H131" s="2">
        <v>-16.04</v>
      </c>
      <c r="I131" s="2" t="s">
        <v>326</v>
      </c>
      <c r="J131" s="2" t="s">
        <v>193</v>
      </c>
      <c r="K131" s="2"/>
      <c r="L131" s="2"/>
      <c r="M131" s="2"/>
      <c r="N131" s="2"/>
      <c r="O131" s="2"/>
      <c r="P131" s="2"/>
      <c r="Q131" s="2"/>
      <c r="R131" s="2"/>
      <c r="S131" s="9"/>
      <c r="T131" s="7" t="s">
        <v>304</v>
      </c>
      <c r="U131" s="7"/>
      <c r="V131" s="2"/>
      <c r="W131" s="2"/>
      <c r="X131" s="2"/>
    </row>
    <row r="132" spans="2:24" x14ac:dyDescent="0.2">
      <c r="B132" s="2"/>
      <c r="C132" s="2" t="s">
        <v>100</v>
      </c>
      <c r="D132" s="2" t="s">
        <v>101</v>
      </c>
      <c r="E132" s="2" t="str">
        <f t="shared" si="2"/>
        <v>MnO-Mn</v>
      </c>
      <c r="F132" s="2">
        <v>33.06</v>
      </c>
      <c r="G132" s="2">
        <v>30.04</v>
      </c>
      <c r="H132" s="2">
        <v>26.91</v>
      </c>
      <c r="I132" s="2" t="s">
        <v>326</v>
      </c>
      <c r="J132" s="2" t="s">
        <v>195</v>
      </c>
      <c r="K132" s="2"/>
      <c r="L132" s="2"/>
      <c r="M132" s="2"/>
      <c r="N132" s="2"/>
      <c r="O132" s="2"/>
      <c r="P132" s="2"/>
      <c r="Q132" s="2"/>
      <c r="R132" s="2"/>
      <c r="S132" s="9"/>
      <c r="T132" s="7" t="s">
        <v>304</v>
      </c>
      <c r="U132" s="7"/>
      <c r="V132" s="2"/>
      <c r="W132" s="2"/>
      <c r="X132" s="2"/>
    </row>
    <row r="133" spans="2:24" x14ac:dyDescent="0.2">
      <c r="B133" s="2"/>
      <c r="C133" s="2" t="s">
        <v>98</v>
      </c>
      <c r="D133" s="2" t="s">
        <v>101</v>
      </c>
      <c r="E133" s="2" t="str">
        <f t="shared" si="2"/>
        <v>Mn2O3-Mn</v>
      </c>
      <c r="F133" s="2">
        <v>18.75</v>
      </c>
      <c r="G133" s="2">
        <v>15.73</v>
      </c>
      <c r="H133" s="2">
        <v>12.6</v>
      </c>
      <c r="I133" s="2" t="s">
        <v>327</v>
      </c>
      <c r="J133" s="2" t="s">
        <v>199</v>
      </c>
      <c r="K133" s="2">
        <v>1777</v>
      </c>
      <c r="L133" s="2" t="s">
        <v>412</v>
      </c>
      <c r="M133" s="2"/>
      <c r="N133" s="2"/>
      <c r="O133" s="2"/>
      <c r="P133" s="2"/>
      <c r="Q133" s="2"/>
      <c r="R133" s="2"/>
      <c r="S133" s="9"/>
      <c r="T133" s="7" t="s">
        <v>304</v>
      </c>
      <c r="U133" s="7"/>
      <c r="V133" s="2"/>
      <c r="W133" s="2"/>
      <c r="X133" s="2"/>
    </row>
    <row r="134" spans="2:24" x14ac:dyDescent="0.2">
      <c r="B134" s="2"/>
      <c r="C134" s="2" t="s">
        <v>103</v>
      </c>
      <c r="D134" s="2" t="s">
        <v>104</v>
      </c>
      <c r="E134" s="2" t="str">
        <f t="shared" si="2"/>
        <v>Mo8O23-MoO2</v>
      </c>
      <c r="F134" s="2">
        <v>-20.96</v>
      </c>
      <c r="G134" s="2">
        <v>-23.98</v>
      </c>
      <c r="H134" s="2">
        <v>-27.11</v>
      </c>
      <c r="I134" s="2" t="s">
        <v>326</v>
      </c>
      <c r="J134" s="2" t="s">
        <v>197</v>
      </c>
      <c r="K134" s="2">
        <v>1842</v>
      </c>
      <c r="L134" s="2" t="s">
        <v>412</v>
      </c>
      <c r="M134" s="2"/>
      <c r="N134" s="2"/>
      <c r="O134" s="2"/>
      <c r="P134" s="2"/>
      <c r="Q134" s="2"/>
      <c r="R134" s="2"/>
      <c r="S134" s="9"/>
      <c r="T134" s="7" t="s">
        <v>304</v>
      </c>
      <c r="U134" s="7"/>
      <c r="V134" s="2"/>
      <c r="W134" s="2"/>
      <c r="X134" s="2"/>
    </row>
    <row r="135" spans="2:24" x14ac:dyDescent="0.2">
      <c r="B135" s="2"/>
      <c r="C135" s="2" t="s">
        <v>106</v>
      </c>
      <c r="D135" s="2" t="s">
        <v>103</v>
      </c>
      <c r="E135" s="2" t="str">
        <f t="shared" si="2"/>
        <v>MoO3-Mo8O23</v>
      </c>
      <c r="F135" s="2">
        <v>-25.67</v>
      </c>
      <c r="G135" s="2">
        <v>-28.69</v>
      </c>
      <c r="H135" s="2">
        <v>-31.82</v>
      </c>
      <c r="I135" s="2" t="s">
        <v>326</v>
      </c>
      <c r="J135" s="2" t="s">
        <v>194</v>
      </c>
      <c r="K135" s="2"/>
      <c r="L135" s="2"/>
      <c r="M135" s="2"/>
      <c r="N135" s="2"/>
      <c r="O135" s="2"/>
      <c r="P135" s="2"/>
      <c r="Q135" s="2"/>
      <c r="R135" s="2"/>
      <c r="S135" s="9"/>
      <c r="T135" s="7" t="s">
        <v>304</v>
      </c>
      <c r="U135" s="7"/>
      <c r="V135" s="2"/>
      <c r="W135" s="2"/>
      <c r="X135" s="2"/>
    </row>
    <row r="136" spans="2:24" x14ac:dyDescent="0.2">
      <c r="B136" s="2"/>
      <c r="C136" s="2" t="s">
        <v>103</v>
      </c>
      <c r="D136" s="2" t="s">
        <v>105</v>
      </c>
      <c r="E136" s="2" t="str">
        <f t="shared" si="2"/>
        <v>Mo8O23-Mo</v>
      </c>
      <c r="F136" s="2">
        <v>4.18</v>
      </c>
      <c r="G136" s="2">
        <v>1.1599999999999999</v>
      </c>
      <c r="H136" s="2">
        <v>-1.97</v>
      </c>
      <c r="I136" s="2" t="s">
        <v>327</v>
      </c>
      <c r="J136" s="2" t="s">
        <v>204</v>
      </c>
      <c r="K136" s="2"/>
      <c r="L136" s="2"/>
      <c r="M136" s="2"/>
      <c r="N136" s="2"/>
      <c r="O136" s="2"/>
      <c r="P136" s="2"/>
      <c r="Q136" s="2"/>
      <c r="R136" s="2"/>
      <c r="S136" s="9"/>
      <c r="T136" s="7" t="s">
        <v>304</v>
      </c>
      <c r="U136" s="7"/>
      <c r="V136" s="2"/>
      <c r="W136" s="2"/>
      <c r="X136" s="2"/>
    </row>
    <row r="137" spans="2:24" x14ac:dyDescent="0.2">
      <c r="B137" s="2"/>
      <c r="C137" s="2" t="s">
        <v>106</v>
      </c>
      <c r="D137" s="2" t="s">
        <v>104</v>
      </c>
      <c r="E137" s="2" t="str">
        <f t="shared" si="2"/>
        <v>MoO3-MoO2</v>
      </c>
      <c r="F137" s="2">
        <v>-21.55</v>
      </c>
      <c r="G137" s="2">
        <v>-24.57</v>
      </c>
      <c r="H137" s="2">
        <v>-27.7</v>
      </c>
      <c r="I137" s="2" t="s">
        <v>326</v>
      </c>
      <c r="J137" s="2" t="s">
        <v>203</v>
      </c>
      <c r="K137" s="2">
        <v>834</v>
      </c>
      <c r="L137" s="9" t="s">
        <v>366</v>
      </c>
      <c r="M137" s="2"/>
      <c r="N137" s="2"/>
      <c r="O137" s="2"/>
      <c r="P137" s="2"/>
      <c r="Q137" s="2"/>
      <c r="R137" s="2"/>
      <c r="S137" s="9"/>
      <c r="T137" s="7" t="s">
        <v>304</v>
      </c>
      <c r="U137" s="7"/>
      <c r="V137" s="2"/>
      <c r="W137" s="2"/>
      <c r="X137" s="2"/>
    </row>
    <row r="138" spans="2:24" x14ac:dyDescent="0.2">
      <c r="B138" s="2"/>
      <c r="C138" s="2" t="s">
        <v>104</v>
      </c>
      <c r="D138" s="2" t="s">
        <v>105</v>
      </c>
      <c r="E138" s="2" t="str">
        <f t="shared" si="2"/>
        <v>MoO2-Mo</v>
      </c>
      <c r="F138" s="2">
        <v>15.18</v>
      </c>
      <c r="G138" s="2">
        <v>12.16</v>
      </c>
      <c r="H138" s="2">
        <v>9.0299999999999994</v>
      </c>
      <c r="I138" s="2" t="s">
        <v>327</v>
      </c>
      <c r="J138" s="19" t="s">
        <v>201</v>
      </c>
      <c r="K138" s="20">
        <v>579</v>
      </c>
      <c r="L138" s="2" t="s">
        <v>366</v>
      </c>
      <c r="M138" s="2"/>
      <c r="N138" s="2"/>
      <c r="O138" s="2"/>
      <c r="P138" s="2"/>
      <c r="Q138" s="2"/>
      <c r="R138" s="2"/>
      <c r="S138" s="9"/>
      <c r="T138" s="7" t="s">
        <v>304</v>
      </c>
      <c r="U138" s="7"/>
      <c r="V138" s="2"/>
      <c r="W138" s="2"/>
      <c r="X138" s="2"/>
    </row>
    <row r="139" spans="2:24" x14ac:dyDescent="0.2">
      <c r="B139" s="2"/>
      <c r="C139" s="2" t="s">
        <v>106</v>
      </c>
      <c r="D139" s="2" t="s">
        <v>105</v>
      </c>
      <c r="E139" s="2" t="str">
        <f t="shared" si="2"/>
        <v>MoO3-Mo</v>
      </c>
      <c r="F139" s="2">
        <v>2.94</v>
      </c>
      <c r="G139" s="2">
        <v>-0.08</v>
      </c>
      <c r="H139" s="2">
        <v>-3.22</v>
      </c>
      <c r="I139" s="2" t="s">
        <v>327</v>
      </c>
      <c r="J139" s="2" t="s">
        <v>205</v>
      </c>
      <c r="K139" s="2">
        <v>2341</v>
      </c>
      <c r="L139" s="2" t="s">
        <v>410</v>
      </c>
      <c r="M139" s="2"/>
      <c r="N139" s="2"/>
      <c r="O139" s="2"/>
      <c r="P139" s="2"/>
      <c r="Q139" s="2"/>
      <c r="R139" s="2"/>
      <c r="S139" s="9"/>
      <c r="T139" s="7" t="s">
        <v>304</v>
      </c>
      <c r="U139" s="7"/>
      <c r="V139" s="2"/>
      <c r="W139" s="2"/>
      <c r="X139" s="2"/>
    </row>
    <row r="140" spans="2:24" x14ac:dyDescent="0.2">
      <c r="B140" s="2"/>
      <c r="C140" s="2" t="s">
        <v>109</v>
      </c>
      <c r="D140" s="2" t="s">
        <v>107</v>
      </c>
      <c r="E140" s="2" t="str">
        <f t="shared" si="2"/>
        <v>Na2O2-Na2O</v>
      </c>
      <c r="F140" s="2">
        <v>-38.76</v>
      </c>
      <c r="G140" s="2">
        <v>-41.78</v>
      </c>
      <c r="H140" s="2">
        <v>-44.91</v>
      </c>
      <c r="I140" s="2" t="s">
        <v>326</v>
      </c>
      <c r="J140" s="21" t="s">
        <v>210</v>
      </c>
      <c r="K140" s="2"/>
      <c r="L140" s="2"/>
      <c r="M140" s="2"/>
      <c r="N140" s="2"/>
      <c r="O140" s="2"/>
      <c r="P140" s="2"/>
      <c r="Q140" s="2"/>
      <c r="R140" s="2"/>
      <c r="S140" s="9"/>
      <c r="T140" s="7" t="s">
        <v>304</v>
      </c>
      <c r="U140" s="7"/>
      <c r="V140" s="2"/>
      <c r="W140" s="2"/>
      <c r="X140" s="2"/>
    </row>
    <row r="141" spans="2:24" x14ac:dyDescent="0.2">
      <c r="B141" s="2"/>
      <c r="C141" s="2" t="s">
        <v>110</v>
      </c>
      <c r="D141" s="2" t="s">
        <v>109</v>
      </c>
      <c r="E141" s="2" t="str">
        <f t="shared" si="2"/>
        <v>NaO2-Na2O2</v>
      </c>
      <c r="F141" s="2">
        <v>-56.98</v>
      </c>
      <c r="G141" s="2">
        <v>-60</v>
      </c>
      <c r="H141" s="2">
        <v>-63.13</v>
      </c>
      <c r="I141" s="2" t="s">
        <v>326</v>
      </c>
      <c r="J141" s="21" t="s">
        <v>207</v>
      </c>
      <c r="K141" s="2">
        <v>1300</v>
      </c>
      <c r="L141" s="9" t="s">
        <v>414</v>
      </c>
      <c r="M141" s="2"/>
      <c r="N141" s="2"/>
      <c r="O141" s="2"/>
      <c r="P141" s="2"/>
      <c r="Q141" s="2"/>
      <c r="R141" s="2"/>
      <c r="S141" s="9"/>
      <c r="T141" s="7" t="s">
        <v>304</v>
      </c>
      <c r="U141" s="7"/>
      <c r="V141" s="2"/>
      <c r="W141" s="2"/>
      <c r="X141" s="2"/>
    </row>
    <row r="142" spans="2:24" x14ac:dyDescent="0.2">
      <c r="B142" s="2"/>
      <c r="C142" s="2" t="s">
        <v>109</v>
      </c>
      <c r="D142" s="2" t="s">
        <v>108</v>
      </c>
      <c r="E142" s="2" t="str">
        <f t="shared" si="2"/>
        <v>Na2O2-Na</v>
      </c>
      <c r="F142" s="2">
        <v>1.33</v>
      </c>
      <c r="G142" s="2">
        <v>-1.69</v>
      </c>
      <c r="H142" s="2">
        <v>-4.82</v>
      </c>
      <c r="I142" s="2" t="s">
        <v>327</v>
      </c>
      <c r="J142" s="21" t="s">
        <v>208</v>
      </c>
      <c r="K142" s="2">
        <v>2827</v>
      </c>
      <c r="L142" s="9" t="s">
        <v>413</v>
      </c>
      <c r="M142" s="2"/>
      <c r="N142" s="2"/>
      <c r="O142" s="2"/>
      <c r="P142" s="2"/>
      <c r="Q142" s="2"/>
      <c r="R142" s="2"/>
      <c r="S142" s="9"/>
      <c r="T142" s="7" t="s">
        <v>304</v>
      </c>
      <c r="U142" s="7"/>
      <c r="V142" s="2"/>
      <c r="W142" s="2"/>
      <c r="X142" s="2"/>
    </row>
    <row r="143" spans="2:24" x14ac:dyDescent="0.2">
      <c r="B143" s="2"/>
      <c r="C143" s="2" t="s">
        <v>110</v>
      </c>
      <c r="D143" s="2" t="s">
        <v>107</v>
      </c>
      <c r="E143" s="2" t="str">
        <f t="shared" si="2"/>
        <v>NaO2-Na2O</v>
      </c>
      <c r="F143" s="2">
        <v>-50.91</v>
      </c>
      <c r="G143" s="2">
        <v>-53.93</v>
      </c>
      <c r="H143" s="2">
        <v>-57.06</v>
      </c>
      <c r="I143" s="2" t="s">
        <v>326</v>
      </c>
      <c r="J143" s="15" t="s">
        <v>215</v>
      </c>
      <c r="K143" s="2"/>
      <c r="L143" s="2"/>
      <c r="M143" s="2"/>
      <c r="N143" s="2"/>
      <c r="O143" s="2"/>
      <c r="P143" s="2"/>
      <c r="Q143" s="2"/>
      <c r="R143" s="2"/>
      <c r="S143" s="9"/>
      <c r="T143" s="7">
        <v>2.2680874999999978</v>
      </c>
      <c r="U143" s="7"/>
      <c r="V143" s="2"/>
      <c r="W143" s="2"/>
      <c r="X143" s="2"/>
    </row>
    <row r="144" spans="2:24" x14ac:dyDescent="0.2">
      <c r="B144" s="2"/>
      <c r="C144" s="2" t="s">
        <v>107</v>
      </c>
      <c r="D144" s="2" t="s">
        <v>108</v>
      </c>
      <c r="E144" s="2" t="str">
        <f t="shared" si="2"/>
        <v>Na2O-Na</v>
      </c>
      <c r="F144" s="2">
        <v>41.42</v>
      </c>
      <c r="G144" s="2">
        <v>38.4</v>
      </c>
      <c r="H144" s="2">
        <v>35.270000000000003</v>
      </c>
      <c r="I144" s="2" t="s">
        <v>326</v>
      </c>
      <c r="J144" s="15" t="s">
        <v>214</v>
      </c>
      <c r="K144" s="2"/>
      <c r="L144" s="2"/>
      <c r="M144" s="2"/>
      <c r="N144" s="2"/>
      <c r="O144" s="2"/>
      <c r="P144" s="2"/>
      <c r="Q144" s="2"/>
      <c r="R144" s="2"/>
      <c r="S144" s="9"/>
      <c r="T144" s="7" t="s">
        <v>304</v>
      </c>
      <c r="U144" s="7"/>
      <c r="V144" s="2"/>
      <c r="W144" s="2"/>
      <c r="X144" s="2"/>
    </row>
    <row r="145" spans="2:24" x14ac:dyDescent="0.2">
      <c r="B145" s="2"/>
      <c r="C145" s="2" t="s">
        <v>110</v>
      </c>
      <c r="D145" s="2" t="s">
        <v>108</v>
      </c>
      <c r="E145" s="2" t="str">
        <f t="shared" si="2"/>
        <v>NaO2-Na</v>
      </c>
      <c r="F145" s="2">
        <v>-27.83</v>
      </c>
      <c r="G145" s="2">
        <v>-30.85</v>
      </c>
      <c r="H145" s="2">
        <v>-33.979999999999997</v>
      </c>
      <c r="I145" s="2" t="s">
        <v>326</v>
      </c>
      <c r="J145" s="15" t="s">
        <v>213</v>
      </c>
      <c r="K145" s="2">
        <v>670</v>
      </c>
      <c r="L145" s="2" t="s">
        <v>366</v>
      </c>
      <c r="M145" s="2"/>
      <c r="N145" s="2"/>
      <c r="O145" s="2"/>
      <c r="P145" s="2"/>
      <c r="Q145" s="2"/>
      <c r="R145" s="2"/>
      <c r="S145" s="9"/>
      <c r="T145" s="7" t="s">
        <v>304</v>
      </c>
      <c r="U145" s="7"/>
      <c r="V145" s="13" t="s">
        <v>339</v>
      </c>
      <c r="W145" s="13"/>
      <c r="X145" s="2">
        <v>1.1499999999999999</v>
      </c>
    </row>
    <row r="146" spans="2:24" x14ac:dyDescent="0.2">
      <c r="B146" s="2"/>
      <c r="C146" s="2" t="s">
        <v>111</v>
      </c>
      <c r="D146" s="2" t="s">
        <v>112</v>
      </c>
      <c r="E146" s="2" t="str">
        <f t="shared" si="2"/>
        <v>Nb2O5-NbO2</v>
      </c>
      <c r="F146" s="2">
        <v>36.450000000000003</v>
      </c>
      <c r="G146" s="2">
        <v>33.43</v>
      </c>
      <c r="H146" s="2">
        <v>30.3</v>
      </c>
      <c r="I146" s="2" t="s">
        <v>326</v>
      </c>
      <c r="J146" s="2" t="s">
        <v>216</v>
      </c>
      <c r="K146" s="2">
        <v>1967</v>
      </c>
      <c r="L146" s="9" t="s">
        <v>415</v>
      </c>
      <c r="M146" s="2"/>
      <c r="N146" s="2"/>
      <c r="O146" s="2"/>
      <c r="P146" s="2"/>
      <c r="Q146" s="2"/>
      <c r="R146" s="2"/>
      <c r="S146" s="9"/>
      <c r="T146" s="7" t="s">
        <v>304</v>
      </c>
      <c r="U146" s="7"/>
      <c r="V146" s="2"/>
      <c r="W146" s="2"/>
      <c r="X146" s="2"/>
    </row>
    <row r="147" spans="2:24" x14ac:dyDescent="0.2">
      <c r="B147" s="2"/>
      <c r="C147" s="2" t="s">
        <v>111</v>
      </c>
      <c r="D147" s="2" t="s">
        <v>113</v>
      </c>
      <c r="E147" s="2" t="str">
        <f t="shared" si="2"/>
        <v>Nb2O5-NbO</v>
      </c>
      <c r="F147" s="2">
        <v>36.47</v>
      </c>
      <c r="G147" s="2">
        <v>33.450000000000003</v>
      </c>
      <c r="H147" s="2">
        <v>30.32</v>
      </c>
      <c r="I147" s="2" t="s">
        <v>326</v>
      </c>
      <c r="J147" s="2" t="s">
        <v>211</v>
      </c>
      <c r="K147" s="2">
        <v>2067</v>
      </c>
      <c r="L147" s="9" t="s">
        <v>415</v>
      </c>
      <c r="M147" s="2"/>
      <c r="N147" s="2"/>
      <c r="O147" s="2"/>
      <c r="P147" s="2"/>
      <c r="Q147" s="2"/>
      <c r="R147" s="2"/>
      <c r="S147" s="9"/>
      <c r="T147" s="7" t="s">
        <v>304</v>
      </c>
      <c r="U147" s="7"/>
      <c r="V147" s="2"/>
      <c r="W147" s="2"/>
      <c r="X147" s="2"/>
    </row>
    <row r="148" spans="2:24" x14ac:dyDescent="0.2">
      <c r="B148" s="2"/>
      <c r="C148" s="2" t="s">
        <v>111</v>
      </c>
      <c r="D148" s="2" t="s">
        <v>114</v>
      </c>
      <c r="E148" s="2" t="str">
        <f t="shared" si="2"/>
        <v>Nb2O5-Nb</v>
      </c>
      <c r="F148" s="2">
        <v>40.53</v>
      </c>
      <c r="G148" s="2">
        <v>37.51</v>
      </c>
      <c r="H148" s="2">
        <v>34.380000000000003</v>
      </c>
      <c r="I148" s="2" t="s">
        <v>326</v>
      </c>
      <c r="J148" s="2" t="s">
        <v>217</v>
      </c>
      <c r="K148" s="2"/>
      <c r="L148" s="2"/>
      <c r="M148" s="2"/>
      <c r="N148" s="2"/>
      <c r="O148" s="2"/>
      <c r="P148" s="2"/>
      <c r="Q148" s="2"/>
      <c r="R148" s="2"/>
      <c r="S148" s="9"/>
      <c r="T148" s="7" t="s">
        <v>304</v>
      </c>
      <c r="U148" s="7"/>
      <c r="V148" s="2"/>
      <c r="W148" s="2"/>
      <c r="X148" s="2"/>
    </row>
    <row r="149" spans="2:24" x14ac:dyDescent="0.2">
      <c r="B149" s="2"/>
      <c r="C149" s="2" t="s">
        <v>112</v>
      </c>
      <c r="D149" s="2" t="s">
        <v>113</v>
      </c>
      <c r="E149" s="2" t="str">
        <f t="shared" si="2"/>
        <v>NbO2-NbO</v>
      </c>
      <c r="F149" s="2">
        <v>36.49</v>
      </c>
      <c r="G149" s="2">
        <v>33.47</v>
      </c>
      <c r="H149" s="2">
        <v>30.34</v>
      </c>
      <c r="I149" s="2" t="s">
        <v>326</v>
      </c>
      <c r="J149" s="15" t="s">
        <v>220</v>
      </c>
      <c r="K149" s="2">
        <v>1472</v>
      </c>
      <c r="L149" s="2" t="s">
        <v>366</v>
      </c>
      <c r="M149" s="2"/>
      <c r="N149" s="2"/>
      <c r="O149" s="2"/>
      <c r="P149" s="2"/>
      <c r="Q149" s="2"/>
      <c r="R149" s="2"/>
      <c r="S149" s="9"/>
      <c r="T149" s="7" t="s">
        <v>304</v>
      </c>
      <c r="U149" s="7"/>
      <c r="V149" s="2"/>
      <c r="W149" s="2"/>
      <c r="X149" s="2"/>
    </row>
    <row r="150" spans="2:24" x14ac:dyDescent="0.2">
      <c r="B150" s="2"/>
      <c r="C150" s="2" t="s">
        <v>112</v>
      </c>
      <c r="D150" s="2" t="s">
        <v>114</v>
      </c>
      <c r="E150" s="2" t="str">
        <f t="shared" si="2"/>
        <v>NbO2-Nb</v>
      </c>
      <c r="F150" s="2">
        <v>41.56</v>
      </c>
      <c r="G150" s="2">
        <v>38.54</v>
      </c>
      <c r="H150" s="2">
        <v>35.409999999999997</v>
      </c>
      <c r="I150" s="2" t="s">
        <v>326</v>
      </c>
      <c r="J150" s="15" t="s">
        <v>218</v>
      </c>
      <c r="K150" s="2">
        <v>1500</v>
      </c>
      <c r="L150" s="2" t="s">
        <v>414</v>
      </c>
      <c r="M150" s="2"/>
      <c r="N150" s="2"/>
      <c r="O150" s="2"/>
      <c r="P150" s="2"/>
      <c r="Q150" s="2"/>
      <c r="R150" s="2"/>
      <c r="S150" s="9"/>
      <c r="T150" s="7" t="s">
        <v>304</v>
      </c>
      <c r="U150" s="7"/>
      <c r="V150" s="2"/>
      <c r="W150" s="2"/>
      <c r="X150" s="2"/>
    </row>
    <row r="151" spans="2:24" x14ac:dyDescent="0.2">
      <c r="B151" s="2"/>
      <c r="C151" s="2" t="s">
        <v>113</v>
      </c>
      <c r="D151" s="2" t="s">
        <v>114</v>
      </c>
      <c r="E151" s="2" t="str">
        <f t="shared" si="2"/>
        <v>NbO-Nb</v>
      </c>
      <c r="F151" s="2">
        <v>46.62</v>
      </c>
      <c r="G151" s="2">
        <v>43.6</v>
      </c>
      <c r="H151" s="2">
        <v>40.47</v>
      </c>
      <c r="I151" s="2" t="s">
        <v>326</v>
      </c>
      <c r="J151" s="2" t="s">
        <v>221</v>
      </c>
      <c r="K151" s="2">
        <v>2438</v>
      </c>
      <c r="L151" s="2" t="s">
        <v>366</v>
      </c>
      <c r="M151" s="2"/>
      <c r="N151" s="2"/>
      <c r="O151" s="2"/>
      <c r="P151" s="2"/>
      <c r="Q151" s="2"/>
      <c r="R151" s="2"/>
      <c r="S151" s="9"/>
      <c r="T151" s="7" t="s">
        <v>304</v>
      </c>
      <c r="U151" s="7"/>
      <c r="V151" s="2">
        <v>111</v>
      </c>
      <c r="W151" s="2"/>
      <c r="X151" s="2">
        <v>6.09</v>
      </c>
    </row>
    <row r="152" spans="2:24" x14ac:dyDescent="0.2">
      <c r="B152" s="2"/>
      <c r="C152" s="2" t="s">
        <v>115</v>
      </c>
      <c r="D152" s="2" t="s">
        <v>116</v>
      </c>
      <c r="E152" s="2" t="str">
        <f t="shared" si="2"/>
        <v>Nd2O3-Nd</v>
      </c>
      <c r="F152" s="2">
        <v>86.82</v>
      </c>
      <c r="G152" s="2">
        <v>83.8</v>
      </c>
      <c r="H152" s="2">
        <v>80.67</v>
      </c>
      <c r="I152" s="2" t="s">
        <v>326</v>
      </c>
      <c r="J152" s="2" t="s">
        <v>223</v>
      </c>
      <c r="K152" s="2"/>
      <c r="L152" s="2"/>
      <c r="M152" s="2"/>
      <c r="N152" s="2"/>
      <c r="O152" s="2"/>
      <c r="P152" s="2"/>
      <c r="Q152" s="2"/>
      <c r="R152" s="2"/>
      <c r="S152" s="9"/>
      <c r="T152" s="7" t="s">
        <v>304</v>
      </c>
      <c r="U152" s="7"/>
      <c r="V152" s="2"/>
      <c r="W152" s="2"/>
      <c r="X152" s="2"/>
    </row>
    <row r="153" spans="2:24" x14ac:dyDescent="0.2">
      <c r="B153" s="2"/>
      <c r="C153" s="2" t="s">
        <v>117</v>
      </c>
      <c r="D153" s="2" t="s">
        <v>118</v>
      </c>
      <c r="E153" s="2" t="str">
        <f t="shared" si="2"/>
        <v>Ni3O4-NiO</v>
      </c>
      <c r="F153" s="2">
        <v>-55.46</v>
      </c>
      <c r="G153" s="2">
        <v>-58.48</v>
      </c>
      <c r="H153" s="2">
        <v>-61.61</v>
      </c>
      <c r="I153" s="2" t="s">
        <v>326</v>
      </c>
      <c r="J153" s="2" t="s">
        <v>225</v>
      </c>
      <c r="K153" s="2">
        <v>1974</v>
      </c>
      <c r="L153" s="2" t="s">
        <v>366</v>
      </c>
      <c r="M153" s="2"/>
      <c r="N153" s="2"/>
      <c r="O153" s="2"/>
      <c r="P153" s="2"/>
      <c r="Q153" s="2"/>
      <c r="R153" s="2"/>
      <c r="S153" s="9"/>
      <c r="T153" s="7">
        <v>1.4680874999999991</v>
      </c>
      <c r="U153" s="7"/>
      <c r="V153" s="2">
        <v>100</v>
      </c>
      <c r="W153" s="2"/>
      <c r="X153" s="2">
        <v>3.57</v>
      </c>
    </row>
    <row r="154" spans="2:24" x14ac:dyDescent="0.2">
      <c r="B154" s="2"/>
      <c r="C154" s="2" t="s">
        <v>118</v>
      </c>
      <c r="D154" s="2" t="s">
        <v>119</v>
      </c>
      <c r="E154" s="2" t="str">
        <f t="shared" si="2"/>
        <v>NiO-Ni</v>
      </c>
      <c r="F154" s="2">
        <v>-16.2</v>
      </c>
      <c r="G154" s="2">
        <v>-19.22</v>
      </c>
      <c r="H154" s="2">
        <v>-22.35</v>
      </c>
      <c r="I154" s="2" t="s">
        <v>326</v>
      </c>
      <c r="J154" s="2" t="s">
        <v>229</v>
      </c>
      <c r="K154" s="2">
        <v>2709</v>
      </c>
      <c r="L154" s="9" t="s">
        <v>366</v>
      </c>
      <c r="M154" s="2"/>
      <c r="N154" s="2"/>
      <c r="O154" s="2"/>
      <c r="P154" s="2"/>
      <c r="Q154" s="2"/>
      <c r="R154" s="2"/>
      <c r="S154" s="9"/>
      <c r="T154" s="7">
        <v>4.1680875000000004</v>
      </c>
      <c r="U154" s="7"/>
      <c r="V154" s="2">
        <v>111</v>
      </c>
      <c r="W154" s="2"/>
      <c r="X154" s="2">
        <v>6.18</v>
      </c>
    </row>
    <row r="155" spans="2:24" x14ac:dyDescent="0.2">
      <c r="B155" s="2"/>
      <c r="C155" s="2" t="s">
        <v>117</v>
      </c>
      <c r="D155" s="2" t="s">
        <v>119</v>
      </c>
      <c r="E155" s="2" t="str">
        <f t="shared" si="2"/>
        <v>Ni3O4-Ni</v>
      </c>
      <c r="F155" s="2">
        <v>-26.01</v>
      </c>
      <c r="G155" s="2">
        <v>-29.03</v>
      </c>
      <c r="H155" s="2">
        <v>-32.17</v>
      </c>
      <c r="I155" s="2" t="s">
        <v>326</v>
      </c>
      <c r="J155" s="2" t="s">
        <v>227</v>
      </c>
      <c r="K155" s="2"/>
      <c r="L155" s="2"/>
      <c r="M155" s="2"/>
      <c r="N155" s="2"/>
      <c r="O155" s="2"/>
      <c r="P155" s="2"/>
      <c r="Q155" s="2"/>
      <c r="R155" s="2"/>
      <c r="S155" s="9"/>
      <c r="T155" s="7" t="s">
        <v>304</v>
      </c>
      <c r="U155" s="7"/>
      <c r="V155" s="2"/>
      <c r="W155" s="2"/>
      <c r="X155" s="2"/>
    </row>
    <row r="156" spans="2:24" x14ac:dyDescent="0.2">
      <c r="B156" s="2"/>
      <c r="C156" s="2" t="s">
        <v>120</v>
      </c>
      <c r="D156" s="2" t="s">
        <v>121</v>
      </c>
      <c r="E156" s="2" t="str">
        <f t="shared" si="2"/>
        <v>NpO2-Np</v>
      </c>
      <c r="F156" s="2">
        <v>65.56</v>
      </c>
      <c r="G156" s="2">
        <v>62.54</v>
      </c>
      <c r="H156" s="2">
        <v>59.41</v>
      </c>
      <c r="I156" s="2" t="s">
        <v>326</v>
      </c>
      <c r="J156" s="2"/>
      <c r="K156" s="2"/>
      <c r="L156" s="2"/>
      <c r="M156" s="2"/>
      <c r="N156" s="2"/>
      <c r="O156" s="2"/>
      <c r="P156" s="2"/>
      <c r="Q156" s="2"/>
      <c r="R156" s="2"/>
      <c r="S156" s="9"/>
      <c r="T156" s="2"/>
      <c r="U156" s="2"/>
      <c r="V156" s="2"/>
      <c r="W156" s="2"/>
      <c r="X156" s="2"/>
    </row>
    <row r="157" spans="2:24" x14ac:dyDescent="0.2">
      <c r="B157" s="2"/>
      <c r="C157" s="2" t="s">
        <v>124</v>
      </c>
      <c r="D157" s="2" t="s">
        <v>122</v>
      </c>
      <c r="E157" s="2" t="str">
        <f t="shared" si="2"/>
        <v>OsO4-OsO2</v>
      </c>
      <c r="F157" s="2">
        <v>-17.079999999999998</v>
      </c>
      <c r="G157" s="2">
        <v>-20.100000000000001</v>
      </c>
      <c r="H157" s="2">
        <v>-23.23</v>
      </c>
      <c r="I157" s="2" t="s">
        <v>326</v>
      </c>
      <c r="J157" s="2"/>
      <c r="K157" s="2"/>
      <c r="L157" s="2"/>
      <c r="M157" s="2"/>
      <c r="N157" s="2"/>
      <c r="O157" s="2"/>
      <c r="P157" s="2"/>
      <c r="Q157" s="2"/>
      <c r="R157" s="2"/>
      <c r="S157" s="9"/>
      <c r="T157" s="2"/>
      <c r="U157" s="2"/>
      <c r="V157" s="2"/>
      <c r="W157" s="2"/>
      <c r="X157" s="2"/>
    </row>
    <row r="158" spans="2:24" x14ac:dyDescent="0.2">
      <c r="B158" s="2"/>
      <c r="C158" s="2" t="s">
        <v>124</v>
      </c>
      <c r="D158" s="2" t="s">
        <v>123</v>
      </c>
      <c r="E158" s="2" t="str">
        <f t="shared" si="2"/>
        <v>OsO4-Os</v>
      </c>
      <c r="F158" s="2">
        <v>-14.59</v>
      </c>
      <c r="G158" s="2">
        <v>-17.61</v>
      </c>
      <c r="H158" s="2">
        <v>-20.74</v>
      </c>
      <c r="I158" s="2" t="s">
        <v>326</v>
      </c>
      <c r="J158" s="2"/>
      <c r="K158" s="2"/>
      <c r="L158" s="2"/>
      <c r="M158" s="2"/>
      <c r="N158" s="2"/>
      <c r="O158" s="2"/>
      <c r="P158" s="2"/>
      <c r="Q158" s="2"/>
      <c r="R158" s="2"/>
      <c r="S158" s="9"/>
      <c r="T158" s="2"/>
      <c r="U158" s="2"/>
      <c r="V158" s="2"/>
      <c r="W158" s="2"/>
      <c r="X158" s="2"/>
    </row>
    <row r="159" spans="2:24" x14ac:dyDescent="0.2">
      <c r="B159" s="2"/>
      <c r="C159" s="2" t="s">
        <v>122</v>
      </c>
      <c r="D159" s="2" t="s">
        <v>123</v>
      </c>
      <c r="E159" s="2" t="str">
        <f t="shared" si="2"/>
        <v>OsO2-Os</v>
      </c>
      <c r="F159" s="2">
        <v>-12.1</v>
      </c>
      <c r="G159" s="2">
        <v>-15.12</v>
      </c>
      <c r="H159" s="2">
        <v>-18.260000000000002</v>
      </c>
      <c r="I159" s="2" t="s">
        <v>326</v>
      </c>
      <c r="J159" s="2"/>
      <c r="K159" s="2"/>
      <c r="L159" s="2"/>
      <c r="M159" s="2"/>
      <c r="N159" s="2"/>
      <c r="O159" s="2"/>
      <c r="P159" s="2"/>
      <c r="Q159" s="2"/>
      <c r="R159" s="2"/>
      <c r="S159" s="9"/>
      <c r="T159" s="2"/>
      <c r="U159" s="2"/>
      <c r="V159" s="2"/>
      <c r="W159" s="2"/>
      <c r="X159" s="2"/>
    </row>
    <row r="160" spans="2:24" x14ac:dyDescent="0.2">
      <c r="B160" s="2"/>
      <c r="C160" s="2" t="s">
        <v>125</v>
      </c>
      <c r="D160" s="2" t="s">
        <v>126</v>
      </c>
      <c r="E160" s="2" t="str">
        <f t="shared" si="2"/>
        <v>P2O5-P</v>
      </c>
      <c r="F160" s="2">
        <v>20.11</v>
      </c>
      <c r="G160" s="2">
        <v>17.09</v>
      </c>
      <c r="H160" s="2">
        <v>13.96</v>
      </c>
      <c r="I160" s="2" t="s">
        <v>326</v>
      </c>
      <c r="J160" s="2"/>
      <c r="K160" s="2"/>
      <c r="L160" s="2"/>
      <c r="M160" s="2"/>
      <c r="N160" s="2"/>
      <c r="O160" s="2"/>
      <c r="P160" s="2"/>
      <c r="Q160" s="2"/>
      <c r="R160" s="2"/>
      <c r="S160" s="9"/>
      <c r="T160" s="2"/>
      <c r="U160" s="2"/>
      <c r="V160" s="2"/>
      <c r="W160" s="2"/>
      <c r="X160" s="2"/>
    </row>
    <row r="161" spans="2:24" x14ac:dyDescent="0.2">
      <c r="B161" s="2"/>
      <c r="C161" s="2" t="s">
        <v>129</v>
      </c>
      <c r="D161" s="2" t="s">
        <v>127</v>
      </c>
      <c r="E161" s="2" t="str">
        <f t="shared" si="2"/>
        <v>PaO3-PaO2</v>
      </c>
      <c r="F161" s="2">
        <v>-52.69</v>
      </c>
      <c r="G161" s="2">
        <v>-55.71</v>
      </c>
      <c r="H161" s="2">
        <v>-58.84</v>
      </c>
      <c r="I161" s="2" t="s">
        <v>326</v>
      </c>
      <c r="J161" s="2"/>
      <c r="K161" s="2"/>
      <c r="L161" s="2"/>
      <c r="M161" s="2"/>
      <c r="N161" s="2"/>
      <c r="O161" s="2"/>
      <c r="P161" s="2"/>
      <c r="Q161" s="2"/>
      <c r="R161" s="2"/>
      <c r="S161" s="9"/>
      <c r="T161" s="2"/>
      <c r="U161" s="2"/>
      <c r="V161" s="2"/>
      <c r="W161" s="2"/>
      <c r="X161" s="2"/>
    </row>
    <row r="162" spans="2:24" x14ac:dyDescent="0.2">
      <c r="B162" s="2"/>
      <c r="C162" s="2" t="s">
        <v>129</v>
      </c>
      <c r="D162" s="2" t="s">
        <v>128</v>
      </c>
      <c r="E162" s="2" t="str">
        <f t="shared" si="2"/>
        <v>PaO3-Pa</v>
      </c>
      <c r="F162" s="2">
        <v>36.32</v>
      </c>
      <c r="G162" s="2">
        <v>33.299999999999997</v>
      </c>
      <c r="H162" s="2">
        <v>30.17</v>
      </c>
      <c r="I162" s="2" t="s">
        <v>326</v>
      </c>
      <c r="J162" s="2"/>
      <c r="K162" s="2"/>
      <c r="L162" s="2"/>
      <c r="M162" s="2"/>
      <c r="N162" s="2"/>
      <c r="O162" s="2"/>
      <c r="P162" s="2"/>
      <c r="Q162" s="2"/>
      <c r="R162" s="2"/>
      <c r="S162" s="9"/>
      <c r="T162" s="2"/>
      <c r="U162" s="2"/>
      <c r="V162" s="2"/>
      <c r="W162" s="2"/>
      <c r="X162" s="2"/>
    </row>
    <row r="163" spans="2:24" x14ac:dyDescent="0.2">
      <c r="B163" s="2"/>
      <c r="C163" s="2" t="s">
        <v>127</v>
      </c>
      <c r="D163" s="2" t="s">
        <v>128</v>
      </c>
      <c r="E163" s="2" t="str">
        <f t="shared" si="2"/>
        <v>PaO2-Pa</v>
      </c>
      <c r="F163" s="2">
        <v>80.819999999999993</v>
      </c>
      <c r="G163" s="2">
        <v>77.8</v>
      </c>
      <c r="H163" s="2">
        <v>74.67</v>
      </c>
      <c r="I163" s="2" t="s">
        <v>326</v>
      </c>
      <c r="J163" s="2"/>
      <c r="K163" s="2"/>
      <c r="L163" s="2"/>
      <c r="M163" s="2"/>
      <c r="N163" s="2"/>
      <c r="O163" s="2"/>
      <c r="P163" s="2"/>
      <c r="Q163" s="2"/>
      <c r="R163" s="2"/>
      <c r="S163" s="9"/>
      <c r="T163" s="2"/>
      <c r="U163" s="2"/>
      <c r="V163" s="2"/>
      <c r="W163" s="2"/>
      <c r="X163" s="2"/>
    </row>
    <row r="164" spans="2:24" x14ac:dyDescent="0.2">
      <c r="B164" s="2"/>
      <c r="C164" s="2" t="s">
        <v>133</v>
      </c>
      <c r="D164" s="2" t="s">
        <v>131</v>
      </c>
      <c r="E164" s="2" t="str">
        <f t="shared" si="2"/>
        <v>PbO2-PbO</v>
      </c>
      <c r="F164" s="2">
        <v>-36.42</v>
      </c>
      <c r="G164" s="2">
        <v>-39.44</v>
      </c>
      <c r="H164" s="2">
        <v>-42.57</v>
      </c>
      <c r="I164" s="2" t="s">
        <v>326</v>
      </c>
      <c r="J164" s="2"/>
      <c r="K164" s="2"/>
      <c r="L164" s="2"/>
      <c r="M164" s="2"/>
      <c r="N164" s="2"/>
      <c r="O164" s="2"/>
      <c r="P164" s="2"/>
      <c r="Q164" s="2"/>
      <c r="R164" s="2"/>
      <c r="S164" s="9"/>
      <c r="T164" s="2"/>
      <c r="U164" s="2"/>
      <c r="V164" s="2"/>
      <c r="W164" s="2"/>
      <c r="X164" s="2"/>
    </row>
    <row r="165" spans="2:24" x14ac:dyDescent="0.2">
      <c r="B165" s="2"/>
      <c r="C165" s="2" t="s">
        <v>130</v>
      </c>
      <c r="D165" s="2" t="s">
        <v>131</v>
      </c>
      <c r="E165" s="2" t="str">
        <f t="shared" si="2"/>
        <v>Pb3O4-PbO</v>
      </c>
      <c r="F165" s="2">
        <v>-28.34</v>
      </c>
      <c r="G165" s="2">
        <v>-31.36</v>
      </c>
      <c r="H165" s="2">
        <v>-34.49</v>
      </c>
      <c r="I165" s="2" t="s">
        <v>326</v>
      </c>
      <c r="J165" s="2"/>
      <c r="K165" s="2"/>
      <c r="L165" s="2"/>
      <c r="M165" s="2"/>
      <c r="N165" s="2"/>
      <c r="O165" s="2"/>
      <c r="P165" s="2"/>
      <c r="Q165" s="2"/>
      <c r="R165" s="2"/>
      <c r="S165" s="9"/>
      <c r="T165" s="2"/>
      <c r="U165" s="2"/>
      <c r="V165" s="2"/>
      <c r="W165" s="2"/>
      <c r="X165" s="2"/>
    </row>
    <row r="166" spans="2:24" x14ac:dyDescent="0.2">
      <c r="B166" s="2"/>
      <c r="C166" s="2" t="s">
        <v>131</v>
      </c>
      <c r="D166" s="2" t="s">
        <v>132</v>
      </c>
      <c r="E166" s="2" t="str">
        <f t="shared" si="2"/>
        <v>PbO-Pb</v>
      </c>
      <c r="F166" s="2">
        <v>9.1300000000000008</v>
      </c>
      <c r="G166" s="2">
        <v>6.11</v>
      </c>
      <c r="H166" s="2">
        <v>2.98</v>
      </c>
      <c r="I166" s="2" t="s">
        <v>327</v>
      </c>
      <c r="J166" s="2"/>
      <c r="K166" s="2"/>
      <c r="L166" s="2"/>
      <c r="M166" s="2"/>
      <c r="N166" s="2"/>
      <c r="O166" s="2"/>
      <c r="P166" s="2"/>
      <c r="Q166" s="2"/>
      <c r="R166" s="2"/>
      <c r="S166" s="9"/>
      <c r="T166" s="2"/>
      <c r="U166" s="2"/>
      <c r="V166" s="2"/>
      <c r="W166" s="2"/>
      <c r="X166" s="2"/>
    </row>
    <row r="167" spans="2:24" x14ac:dyDescent="0.2">
      <c r="B167" s="2"/>
      <c r="C167" s="2" t="s">
        <v>133</v>
      </c>
      <c r="D167" s="2" t="s">
        <v>130</v>
      </c>
      <c r="E167" s="2" t="str">
        <f t="shared" si="2"/>
        <v>PbO2-Pb3O4</v>
      </c>
      <c r="F167" s="2">
        <v>-40.46</v>
      </c>
      <c r="G167" s="2">
        <v>-43.48</v>
      </c>
      <c r="H167" s="2">
        <v>-46.62</v>
      </c>
      <c r="I167" s="2" t="s">
        <v>326</v>
      </c>
      <c r="J167" s="2"/>
      <c r="K167" s="2"/>
      <c r="L167" s="2"/>
      <c r="M167" s="2"/>
      <c r="N167" s="2"/>
      <c r="O167" s="2"/>
      <c r="P167" s="2"/>
      <c r="Q167" s="2"/>
      <c r="R167" s="2"/>
      <c r="S167" s="9"/>
      <c r="T167" s="2"/>
      <c r="U167" s="2"/>
      <c r="V167" s="2"/>
      <c r="W167" s="2"/>
      <c r="X167" s="2"/>
    </row>
    <row r="168" spans="2:24" x14ac:dyDescent="0.2">
      <c r="B168" s="2"/>
      <c r="C168" s="2" t="s">
        <v>133</v>
      </c>
      <c r="D168" s="2" t="s">
        <v>132</v>
      </c>
      <c r="E168" s="2" t="str">
        <f t="shared" si="2"/>
        <v>PbO2-Pb</v>
      </c>
      <c r="F168" s="2">
        <v>-13.65</v>
      </c>
      <c r="G168" s="2">
        <v>-16.670000000000002</v>
      </c>
      <c r="H168" s="2">
        <v>-19.8</v>
      </c>
      <c r="I168" s="2" t="s">
        <v>326</v>
      </c>
      <c r="J168" s="2"/>
      <c r="K168" s="2"/>
      <c r="L168" s="2"/>
      <c r="M168" s="2"/>
      <c r="N168" s="2"/>
      <c r="O168" s="2"/>
      <c r="P168" s="2"/>
      <c r="Q168" s="2"/>
      <c r="R168" s="2"/>
      <c r="S168" s="9"/>
      <c r="T168" s="2"/>
      <c r="U168" s="2"/>
      <c r="V168" s="2"/>
      <c r="W168" s="2"/>
      <c r="X168" s="2"/>
    </row>
    <row r="169" spans="2:24" x14ac:dyDescent="0.2">
      <c r="B169" s="2"/>
      <c r="C169" s="2" t="s">
        <v>130</v>
      </c>
      <c r="D169" s="2" t="s">
        <v>132</v>
      </c>
      <c r="E169" s="2" t="str">
        <f t="shared" si="2"/>
        <v>Pb3O4-Pb</v>
      </c>
      <c r="F169" s="2">
        <v>-0.24</v>
      </c>
      <c r="G169" s="2">
        <v>-3.26</v>
      </c>
      <c r="H169" s="2">
        <v>-6.39</v>
      </c>
      <c r="I169" s="2" t="s">
        <v>327</v>
      </c>
      <c r="J169" s="2"/>
      <c r="K169" s="2"/>
      <c r="L169" s="2"/>
      <c r="M169" s="2"/>
      <c r="N169" s="2"/>
      <c r="O169" s="2"/>
      <c r="P169" s="2"/>
      <c r="Q169" s="2"/>
      <c r="R169" s="2"/>
      <c r="S169" s="9"/>
      <c r="T169" s="2"/>
      <c r="U169" s="2"/>
      <c r="V169" s="2"/>
      <c r="W169" s="2"/>
      <c r="X169" s="2"/>
    </row>
    <row r="170" spans="2:24" x14ac:dyDescent="0.2">
      <c r="B170" s="2"/>
      <c r="C170" s="2" t="s">
        <v>136</v>
      </c>
      <c r="D170" s="2" t="s">
        <v>134</v>
      </c>
      <c r="E170" s="2" t="str">
        <f t="shared" si="2"/>
        <v>PdO2-PdO</v>
      </c>
      <c r="F170" s="2">
        <v>-44.82</v>
      </c>
      <c r="G170" s="2">
        <v>-47.84</v>
      </c>
      <c r="H170" s="2">
        <v>-50.97</v>
      </c>
      <c r="I170" s="2" t="s">
        <v>326</v>
      </c>
      <c r="J170" s="2"/>
      <c r="K170" s="2"/>
      <c r="L170" s="2"/>
      <c r="M170" s="2"/>
      <c r="N170" s="2"/>
      <c r="O170" s="2"/>
      <c r="P170" s="2"/>
      <c r="Q170" s="2"/>
      <c r="R170" s="2"/>
      <c r="S170" s="9"/>
      <c r="T170" s="2"/>
      <c r="U170" s="2"/>
      <c r="V170" s="2"/>
      <c r="W170" s="2"/>
      <c r="X170" s="2"/>
    </row>
    <row r="171" spans="2:24" x14ac:dyDescent="0.2">
      <c r="B171" s="2"/>
      <c r="C171" s="2" t="s">
        <v>136</v>
      </c>
      <c r="D171" s="2" t="s">
        <v>135</v>
      </c>
      <c r="E171" s="2" t="str">
        <f t="shared" si="2"/>
        <v>PdO2-Pd</v>
      </c>
      <c r="F171" s="2">
        <v>-33.590000000000003</v>
      </c>
      <c r="G171" s="2">
        <v>-36.61</v>
      </c>
      <c r="H171" s="2">
        <v>-39.74</v>
      </c>
      <c r="I171" s="2" t="s">
        <v>326</v>
      </c>
      <c r="J171" s="2"/>
      <c r="K171" s="2"/>
      <c r="L171" s="2"/>
      <c r="M171" s="2"/>
      <c r="N171" s="2"/>
      <c r="O171" s="2"/>
      <c r="P171" s="2"/>
      <c r="Q171" s="2"/>
      <c r="R171" s="2"/>
      <c r="S171" s="9"/>
      <c r="T171" s="2"/>
      <c r="U171" s="2"/>
      <c r="V171" s="2"/>
      <c r="W171" s="2"/>
      <c r="X171" s="2"/>
    </row>
    <row r="172" spans="2:24" x14ac:dyDescent="0.2">
      <c r="B172" s="2"/>
      <c r="C172" s="2" t="s">
        <v>134</v>
      </c>
      <c r="D172" s="2" t="s">
        <v>135</v>
      </c>
      <c r="E172" s="2" t="str">
        <f t="shared" si="2"/>
        <v>PdO-Pd</v>
      </c>
      <c r="F172" s="2">
        <v>-22.36</v>
      </c>
      <c r="G172" s="2">
        <v>-25.38</v>
      </c>
      <c r="H172" s="2">
        <v>-28.51</v>
      </c>
      <c r="I172" s="2" t="s">
        <v>326</v>
      </c>
      <c r="J172" s="2"/>
      <c r="K172" s="2"/>
      <c r="L172" s="2"/>
      <c r="M172" s="2"/>
      <c r="N172" s="2"/>
      <c r="O172" s="2"/>
      <c r="P172" s="2"/>
      <c r="Q172" s="2"/>
      <c r="R172" s="2"/>
      <c r="S172" s="9"/>
      <c r="T172" s="2"/>
      <c r="U172" s="2"/>
      <c r="V172" s="2"/>
      <c r="W172" s="2"/>
      <c r="X172" s="2"/>
    </row>
    <row r="173" spans="2:24" x14ac:dyDescent="0.2">
      <c r="B173" s="2"/>
      <c r="C173" s="2" t="s">
        <v>137</v>
      </c>
      <c r="D173" s="2" t="s">
        <v>138</v>
      </c>
      <c r="E173" s="2" t="str">
        <f t="shared" si="2"/>
        <v>Pm2O3-Pm</v>
      </c>
      <c r="F173" s="2">
        <v>88.93</v>
      </c>
      <c r="G173" s="2">
        <v>85.91</v>
      </c>
      <c r="H173" s="2">
        <v>82.78</v>
      </c>
      <c r="I173" s="2" t="s">
        <v>326</v>
      </c>
      <c r="J173" s="2"/>
      <c r="K173" s="2"/>
      <c r="L173" s="2"/>
      <c r="M173" s="2"/>
      <c r="N173" s="2"/>
      <c r="O173" s="2"/>
      <c r="P173" s="2"/>
      <c r="Q173" s="2"/>
      <c r="R173" s="2"/>
      <c r="S173" s="9"/>
      <c r="T173" s="2"/>
      <c r="U173" s="2"/>
      <c r="V173" s="2"/>
      <c r="W173" s="2"/>
      <c r="X173" s="2"/>
    </row>
    <row r="174" spans="2:24" x14ac:dyDescent="0.2">
      <c r="B174" s="2"/>
      <c r="C174" s="2" t="s">
        <v>139</v>
      </c>
      <c r="D174" s="2" t="s">
        <v>140</v>
      </c>
      <c r="E174" s="2" t="str">
        <f t="shared" si="2"/>
        <v>Pr2O3-Pr</v>
      </c>
      <c r="F174" s="2">
        <v>84.94</v>
      </c>
      <c r="G174" s="2">
        <v>81.92</v>
      </c>
      <c r="H174" s="2">
        <v>78.790000000000006</v>
      </c>
      <c r="I174" s="2" t="s">
        <v>326</v>
      </c>
      <c r="J174" s="2"/>
      <c r="K174" s="2"/>
      <c r="L174" s="2"/>
      <c r="M174" s="2"/>
      <c r="N174" s="2"/>
      <c r="O174" s="2"/>
      <c r="P174" s="2"/>
      <c r="Q174" s="2"/>
      <c r="R174" s="2"/>
      <c r="S174" s="9"/>
      <c r="T174" s="2"/>
      <c r="U174" s="2"/>
      <c r="V174" s="2"/>
      <c r="W174" s="2"/>
      <c r="X174" s="2"/>
    </row>
    <row r="175" spans="2:24" x14ac:dyDescent="0.2">
      <c r="B175" s="2"/>
      <c r="C175" s="2" t="s">
        <v>143</v>
      </c>
      <c r="D175" s="2" t="s">
        <v>141</v>
      </c>
      <c r="E175" s="2" t="str">
        <f t="shared" si="2"/>
        <v>PtO2-Pt3O4</v>
      </c>
      <c r="F175" s="2">
        <v>-29.86</v>
      </c>
      <c r="G175" s="2">
        <v>-32.880000000000003</v>
      </c>
      <c r="H175" s="2">
        <v>-36.01</v>
      </c>
      <c r="I175" s="2" t="s">
        <v>326</v>
      </c>
      <c r="J175" s="2"/>
      <c r="K175" s="2"/>
      <c r="L175" s="2"/>
      <c r="M175" s="2"/>
      <c r="N175" s="2"/>
      <c r="O175" s="2"/>
      <c r="P175" s="2"/>
      <c r="Q175" s="2"/>
      <c r="R175" s="2"/>
      <c r="S175" s="9"/>
      <c r="T175" s="2"/>
      <c r="U175" s="2"/>
      <c r="V175" s="2"/>
      <c r="W175" s="2"/>
      <c r="X175" s="2"/>
    </row>
    <row r="176" spans="2:24" x14ac:dyDescent="0.2">
      <c r="B176" s="2"/>
      <c r="C176" s="2" t="s">
        <v>141</v>
      </c>
      <c r="D176" s="2" t="s">
        <v>142</v>
      </c>
      <c r="E176" s="2" t="str">
        <f t="shared" si="2"/>
        <v>Pt3O4-Pt</v>
      </c>
      <c r="F176" s="2">
        <v>-25.08</v>
      </c>
      <c r="G176" s="2">
        <v>-28.1</v>
      </c>
      <c r="H176" s="2">
        <v>-31.23</v>
      </c>
      <c r="I176" s="2" t="s">
        <v>326</v>
      </c>
      <c r="J176" s="2"/>
      <c r="K176" s="2"/>
      <c r="L176" s="2"/>
      <c r="M176" s="2"/>
      <c r="N176" s="2"/>
      <c r="O176" s="2"/>
      <c r="P176" s="2"/>
      <c r="Q176" s="2"/>
      <c r="R176" s="2"/>
      <c r="S176" s="9"/>
      <c r="T176" s="2"/>
      <c r="U176" s="2"/>
      <c r="V176" s="2"/>
      <c r="W176" s="2"/>
      <c r="X176" s="2"/>
    </row>
    <row r="177" spans="2:24" x14ac:dyDescent="0.2">
      <c r="B177" s="2"/>
      <c r="C177" s="2" t="s">
        <v>143</v>
      </c>
      <c r="D177" s="2" t="s">
        <v>142</v>
      </c>
      <c r="E177" s="2" t="str">
        <f t="shared" si="2"/>
        <v>PtO2-Pt</v>
      </c>
      <c r="F177" s="2">
        <v>-26.67</v>
      </c>
      <c r="G177" s="2">
        <v>-29.69</v>
      </c>
      <c r="H177" s="2">
        <v>-32.82</v>
      </c>
      <c r="I177" s="2" t="s">
        <v>326</v>
      </c>
      <c r="J177" s="2"/>
      <c r="K177" s="2"/>
      <c r="L177" s="2"/>
      <c r="M177" s="2"/>
      <c r="N177" s="2"/>
      <c r="O177" s="2"/>
      <c r="P177" s="2"/>
      <c r="Q177" s="2"/>
      <c r="R177" s="2"/>
      <c r="S177" s="9"/>
      <c r="T177" s="2"/>
      <c r="U177" s="2"/>
      <c r="V177" s="2"/>
      <c r="W177" s="2"/>
      <c r="X177" s="2"/>
    </row>
    <row r="178" spans="2:24" x14ac:dyDescent="0.2">
      <c r="B178" s="2"/>
      <c r="C178" s="2" t="s">
        <v>146</v>
      </c>
      <c r="D178" s="2" t="s">
        <v>144</v>
      </c>
      <c r="E178" s="2" t="str">
        <f t="shared" si="2"/>
        <v>PuO2-Pu2O3</v>
      </c>
      <c r="F178" s="2">
        <v>44.1</v>
      </c>
      <c r="G178" s="2">
        <v>41.08</v>
      </c>
      <c r="H178" s="2">
        <v>37.950000000000003</v>
      </c>
      <c r="I178" s="2" t="s">
        <v>326</v>
      </c>
      <c r="J178" s="2"/>
      <c r="K178" s="2"/>
      <c r="L178" s="2"/>
      <c r="M178" s="2"/>
      <c r="N178" s="2"/>
      <c r="O178" s="2"/>
      <c r="P178" s="2"/>
      <c r="Q178" s="2"/>
      <c r="R178" s="2"/>
      <c r="S178" s="9"/>
      <c r="T178" s="2"/>
      <c r="U178" s="2"/>
      <c r="V178" s="2"/>
      <c r="W178" s="2"/>
      <c r="X178" s="2"/>
    </row>
    <row r="179" spans="2:24" x14ac:dyDescent="0.2">
      <c r="B179" s="2"/>
      <c r="C179" s="2" t="s">
        <v>144</v>
      </c>
      <c r="D179" s="2" t="s">
        <v>145</v>
      </c>
      <c r="E179" s="2" t="str">
        <f t="shared" si="2"/>
        <v>Pu2O3-Pu</v>
      </c>
      <c r="F179" s="2">
        <v>73.48</v>
      </c>
      <c r="G179" s="2">
        <v>70.459999999999994</v>
      </c>
      <c r="H179" s="2">
        <v>67.33</v>
      </c>
      <c r="I179" s="2" t="s">
        <v>326</v>
      </c>
      <c r="J179" s="2"/>
      <c r="K179" s="2"/>
      <c r="L179" s="2"/>
      <c r="M179" s="2"/>
      <c r="N179" s="2"/>
      <c r="O179" s="2"/>
      <c r="P179" s="2"/>
      <c r="Q179" s="2"/>
      <c r="R179" s="2"/>
      <c r="S179" s="9"/>
      <c r="T179" s="2"/>
      <c r="U179" s="2"/>
      <c r="V179" s="2"/>
      <c r="W179" s="2"/>
      <c r="X179" s="2"/>
    </row>
    <row r="180" spans="2:24" x14ac:dyDescent="0.2">
      <c r="B180" s="2"/>
      <c r="C180" s="2" t="s">
        <v>146</v>
      </c>
      <c r="D180" s="2" t="s">
        <v>145</v>
      </c>
      <c r="E180" s="2" t="str">
        <f t="shared" si="2"/>
        <v>PuO2-Pu</v>
      </c>
      <c r="F180" s="2">
        <v>66.14</v>
      </c>
      <c r="G180" s="2">
        <v>63.12</v>
      </c>
      <c r="H180" s="2">
        <v>59.98</v>
      </c>
      <c r="I180" s="2" t="s">
        <v>326</v>
      </c>
      <c r="J180" s="2"/>
      <c r="K180" s="2"/>
      <c r="L180" s="2"/>
      <c r="M180" s="2"/>
      <c r="N180" s="2"/>
      <c r="O180" s="2"/>
      <c r="P180" s="2"/>
      <c r="Q180" s="2"/>
      <c r="R180" s="2"/>
      <c r="S180" s="9"/>
      <c r="T180" s="2"/>
      <c r="U180" s="2"/>
      <c r="V180" s="2"/>
      <c r="W180" s="2"/>
      <c r="X180" s="2"/>
    </row>
    <row r="181" spans="2:24" x14ac:dyDescent="0.2">
      <c r="B181" s="2"/>
      <c r="C181" s="2" t="s">
        <v>150</v>
      </c>
      <c r="D181" s="2" t="s">
        <v>147</v>
      </c>
      <c r="E181" s="2" t="str">
        <f t="shared" si="2"/>
        <v>Rb2O2-Rb2O</v>
      </c>
      <c r="F181" s="2">
        <v>-24.47</v>
      </c>
      <c r="G181" s="2">
        <v>-27.49</v>
      </c>
      <c r="H181" s="2">
        <v>-30.63</v>
      </c>
      <c r="I181" s="2" t="s">
        <v>326</v>
      </c>
      <c r="J181" s="2"/>
      <c r="K181" s="2"/>
      <c r="L181" s="2"/>
      <c r="M181" s="2"/>
      <c r="N181" s="2"/>
      <c r="O181" s="2"/>
      <c r="P181" s="2"/>
      <c r="Q181" s="2"/>
      <c r="R181" s="2"/>
      <c r="S181" s="9"/>
      <c r="T181" s="2"/>
      <c r="U181" s="2"/>
      <c r="V181" s="2"/>
      <c r="W181" s="2"/>
      <c r="X181" s="2"/>
    </row>
    <row r="182" spans="2:24" x14ac:dyDescent="0.2">
      <c r="B182" s="2"/>
      <c r="C182" s="2" t="s">
        <v>150</v>
      </c>
      <c r="D182" s="2" t="s">
        <v>148</v>
      </c>
      <c r="E182" s="2" t="str">
        <f t="shared" si="2"/>
        <v>Rb2O2-Rb9O2</v>
      </c>
      <c r="F182" s="2">
        <v>-10.08</v>
      </c>
      <c r="G182" s="2">
        <v>-13.1</v>
      </c>
      <c r="H182" s="2">
        <v>-16.23</v>
      </c>
      <c r="I182" s="2" t="s">
        <v>326</v>
      </c>
      <c r="J182" s="2"/>
      <c r="K182" s="2"/>
      <c r="L182" s="2"/>
      <c r="M182" s="2"/>
      <c r="N182" s="2"/>
      <c r="O182" s="2"/>
      <c r="P182" s="2"/>
      <c r="Q182" s="2"/>
      <c r="R182" s="2"/>
      <c r="S182" s="9"/>
      <c r="T182" s="2"/>
      <c r="U182" s="2"/>
      <c r="V182" s="2"/>
      <c r="W182" s="2"/>
      <c r="X182" s="2"/>
    </row>
    <row r="183" spans="2:24" x14ac:dyDescent="0.2">
      <c r="B183" s="2"/>
      <c r="C183" s="2" t="s">
        <v>151</v>
      </c>
      <c r="D183" s="2" t="s">
        <v>150</v>
      </c>
      <c r="E183" s="2" t="str">
        <f t="shared" si="2"/>
        <v>RbO2-Rb2O2</v>
      </c>
      <c r="F183" s="2">
        <v>-49.43</v>
      </c>
      <c r="G183" s="2">
        <v>-52.45</v>
      </c>
      <c r="H183" s="2">
        <v>-55.58</v>
      </c>
      <c r="I183" s="2" t="s">
        <v>326</v>
      </c>
      <c r="J183" s="2"/>
      <c r="K183" s="2"/>
      <c r="L183" s="2"/>
      <c r="M183" s="2"/>
      <c r="N183" s="2"/>
      <c r="O183" s="2"/>
      <c r="P183" s="2"/>
      <c r="Q183" s="2"/>
      <c r="R183" s="2"/>
      <c r="S183" s="9"/>
      <c r="T183" s="2"/>
      <c r="U183" s="2"/>
      <c r="V183" s="2"/>
      <c r="W183" s="2"/>
      <c r="X183" s="2"/>
    </row>
    <row r="184" spans="2:24" x14ac:dyDescent="0.2">
      <c r="B184" s="2"/>
      <c r="C184" s="2" t="s">
        <v>150</v>
      </c>
      <c r="D184" s="2" t="s">
        <v>149</v>
      </c>
      <c r="E184" s="2" t="str">
        <f t="shared" si="2"/>
        <v>Rb2O2-Rb</v>
      </c>
      <c r="F184" s="2">
        <v>-3.16</v>
      </c>
      <c r="G184" s="2">
        <v>-6.18</v>
      </c>
      <c r="H184" s="2">
        <v>-9.31</v>
      </c>
      <c r="I184" s="2" t="s">
        <v>327</v>
      </c>
      <c r="J184" s="2"/>
      <c r="K184" s="2"/>
      <c r="L184" s="2"/>
      <c r="M184" s="2"/>
      <c r="N184" s="2"/>
      <c r="O184" s="2"/>
      <c r="P184" s="2"/>
      <c r="Q184" s="2"/>
      <c r="R184" s="2"/>
      <c r="S184" s="9"/>
      <c r="T184" s="2"/>
      <c r="U184" s="2"/>
      <c r="V184" s="2"/>
      <c r="W184" s="2"/>
      <c r="X184" s="2"/>
    </row>
    <row r="185" spans="2:24" x14ac:dyDescent="0.2">
      <c r="B185" s="2"/>
      <c r="C185" s="2" t="s">
        <v>147</v>
      </c>
      <c r="D185" s="2" t="s">
        <v>148</v>
      </c>
      <c r="E185" s="2" t="str">
        <f t="shared" si="2"/>
        <v>Rb2O-Rb9O2</v>
      </c>
      <c r="F185" s="2">
        <v>15.84</v>
      </c>
      <c r="G185" s="2">
        <v>12.82</v>
      </c>
      <c r="H185" s="2">
        <v>9.69</v>
      </c>
      <c r="I185" s="2" t="s">
        <v>327</v>
      </c>
      <c r="J185" s="2"/>
      <c r="K185" s="2"/>
      <c r="L185" s="2"/>
      <c r="M185" s="2"/>
      <c r="N185" s="2"/>
      <c r="O185" s="2"/>
      <c r="P185" s="2"/>
      <c r="Q185" s="2"/>
      <c r="R185" s="2"/>
      <c r="S185" s="9"/>
      <c r="T185" s="2"/>
      <c r="U185" s="2"/>
      <c r="V185" s="2"/>
      <c r="W185" s="2"/>
      <c r="X185" s="2"/>
    </row>
    <row r="186" spans="2:24" x14ac:dyDescent="0.2">
      <c r="B186" s="2"/>
      <c r="C186" s="2" t="s">
        <v>151</v>
      </c>
      <c r="D186" s="2" t="s">
        <v>147</v>
      </c>
      <c r="E186" s="2" t="str">
        <f t="shared" si="2"/>
        <v>RbO2-Rb2O</v>
      </c>
      <c r="F186" s="2">
        <v>-41.11</v>
      </c>
      <c r="G186" s="2">
        <v>-44.13</v>
      </c>
      <c r="H186" s="2">
        <v>-47.26</v>
      </c>
      <c r="I186" s="2" t="s">
        <v>326</v>
      </c>
      <c r="J186" s="2"/>
      <c r="K186" s="2"/>
      <c r="L186" s="2"/>
      <c r="M186" s="2"/>
      <c r="N186" s="2"/>
      <c r="O186" s="2"/>
      <c r="P186" s="2"/>
      <c r="Q186" s="2"/>
      <c r="R186" s="2"/>
      <c r="S186" s="9"/>
      <c r="T186" s="2"/>
      <c r="U186" s="2"/>
      <c r="V186" s="2"/>
      <c r="W186" s="2"/>
      <c r="X186" s="2"/>
    </row>
    <row r="187" spans="2:24" x14ac:dyDescent="0.2">
      <c r="B187" s="2"/>
      <c r="C187" s="2" t="s">
        <v>147</v>
      </c>
      <c r="D187" s="2" t="s">
        <v>149</v>
      </c>
      <c r="E187" s="2" t="str">
        <f t="shared" si="2"/>
        <v>Rb2O-Rb</v>
      </c>
      <c r="F187" s="2">
        <v>18.16</v>
      </c>
      <c r="G187" s="2">
        <v>15.14</v>
      </c>
      <c r="H187" s="2">
        <v>12.01</v>
      </c>
      <c r="I187" s="2" t="s">
        <v>327</v>
      </c>
      <c r="J187" s="2"/>
      <c r="K187" s="2"/>
      <c r="L187" s="2"/>
      <c r="M187" s="2"/>
      <c r="N187" s="2"/>
      <c r="O187" s="2"/>
      <c r="P187" s="2"/>
      <c r="Q187" s="2"/>
      <c r="R187" s="2"/>
      <c r="S187" s="9"/>
      <c r="T187" s="2"/>
      <c r="U187" s="2"/>
      <c r="V187" s="2"/>
      <c r="W187" s="2"/>
      <c r="X187" s="2"/>
    </row>
    <row r="188" spans="2:24" x14ac:dyDescent="0.2">
      <c r="B188" s="2"/>
      <c r="C188" s="2" t="s">
        <v>151</v>
      </c>
      <c r="D188" s="2" t="s">
        <v>148</v>
      </c>
      <c r="E188" s="2" t="str">
        <f t="shared" si="2"/>
        <v>RbO2-Rb9O2</v>
      </c>
      <c r="F188" s="2">
        <v>-32.21</v>
      </c>
      <c r="G188" s="2">
        <v>-35.229999999999997</v>
      </c>
      <c r="H188" s="2">
        <v>-38.36</v>
      </c>
      <c r="I188" s="2" t="s">
        <v>326</v>
      </c>
      <c r="J188" s="2"/>
      <c r="K188" s="2"/>
      <c r="L188" s="2"/>
      <c r="M188" s="2"/>
      <c r="N188" s="2"/>
      <c r="O188" s="2"/>
      <c r="P188" s="2"/>
      <c r="Q188" s="2"/>
      <c r="R188" s="2"/>
      <c r="S188" s="9"/>
      <c r="T188" s="2"/>
      <c r="U188" s="2"/>
      <c r="V188" s="2"/>
      <c r="W188" s="2"/>
      <c r="X188" s="2"/>
    </row>
    <row r="189" spans="2:24" x14ac:dyDescent="0.2">
      <c r="B189" s="2"/>
      <c r="C189" s="2" t="s">
        <v>148</v>
      </c>
      <c r="D189" s="2" t="s">
        <v>149</v>
      </c>
      <c r="E189" s="2" t="str">
        <f t="shared" si="2"/>
        <v>Rb9O2-Rb</v>
      </c>
      <c r="F189" s="2">
        <v>21.06</v>
      </c>
      <c r="G189" s="2">
        <v>18.04</v>
      </c>
      <c r="H189" s="2">
        <v>14.91</v>
      </c>
      <c r="I189" s="2" t="s">
        <v>326</v>
      </c>
      <c r="J189" s="2"/>
      <c r="K189" s="2"/>
      <c r="L189" s="2"/>
      <c r="M189" s="2"/>
      <c r="N189" s="2"/>
      <c r="O189" s="2"/>
      <c r="P189" s="2"/>
      <c r="Q189" s="2"/>
      <c r="R189" s="2"/>
      <c r="S189" s="9"/>
      <c r="T189" s="2"/>
      <c r="U189" s="2"/>
      <c r="V189" s="2"/>
      <c r="W189" s="2"/>
      <c r="X189" s="2"/>
    </row>
    <row r="190" spans="2:24" x14ac:dyDescent="0.2">
      <c r="B190" s="2"/>
      <c r="C190" s="2" t="s">
        <v>151</v>
      </c>
      <c r="D190" s="2" t="s">
        <v>149</v>
      </c>
      <c r="E190" s="2" t="str">
        <f t="shared" si="2"/>
        <v>RbO2-Rb</v>
      </c>
      <c r="F190" s="2">
        <v>-26.29</v>
      </c>
      <c r="G190" s="2">
        <v>-29.31</v>
      </c>
      <c r="H190" s="2">
        <v>-32.44</v>
      </c>
      <c r="I190" s="2" t="s">
        <v>326</v>
      </c>
      <c r="J190" s="2"/>
      <c r="K190" s="2"/>
      <c r="L190" s="2"/>
      <c r="M190" s="2"/>
      <c r="N190" s="2"/>
      <c r="O190" s="2"/>
      <c r="P190" s="2"/>
      <c r="Q190" s="2"/>
      <c r="R190" s="2"/>
      <c r="S190" s="9"/>
      <c r="T190" s="2"/>
      <c r="U190" s="2"/>
      <c r="V190" s="2"/>
      <c r="W190" s="2"/>
      <c r="X190" s="2"/>
    </row>
    <row r="191" spans="2:24" x14ac:dyDescent="0.2">
      <c r="B191" s="2"/>
      <c r="C191" s="2" t="s">
        <v>152</v>
      </c>
      <c r="D191" s="2" t="s">
        <v>153</v>
      </c>
      <c r="E191" s="2" t="str">
        <f t="shared" si="2"/>
        <v>Re2O7-ReO3</v>
      </c>
      <c r="F191" s="2">
        <v>-31.66</v>
      </c>
      <c r="G191" s="2">
        <v>-34.68</v>
      </c>
      <c r="H191" s="2">
        <v>-37.81</v>
      </c>
      <c r="I191" s="2" t="s">
        <v>326</v>
      </c>
      <c r="J191" s="2"/>
      <c r="K191" s="2"/>
      <c r="L191" s="2"/>
      <c r="M191" s="2"/>
      <c r="N191" s="2"/>
      <c r="O191" s="2"/>
      <c r="P191" s="2"/>
      <c r="Q191" s="2"/>
      <c r="R191" s="2"/>
      <c r="S191" s="9"/>
      <c r="T191" s="2"/>
      <c r="U191" s="2"/>
      <c r="V191" s="2"/>
      <c r="W191" s="2"/>
      <c r="X191" s="2"/>
    </row>
    <row r="192" spans="2:24" x14ac:dyDescent="0.2">
      <c r="B192" s="2"/>
      <c r="C192" s="2" t="s">
        <v>153</v>
      </c>
      <c r="D192" s="2" t="s">
        <v>154</v>
      </c>
      <c r="E192" s="2" t="str">
        <f t="shared" si="2"/>
        <v>ReO3-Re</v>
      </c>
      <c r="F192" s="2">
        <v>7.05</v>
      </c>
      <c r="G192" s="2">
        <v>4.03</v>
      </c>
      <c r="H192" s="2">
        <v>0.9</v>
      </c>
      <c r="I192" s="2" t="s">
        <v>327</v>
      </c>
      <c r="J192" s="2"/>
      <c r="K192" s="2"/>
      <c r="L192" s="2"/>
      <c r="M192" s="2"/>
      <c r="N192" s="2"/>
      <c r="O192" s="2"/>
      <c r="P192" s="2"/>
      <c r="Q192" s="2"/>
      <c r="R192" s="2"/>
      <c r="S192" s="9"/>
      <c r="T192" s="2"/>
      <c r="U192" s="2"/>
      <c r="V192" s="2"/>
      <c r="W192" s="2"/>
      <c r="X192" s="2"/>
    </row>
    <row r="193" spans="2:24" x14ac:dyDescent="0.2">
      <c r="B193" s="2"/>
      <c r="C193" s="2" t="s">
        <v>152</v>
      </c>
      <c r="D193" s="2" t="s">
        <v>154</v>
      </c>
      <c r="E193" s="2" t="str">
        <f t="shared" si="2"/>
        <v>Re2O7-Re</v>
      </c>
      <c r="F193" s="2">
        <v>1.52</v>
      </c>
      <c r="G193" s="2">
        <v>-1.5</v>
      </c>
      <c r="H193" s="2">
        <v>-4.63</v>
      </c>
      <c r="I193" s="2" t="s">
        <v>327</v>
      </c>
      <c r="J193" s="2"/>
      <c r="K193" s="2"/>
      <c r="L193" s="2"/>
      <c r="M193" s="2"/>
      <c r="N193" s="2"/>
      <c r="O193" s="2"/>
      <c r="P193" s="2"/>
      <c r="Q193" s="2"/>
      <c r="R193" s="2"/>
      <c r="S193" s="9"/>
      <c r="T193" s="2"/>
      <c r="U193" s="2"/>
      <c r="V193" s="2"/>
      <c r="W193" s="2"/>
      <c r="X193" s="2"/>
    </row>
    <row r="194" spans="2:24" x14ac:dyDescent="0.2">
      <c r="B194" s="2"/>
      <c r="C194" s="2" t="s">
        <v>155</v>
      </c>
      <c r="D194" s="2" t="s">
        <v>156</v>
      </c>
      <c r="E194" s="2" t="str">
        <f t="shared" ref="E194:E257" si="3">C194 &amp; "-" &amp; D194</f>
        <v>RhO2-Rh</v>
      </c>
      <c r="F194" s="2">
        <v>-16.46</v>
      </c>
      <c r="G194" s="2">
        <v>-19.48</v>
      </c>
      <c r="H194" s="2">
        <v>-22.61</v>
      </c>
      <c r="I194" s="2" t="s">
        <v>326</v>
      </c>
      <c r="J194" s="2"/>
      <c r="K194" s="2"/>
      <c r="L194" s="2"/>
      <c r="M194" s="2"/>
      <c r="N194" s="2"/>
      <c r="O194" s="2"/>
      <c r="P194" s="2"/>
      <c r="Q194" s="2"/>
      <c r="R194" s="2"/>
      <c r="S194" s="9"/>
      <c r="T194" s="2"/>
      <c r="U194" s="2"/>
      <c r="V194" s="2"/>
      <c r="W194" s="2"/>
      <c r="X194" s="2"/>
    </row>
    <row r="195" spans="2:24" x14ac:dyDescent="0.2">
      <c r="B195" s="2"/>
      <c r="C195" s="2" t="s">
        <v>159</v>
      </c>
      <c r="D195" s="2" t="s">
        <v>157</v>
      </c>
      <c r="E195" s="2" t="str">
        <f t="shared" si="3"/>
        <v>RuO4-RuO2</v>
      </c>
      <c r="F195" s="2">
        <v>-40.76</v>
      </c>
      <c r="G195" s="2">
        <v>-43.78</v>
      </c>
      <c r="H195" s="2">
        <v>-46.91</v>
      </c>
      <c r="I195" s="2" t="s">
        <v>326</v>
      </c>
      <c r="J195" s="2"/>
      <c r="K195" s="2"/>
      <c r="L195" s="2"/>
      <c r="M195" s="2"/>
      <c r="N195" s="2"/>
      <c r="O195" s="2"/>
      <c r="P195" s="2"/>
      <c r="Q195" s="2"/>
      <c r="R195" s="2"/>
      <c r="S195" s="9"/>
      <c r="T195" s="2"/>
      <c r="U195" s="2"/>
      <c r="V195" s="2"/>
      <c r="W195" s="2"/>
      <c r="X195" s="2"/>
    </row>
    <row r="196" spans="2:24" x14ac:dyDescent="0.2">
      <c r="B196" s="2"/>
      <c r="C196" s="2" t="s">
        <v>159</v>
      </c>
      <c r="D196" s="2" t="s">
        <v>158</v>
      </c>
      <c r="E196" s="2" t="str">
        <f t="shared" si="3"/>
        <v>RuO4-Ru</v>
      </c>
      <c r="F196" s="2">
        <v>-24.56</v>
      </c>
      <c r="G196" s="2">
        <v>-27.58</v>
      </c>
      <c r="H196" s="2">
        <v>-30.71</v>
      </c>
      <c r="I196" s="2" t="s">
        <v>326</v>
      </c>
      <c r="J196" s="2"/>
      <c r="K196" s="2"/>
      <c r="L196" s="2"/>
      <c r="M196" s="2"/>
      <c r="N196" s="2"/>
      <c r="O196" s="2"/>
      <c r="P196" s="2"/>
      <c r="Q196" s="2"/>
      <c r="R196" s="2"/>
      <c r="S196" s="9"/>
      <c r="T196" s="2"/>
      <c r="U196" s="2"/>
      <c r="V196" s="2"/>
      <c r="W196" s="2"/>
      <c r="X196" s="2"/>
    </row>
    <row r="197" spans="2:24" x14ac:dyDescent="0.2">
      <c r="B197" s="2"/>
      <c r="C197" s="2" t="s">
        <v>157</v>
      </c>
      <c r="D197" s="2" t="s">
        <v>158</v>
      </c>
      <c r="E197" s="2" t="str">
        <f t="shared" si="3"/>
        <v>RuO2-Ru</v>
      </c>
      <c r="F197" s="2">
        <v>-8.3699999999999992</v>
      </c>
      <c r="G197" s="2">
        <v>-11.39</v>
      </c>
      <c r="H197" s="2">
        <v>-14.52</v>
      </c>
      <c r="I197" s="2" t="s">
        <v>326</v>
      </c>
      <c r="J197" s="2"/>
      <c r="K197" s="2"/>
      <c r="L197" s="2"/>
      <c r="M197" s="2"/>
      <c r="N197" s="2"/>
      <c r="O197" s="2"/>
      <c r="P197" s="2"/>
      <c r="Q197" s="2"/>
      <c r="R197" s="2"/>
      <c r="S197" s="9"/>
      <c r="T197" s="2"/>
      <c r="U197" s="2"/>
      <c r="V197" s="2"/>
      <c r="W197" s="2"/>
      <c r="X197" s="2"/>
    </row>
    <row r="198" spans="2:24" x14ac:dyDescent="0.2">
      <c r="B198" s="2"/>
      <c r="C198" s="2" t="s">
        <v>162</v>
      </c>
      <c r="D198" s="2" t="s">
        <v>163</v>
      </c>
      <c r="E198" s="2" t="str">
        <f t="shared" si="3"/>
        <v>Sb2O5-SbO2</v>
      </c>
      <c r="F198" s="2">
        <v>-30.77</v>
      </c>
      <c r="G198" s="2">
        <v>-33.79</v>
      </c>
      <c r="H198" s="2">
        <v>-36.93</v>
      </c>
      <c r="I198" s="2" t="s">
        <v>326</v>
      </c>
      <c r="J198" s="2"/>
      <c r="K198" s="2"/>
      <c r="L198" s="2"/>
      <c r="M198" s="2"/>
      <c r="N198" s="2"/>
      <c r="O198" s="2"/>
      <c r="P198" s="2"/>
      <c r="Q198" s="2"/>
      <c r="R198" s="2"/>
      <c r="S198" s="9"/>
      <c r="T198" s="2"/>
      <c r="U198" s="2"/>
      <c r="V198" s="2"/>
      <c r="W198" s="2"/>
      <c r="X198" s="2"/>
    </row>
    <row r="199" spans="2:24" x14ac:dyDescent="0.2">
      <c r="B199" s="2"/>
      <c r="C199" s="2" t="s">
        <v>162</v>
      </c>
      <c r="D199" s="2" t="s">
        <v>160</v>
      </c>
      <c r="E199" s="2" t="str">
        <f t="shared" si="3"/>
        <v>Sb2O5-Sb2O3</v>
      </c>
      <c r="F199" s="2">
        <v>-18.54</v>
      </c>
      <c r="G199" s="2">
        <v>-21.56</v>
      </c>
      <c r="H199" s="2">
        <v>-24.69</v>
      </c>
      <c r="I199" s="2" t="s">
        <v>326</v>
      </c>
      <c r="J199" s="2"/>
      <c r="K199" s="2"/>
      <c r="L199" s="2"/>
      <c r="M199" s="2"/>
      <c r="N199" s="2"/>
      <c r="O199" s="2"/>
      <c r="P199" s="2"/>
      <c r="Q199" s="2"/>
      <c r="R199" s="2"/>
      <c r="S199" s="9"/>
      <c r="T199" s="2"/>
      <c r="U199" s="2"/>
      <c r="V199" s="2"/>
      <c r="W199" s="2"/>
      <c r="X199" s="2"/>
    </row>
    <row r="200" spans="2:24" x14ac:dyDescent="0.2">
      <c r="B200" s="2"/>
      <c r="C200" s="2" t="s">
        <v>162</v>
      </c>
      <c r="D200" s="2" t="s">
        <v>161</v>
      </c>
      <c r="E200" s="2" t="str">
        <f t="shared" si="3"/>
        <v>Sb2O5-Sb</v>
      </c>
      <c r="F200" s="2">
        <v>-2.2000000000000002</v>
      </c>
      <c r="G200" s="2">
        <v>-5.22</v>
      </c>
      <c r="H200" s="2">
        <v>-8.35</v>
      </c>
      <c r="I200" s="2" t="s">
        <v>327</v>
      </c>
      <c r="J200" s="2"/>
      <c r="K200" s="2"/>
      <c r="L200" s="2"/>
      <c r="M200" s="2"/>
      <c r="N200" s="2"/>
      <c r="O200" s="2"/>
      <c r="P200" s="2"/>
      <c r="Q200" s="2"/>
      <c r="R200" s="2"/>
      <c r="S200" s="9"/>
      <c r="T200" s="2"/>
      <c r="U200" s="2"/>
      <c r="V200" s="2"/>
      <c r="W200" s="2"/>
      <c r="X200" s="2"/>
    </row>
    <row r="201" spans="2:24" x14ac:dyDescent="0.2">
      <c r="B201" s="2"/>
      <c r="C201" s="2" t="s">
        <v>163</v>
      </c>
      <c r="D201" s="2" t="s">
        <v>160</v>
      </c>
      <c r="E201" s="2" t="str">
        <f t="shared" si="3"/>
        <v>SbO2-Sb2O3</v>
      </c>
      <c r="F201" s="2">
        <v>-6.3</v>
      </c>
      <c r="G201" s="2">
        <v>-9.32</v>
      </c>
      <c r="H201" s="2">
        <v>-12.45</v>
      </c>
      <c r="I201" s="2" t="s">
        <v>327</v>
      </c>
      <c r="J201" s="2"/>
      <c r="K201" s="2"/>
      <c r="L201" s="2"/>
      <c r="M201" s="2"/>
      <c r="N201" s="2"/>
      <c r="O201" s="2"/>
      <c r="P201" s="2"/>
      <c r="Q201" s="2"/>
      <c r="R201" s="2"/>
      <c r="S201" s="9"/>
      <c r="T201" s="2"/>
      <c r="U201" s="2"/>
      <c r="V201" s="2"/>
      <c r="W201" s="2"/>
      <c r="X201" s="2"/>
    </row>
    <row r="202" spans="2:24" x14ac:dyDescent="0.2">
      <c r="B202" s="2"/>
      <c r="C202" s="2" t="s">
        <v>163</v>
      </c>
      <c r="D202" s="2" t="s">
        <v>161</v>
      </c>
      <c r="E202" s="2" t="str">
        <f t="shared" si="3"/>
        <v>SbO2-Sb</v>
      </c>
      <c r="F202" s="2">
        <v>4.95</v>
      </c>
      <c r="G202" s="2">
        <v>1.93</v>
      </c>
      <c r="H202" s="2">
        <v>-1.2</v>
      </c>
      <c r="I202" s="2" t="s">
        <v>327</v>
      </c>
      <c r="J202" s="2"/>
      <c r="K202" s="2"/>
      <c r="L202" s="2"/>
      <c r="M202" s="2"/>
      <c r="N202" s="2"/>
      <c r="O202" s="2"/>
      <c r="P202" s="2"/>
      <c r="Q202" s="2"/>
      <c r="R202" s="2"/>
      <c r="S202" s="9"/>
      <c r="T202" s="2"/>
      <c r="U202" s="2"/>
      <c r="V202" s="2"/>
      <c r="W202" s="2"/>
      <c r="X202" s="2"/>
    </row>
    <row r="203" spans="2:24" x14ac:dyDescent="0.2">
      <c r="B203" s="2"/>
      <c r="C203" s="2" t="s">
        <v>160</v>
      </c>
      <c r="D203" s="2" t="s">
        <v>161</v>
      </c>
      <c r="E203" s="2" t="str">
        <f t="shared" si="3"/>
        <v>Sb2O3-Sb</v>
      </c>
      <c r="F203" s="2">
        <v>8.6999999999999993</v>
      </c>
      <c r="G203" s="2">
        <v>5.68</v>
      </c>
      <c r="H203" s="2">
        <v>2.5499999999999998</v>
      </c>
      <c r="I203" s="2" t="s">
        <v>327</v>
      </c>
      <c r="J203" s="2"/>
      <c r="K203" s="2"/>
      <c r="L203" s="2"/>
      <c r="M203" s="2"/>
      <c r="N203" s="2"/>
      <c r="O203" s="2"/>
      <c r="P203" s="2"/>
      <c r="Q203" s="2"/>
      <c r="R203" s="2"/>
      <c r="S203" s="9"/>
      <c r="T203" s="2"/>
      <c r="U203" s="2"/>
      <c r="V203" s="2"/>
      <c r="W203" s="2"/>
      <c r="X203" s="2"/>
    </row>
    <row r="204" spans="2:24" x14ac:dyDescent="0.2">
      <c r="B204" s="2"/>
      <c r="C204" s="2" t="s">
        <v>164</v>
      </c>
      <c r="D204" s="2" t="s">
        <v>165</v>
      </c>
      <c r="E204" s="2" t="str">
        <f t="shared" si="3"/>
        <v>Sc2O3-Sc</v>
      </c>
      <c r="F204" s="2">
        <v>93.92</v>
      </c>
      <c r="G204" s="2">
        <v>90.9</v>
      </c>
      <c r="H204" s="2">
        <v>87.77</v>
      </c>
      <c r="I204" s="2" t="s">
        <v>326</v>
      </c>
      <c r="J204" s="2"/>
      <c r="K204" s="2"/>
      <c r="L204" s="2"/>
      <c r="M204" s="2"/>
      <c r="N204" s="2"/>
      <c r="O204" s="2"/>
      <c r="P204" s="2"/>
      <c r="Q204" s="2"/>
      <c r="R204" s="2"/>
      <c r="S204" s="9"/>
      <c r="T204" s="2"/>
      <c r="U204" s="2"/>
      <c r="V204" s="2"/>
      <c r="W204" s="2"/>
      <c r="X204" s="2"/>
    </row>
    <row r="205" spans="2:24" x14ac:dyDescent="0.2">
      <c r="B205" s="2"/>
      <c r="C205" s="2" t="s">
        <v>166</v>
      </c>
      <c r="D205" s="2" t="s">
        <v>167</v>
      </c>
      <c r="E205" s="2" t="str">
        <f t="shared" si="3"/>
        <v>Se2O5-SeO2</v>
      </c>
      <c r="F205" s="2">
        <v>-53.58</v>
      </c>
      <c r="G205" s="2">
        <v>-56.6</v>
      </c>
      <c r="H205" s="2">
        <v>-59.73</v>
      </c>
      <c r="I205" s="2" t="s">
        <v>326</v>
      </c>
      <c r="J205" s="2"/>
      <c r="K205" s="2"/>
      <c r="L205" s="2"/>
      <c r="M205" s="2"/>
      <c r="N205" s="2"/>
      <c r="O205" s="2"/>
      <c r="P205" s="2"/>
      <c r="Q205" s="2"/>
      <c r="R205" s="2"/>
      <c r="S205" s="9"/>
      <c r="T205" s="2"/>
      <c r="U205" s="2"/>
      <c r="V205" s="2"/>
      <c r="W205" s="2"/>
      <c r="X205" s="2"/>
    </row>
    <row r="206" spans="2:24" x14ac:dyDescent="0.2">
      <c r="B206" s="2"/>
      <c r="C206" s="2" t="s">
        <v>167</v>
      </c>
      <c r="D206" s="2" t="s">
        <v>168</v>
      </c>
      <c r="E206" s="2" t="str">
        <f t="shared" si="3"/>
        <v>SeO2-Se</v>
      </c>
      <c r="F206" s="2">
        <v>-18.82</v>
      </c>
      <c r="G206" s="2">
        <v>-21.84</v>
      </c>
      <c r="H206" s="2">
        <v>-24.97</v>
      </c>
      <c r="I206" s="2" t="s">
        <v>326</v>
      </c>
      <c r="J206" s="2"/>
      <c r="K206" s="2"/>
      <c r="L206" s="2"/>
      <c r="M206" s="2"/>
      <c r="N206" s="2"/>
      <c r="O206" s="2"/>
      <c r="P206" s="2"/>
      <c r="Q206" s="2"/>
      <c r="R206" s="2"/>
      <c r="S206" s="9"/>
      <c r="T206" s="2"/>
      <c r="U206" s="2"/>
      <c r="V206" s="2"/>
      <c r="W206" s="2"/>
      <c r="X206" s="2"/>
    </row>
    <row r="207" spans="2:24" x14ac:dyDescent="0.2">
      <c r="B207" s="2"/>
      <c r="C207" s="2" t="s">
        <v>166</v>
      </c>
      <c r="D207" s="2" t="s">
        <v>168</v>
      </c>
      <c r="E207" s="2" t="str">
        <f t="shared" si="3"/>
        <v>Se2O5-Se</v>
      </c>
      <c r="F207" s="2">
        <v>-25.77</v>
      </c>
      <c r="G207" s="2">
        <v>-28.79</v>
      </c>
      <c r="H207" s="2">
        <v>-31.93</v>
      </c>
      <c r="I207" s="2" t="s">
        <v>326</v>
      </c>
      <c r="J207" s="2"/>
      <c r="K207" s="2"/>
      <c r="L207" s="2"/>
      <c r="M207" s="2"/>
      <c r="N207" s="2"/>
      <c r="O207" s="2"/>
      <c r="P207" s="2"/>
      <c r="Q207" s="2"/>
      <c r="R207" s="2"/>
      <c r="S207" s="9"/>
      <c r="T207" s="2"/>
      <c r="U207" s="2"/>
      <c r="V207" s="2"/>
      <c r="W207" s="2"/>
      <c r="X207" s="2"/>
    </row>
    <row r="208" spans="2:24" x14ac:dyDescent="0.2">
      <c r="B208" s="2"/>
      <c r="C208" s="2" t="s">
        <v>169</v>
      </c>
      <c r="D208" s="2" t="s">
        <v>170</v>
      </c>
      <c r="E208" s="2" t="str">
        <f t="shared" si="3"/>
        <v>SiO2-Si</v>
      </c>
      <c r="F208" s="2">
        <v>54.42</v>
      </c>
      <c r="G208" s="2">
        <v>51.4</v>
      </c>
      <c r="H208" s="2">
        <v>48.27</v>
      </c>
      <c r="I208" s="2" t="s">
        <v>326</v>
      </c>
      <c r="J208" s="2"/>
      <c r="K208" s="2"/>
      <c r="L208" s="2"/>
      <c r="M208" s="2"/>
      <c r="N208" s="2"/>
      <c r="O208" s="2"/>
      <c r="P208" s="2"/>
      <c r="Q208" s="2"/>
      <c r="R208" s="2"/>
      <c r="S208" s="9"/>
      <c r="T208" s="2"/>
      <c r="U208" s="2"/>
      <c r="V208" s="2"/>
      <c r="W208" s="2"/>
      <c r="X208" s="2"/>
    </row>
    <row r="209" spans="2:24" x14ac:dyDescent="0.2">
      <c r="B209" s="2"/>
      <c r="C209" s="2" t="s">
        <v>171</v>
      </c>
      <c r="D209" s="2" t="s">
        <v>172</v>
      </c>
      <c r="E209" s="2" t="str">
        <f t="shared" si="3"/>
        <v>Sm2O3-Sm</v>
      </c>
      <c r="F209" s="2">
        <v>89.9</v>
      </c>
      <c r="G209" s="2">
        <v>86.88</v>
      </c>
      <c r="H209" s="2">
        <v>83.75</v>
      </c>
      <c r="I209" s="2" t="s">
        <v>326</v>
      </c>
      <c r="J209" s="2"/>
      <c r="K209" s="2"/>
      <c r="L209" s="2"/>
      <c r="M209" s="2"/>
      <c r="N209" s="2"/>
      <c r="O209" s="2"/>
      <c r="P209" s="2"/>
      <c r="Q209" s="2"/>
      <c r="R209" s="2"/>
      <c r="S209" s="9"/>
      <c r="T209" s="2"/>
      <c r="U209" s="2"/>
      <c r="V209" s="2"/>
      <c r="W209" s="2"/>
      <c r="X209" s="2"/>
    </row>
    <row r="210" spans="2:24" x14ac:dyDescent="0.2">
      <c r="B210" s="2"/>
      <c r="C210" s="2" t="s">
        <v>173</v>
      </c>
      <c r="D210" s="2" t="s">
        <v>174</v>
      </c>
      <c r="E210" s="2" t="str">
        <f t="shared" si="3"/>
        <v>Sn5O6-SnO</v>
      </c>
      <c r="F210" s="2">
        <v>12.4</v>
      </c>
      <c r="G210" s="2">
        <v>9.3800000000000008</v>
      </c>
      <c r="H210" s="2">
        <v>6.25</v>
      </c>
      <c r="I210" s="2" t="s">
        <v>327</v>
      </c>
      <c r="J210" s="2"/>
      <c r="K210" s="2"/>
      <c r="L210" s="2"/>
      <c r="M210" s="2"/>
      <c r="N210" s="2"/>
      <c r="O210" s="2"/>
      <c r="P210" s="2"/>
      <c r="Q210" s="2"/>
      <c r="R210" s="2"/>
      <c r="S210" s="9"/>
      <c r="T210" s="2"/>
      <c r="U210" s="2"/>
      <c r="V210" s="2"/>
      <c r="W210" s="2"/>
      <c r="X210" s="2"/>
    </row>
    <row r="211" spans="2:24" x14ac:dyDescent="0.2">
      <c r="B211" s="2"/>
      <c r="C211" s="2" t="s">
        <v>176</v>
      </c>
      <c r="D211" s="2" t="s">
        <v>173</v>
      </c>
      <c r="E211" s="2" t="str">
        <f t="shared" si="3"/>
        <v>SnO2-Sn5O6</v>
      </c>
      <c r="F211" s="2">
        <v>11.86</v>
      </c>
      <c r="G211" s="2">
        <v>8.84</v>
      </c>
      <c r="H211" s="2">
        <v>5.71</v>
      </c>
      <c r="I211" s="2" t="s">
        <v>327</v>
      </c>
      <c r="J211" s="2"/>
      <c r="K211" s="2"/>
      <c r="L211" s="2"/>
      <c r="M211" s="2"/>
      <c r="N211" s="2"/>
      <c r="O211" s="2"/>
      <c r="P211" s="2"/>
      <c r="Q211" s="2"/>
      <c r="R211" s="2"/>
      <c r="S211" s="9"/>
      <c r="T211" s="2"/>
      <c r="U211" s="2"/>
      <c r="V211" s="2"/>
      <c r="W211" s="2"/>
      <c r="X211" s="2"/>
    </row>
    <row r="212" spans="2:24" x14ac:dyDescent="0.2">
      <c r="B212" s="2"/>
      <c r="C212" s="2" t="s">
        <v>173</v>
      </c>
      <c r="D212" s="2" t="s">
        <v>175</v>
      </c>
      <c r="E212" s="2" t="str">
        <f t="shared" si="3"/>
        <v>Sn5O6-Sn</v>
      </c>
      <c r="F212" s="2">
        <v>15.93</v>
      </c>
      <c r="G212" s="2">
        <v>12.91</v>
      </c>
      <c r="H212" s="2">
        <v>9.7799999999999994</v>
      </c>
      <c r="I212" s="2" t="s">
        <v>327</v>
      </c>
      <c r="J212" s="2"/>
      <c r="K212" s="2"/>
      <c r="L212" s="2"/>
      <c r="M212" s="2"/>
      <c r="N212" s="2"/>
      <c r="O212" s="2"/>
      <c r="P212" s="2"/>
      <c r="Q212" s="2"/>
      <c r="R212" s="2"/>
      <c r="S212" s="9"/>
      <c r="T212" s="2"/>
      <c r="U212" s="2"/>
      <c r="V212" s="2"/>
      <c r="W212" s="2"/>
      <c r="X212" s="2"/>
    </row>
    <row r="213" spans="2:24" x14ac:dyDescent="0.2">
      <c r="B213" s="2"/>
      <c r="C213" s="2" t="s">
        <v>176</v>
      </c>
      <c r="D213" s="2" t="s">
        <v>174</v>
      </c>
      <c r="E213" s="2" t="str">
        <f t="shared" si="3"/>
        <v>SnO2-SnO</v>
      </c>
      <c r="F213" s="2">
        <v>11.97</v>
      </c>
      <c r="G213" s="2">
        <v>8.9499999999999993</v>
      </c>
      <c r="H213" s="2">
        <v>5.82</v>
      </c>
      <c r="I213" s="2" t="s">
        <v>327</v>
      </c>
      <c r="J213" s="2"/>
      <c r="K213" s="2"/>
      <c r="L213" s="2"/>
      <c r="M213" s="2"/>
      <c r="N213" s="2"/>
      <c r="O213" s="2"/>
      <c r="P213" s="2"/>
      <c r="Q213" s="2"/>
      <c r="R213" s="2"/>
      <c r="S213" s="9"/>
      <c r="T213" s="2"/>
      <c r="U213" s="2"/>
      <c r="V213" s="2"/>
      <c r="W213" s="2"/>
      <c r="X213" s="2"/>
    </row>
    <row r="214" spans="2:24" x14ac:dyDescent="0.2">
      <c r="B214" s="2"/>
      <c r="C214" s="2" t="s">
        <v>174</v>
      </c>
      <c r="D214" s="2" t="s">
        <v>175</v>
      </c>
      <c r="E214" s="2" t="str">
        <f t="shared" si="3"/>
        <v>SnO-Sn</v>
      </c>
      <c r="F214" s="2">
        <v>16.63</v>
      </c>
      <c r="G214" s="2">
        <v>13.61</v>
      </c>
      <c r="H214" s="2">
        <v>10.48</v>
      </c>
      <c r="I214" s="2" t="s">
        <v>327</v>
      </c>
      <c r="J214" s="2"/>
      <c r="K214" s="2"/>
      <c r="L214" s="2"/>
      <c r="M214" s="2"/>
      <c r="N214" s="2"/>
      <c r="O214" s="2"/>
      <c r="P214" s="2"/>
      <c r="Q214" s="2"/>
      <c r="R214" s="2"/>
      <c r="S214" s="9"/>
      <c r="T214" s="2"/>
      <c r="U214" s="2"/>
      <c r="V214" s="2"/>
      <c r="W214" s="2"/>
      <c r="X214" s="2"/>
    </row>
    <row r="215" spans="2:24" x14ac:dyDescent="0.2">
      <c r="B215" s="2"/>
      <c r="C215" s="2" t="s">
        <v>176</v>
      </c>
      <c r="D215" s="2" t="s">
        <v>175</v>
      </c>
      <c r="E215" s="2" t="str">
        <f t="shared" si="3"/>
        <v>SnO2-Sn</v>
      </c>
      <c r="F215" s="2">
        <v>14.3</v>
      </c>
      <c r="G215" s="2">
        <v>11.28</v>
      </c>
      <c r="H215" s="2">
        <v>8.15</v>
      </c>
      <c r="I215" s="2" t="s">
        <v>327</v>
      </c>
      <c r="J215" s="2"/>
      <c r="K215" s="2"/>
      <c r="L215" s="2"/>
      <c r="M215" s="2"/>
      <c r="N215" s="2"/>
      <c r="O215" s="2"/>
      <c r="P215" s="2"/>
      <c r="Q215" s="2"/>
      <c r="R215" s="2"/>
      <c r="S215" s="9"/>
      <c r="T215" s="2"/>
      <c r="U215" s="2"/>
      <c r="V215" s="2"/>
      <c r="W215" s="2"/>
      <c r="X215" s="2"/>
    </row>
    <row r="216" spans="2:24" x14ac:dyDescent="0.2">
      <c r="B216" s="2"/>
      <c r="C216" s="2" t="s">
        <v>179</v>
      </c>
      <c r="D216" s="2" t="s">
        <v>177</v>
      </c>
      <c r="E216" s="2" t="str">
        <f t="shared" si="3"/>
        <v>SrO2-SrO</v>
      </c>
      <c r="F216" s="2">
        <v>-49.18</v>
      </c>
      <c r="G216" s="2">
        <v>-52.2</v>
      </c>
      <c r="H216" s="2">
        <v>-55.33</v>
      </c>
      <c r="I216" s="2" t="s">
        <v>326</v>
      </c>
      <c r="J216" s="2"/>
      <c r="K216" s="2"/>
      <c r="L216" s="2"/>
      <c r="M216" s="2"/>
      <c r="N216" s="2"/>
      <c r="O216" s="2"/>
      <c r="P216" s="2"/>
      <c r="Q216" s="2"/>
      <c r="R216" s="2"/>
      <c r="S216" s="9"/>
      <c r="T216" s="2"/>
      <c r="U216" s="2"/>
      <c r="V216" s="2"/>
      <c r="W216" s="2"/>
      <c r="X216" s="2"/>
    </row>
    <row r="217" spans="2:24" x14ac:dyDescent="0.2">
      <c r="B217" s="2"/>
      <c r="C217" s="2" t="s">
        <v>177</v>
      </c>
      <c r="D217" s="2" t="s">
        <v>178</v>
      </c>
      <c r="E217" s="2" t="str">
        <f t="shared" si="3"/>
        <v>SrO-Sr</v>
      </c>
      <c r="F217" s="2">
        <v>83.43</v>
      </c>
      <c r="G217" s="2">
        <v>80.41</v>
      </c>
      <c r="H217" s="2">
        <v>77.28</v>
      </c>
      <c r="I217" s="2" t="s">
        <v>326</v>
      </c>
      <c r="J217" s="2"/>
      <c r="K217" s="2"/>
      <c r="L217" s="2"/>
      <c r="M217" s="2"/>
      <c r="N217" s="2"/>
      <c r="O217" s="2"/>
      <c r="P217" s="2"/>
      <c r="Q217" s="2"/>
      <c r="R217" s="2"/>
      <c r="S217" s="9"/>
      <c r="T217" s="2"/>
      <c r="U217" s="2"/>
      <c r="V217" s="2"/>
      <c r="W217" s="2"/>
      <c r="X217" s="2"/>
    </row>
    <row r="218" spans="2:24" x14ac:dyDescent="0.2">
      <c r="B218" s="2"/>
      <c r="C218" s="2" t="s">
        <v>179</v>
      </c>
      <c r="D218" s="2" t="s">
        <v>178</v>
      </c>
      <c r="E218" s="2" t="str">
        <f t="shared" si="3"/>
        <v>SrO2-Sr</v>
      </c>
      <c r="F218" s="2">
        <v>17.13</v>
      </c>
      <c r="G218" s="2">
        <v>14.11</v>
      </c>
      <c r="H218" s="2">
        <v>10.98</v>
      </c>
      <c r="I218" s="2" t="s">
        <v>327</v>
      </c>
      <c r="J218" s="2"/>
      <c r="K218" s="2"/>
      <c r="L218" s="2"/>
      <c r="M218" s="2"/>
      <c r="N218" s="2"/>
      <c r="O218" s="2"/>
      <c r="P218" s="2"/>
      <c r="Q218" s="2"/>
      <c r="R218" s="2"/>
      <c r="S218" s="9"/>
      <c r="T218" s="2"/>
      <c r="U218" s="2"/>
      <c r="V218" s="2"/>
      <c r="W218" s="2"/>
      <c r="X218" s="2"/>
    </row>
    <row r="219" spans="2:24" x14ac:dyDescent="0.2">
      <c r="B219" s="2"/>
      <c r="C219" s="2" t="s">
        <v>180</v>
      </c>
      <c r="D219" s="2" t="s">
        <v>181</v>
      </c>
      <c r="E219" s="2" t="str">
        <f t="shared" si="3"/>
        <v>Ta2O5-Ta</v>
      </c>
      <c r="F219" s="2">
        <v>49.11</v>
      </c>
      <c r="G219" s="2">
        <v>46.09</v>
      </c>
      <c r="H219" s="2">
        <v>42.96</v>
      </c>
      <c r="I219" s="2" t="s">
        <v>326</v>
      </c>
      <c r="J219" s="2"/>
      <c r="K219" s="2"/>
      <c r="L219" s="2"/>
      <c r="M219" s="2"/>
      <c r="N219" s="2"/>
      <c r="O219" s="2"/>
      <c r="P219" s="2"/>
      <c r="Q219" s="2"/>
      <c r="R219" s="2"/>
      <c r="S219" s="9"/>
      <c r="T219" s="2"/>
      <c r="U219" s="2"/>
      <c r="V219" s="2"/>
      <c r="W219" s="2"/>
      <c r="X219" s="2"/>
    </row>
    <row r="220" spans="2:24" x14ac:dyDescent="0.2">
      <c r="B220" s="2"/>
      <c r="C220" s="2" t="s">
        <v>182</v>
      </c>
      <c r="D220" s="2" t="s">
        <v>183</v>
      </c>
      <c r="E220" s="2" t="str">
        <f t="shared" si="3"/>
        <v>Tb2O3-Tb</v>
      </c>
      <c r="F220" s="2">
        <v>94.61</v>
      </c>
      <c r="G220" s="2">
        <v>91.59</v>
      </c>
      <c r="H220" s="2">
        <v>88.46</v>
      </c>
      <c r="I220" s="2" t="s">
        <v>326</v>
      </c>
      <c r="J220" s="2"/>
      <c r="K220" s="2"/>
      <c r="L220" s="2"/>
      <c r="M220" s="2"/>
      <c r="N220" s="2"/>
      <c r="O220" s="2"/>
      <c r="P220" s="2"/>
      <c r="Q220" s="2"/>
      <c r="R220" s="2"/>
      <c r="S220" s="9"/>
      <c r="T220" s="2"/>
      <c r="U220" s="2"/>
      <c r="V220" s="2"/>
      <c r="W220" s="2"/>
      <c r="X220" s="2"/>
    </row>
    <row r="221" spans="2:24" x14ac:dyDescent="0.2">
      <c r="B221" s="2"/>
      <c r="C221" s="2" t="s">
        <v>184</v>
      </c>
      <c r="D221" s="2" t="s">
        <v>185</v>
      </c>
      <c r="E221" s="2" t="str">
        <f t="shared" si="3"/>
        <v>Tc2O7-TcO2</v>
      </c>
      <c r="F221" s="2">
        <v>-21.06</v>
      </c>
      <c r="G221" s="2">
        <v>-24.08</v>
      </c>
      <c r="H221" s="2">
        <v>-27.21</v>
      </c>
      <c r="I221" s="2" t="s">
        <v>326</v>
      </c>
      <c r="J221" s="2"/>
      <c r="K221" s="2"/>
      <c r="L221" s="2"/>
      <c r="M221" s="2"/>
      <c r="N221" s="2"/>
      <c r="O221" s="2"/>
      <c r="P221" s="2"/>
      <c r="Q221" s="2"/>
      <c r="R221" s="2"/>
      <c r="S221" s="9"/>
      <c r="T221" s="2"/>
      <c r="U221" s="2"/>
      <c r="V221" s="2"/>
      <c r="W221" s="2"/>
      <c r="X221" s="2"/>
    </row>
    <row r="222" spans="2:24" x14ac:dyDescent="0.2">
      <c r="B222" s="2"/>
      <c r="C222" s="2" t="s">
        <v>184</v>
      </c>
      <c r="D222" s="2" t="s">
        <v>186</v>
      </c>
      <c r="E222" s="2" t="str">
        <f t="shared" si="3"/>
        <v>Tc2O7-Tc</v>
      </c>
      <c r="F222" s="2">
        <v>-5.3</v>
      </c>
      <c r="G222" s="2">
        <v>-8.32</v>
      </c>
      <c r="H222" s="2">
        <v>-11.45</v>
      </c>
      <c r="I222" s="2" t="s">
        <v>327</v>
      </c>
      <c r="J222" s="2"/>
      <c r="K222" s="2"/>
      <c r="L222" s="2"/>
      <c r="M222" s="2"/>
      <c r="N222" s="2"/>
      <c r="O222" s="2"/>
      <c r="P222" s="2"/>
      <c r="Q222" s="2"/>
      <c r="R222" s="2"/>
      <c r="S222" s="9"/>
      <c r="T222" s="2"/>
      <c r="U222" s="2"/>
      <c r="V222" s="2"/>
      <c r="W222" s="2"/>
      <c r="X222" s="2"/>
    </row>
    <row r="223" spans="2:24" x14ac:dyDescent="0.2">
      <c r="B223" s="2"/>
      <c r="C223" s="2" t="s">
        <v>185</v>
      </c>
      <c r="D223" s="2" t="s">
        <v>186</v>
      </c>
      <c r="E223" s="2" t="str">
        <f t="shared" si="3"/>
        <v>TcO2-Tc</v>
      </c>
      <c r="F223" s="2">
        <v>6.52</v>
      </c>
      <c r="G223" s="2">
        <v>3.5</v>
      </c>
      <c r="H223" s="2">
        <v>0.37</v>
      </c>
      <c r="I223" s="2" t="s">
        <v>327</v>
      </c>
      <c r="J223" s="2"/>
      <c r="K223" s="2"/>
      <c r="L223" s="2"/>
      <c r="M223" s="2"/>
      <c r="N223" s="2"/>
      <c r="O223" s="2"/>
      <c r="P223" s="2"/>
      <c r="Q223" s="2"/>
      <c r="R223" s="2"/>
      <c r="S223" s="9"/>
      <c r="T223" s="2"/>
      <c r="U223" s="2"/>
      <c r="V223" s="2"/>
      <c r="W223" s="2"/>
      <c r="X223" s="2"/>
    </row>
    <row r="224" spans="2:24" x14ac:dyDescent="0.2">
      <c r="B224" s="2"/>
      <c r="C224" s="2" t="s">
        <v>187</v>
      </c>
      <c r="D224" s="2" t="s">
        <v>188</v>
      </c>
      <c r="E224" s="2" t="str">
        <f t="shared" si="3"/>
        <v>Te2O5-TeO2</v>
      </c>
      <c r="F224" s="2">
        <v>-36.56</v>
      </c>
      <c r="G224" s="2">
        <v>-39.58</v>
      </c>
      <c r="H224" s="2">
        <v>-42.71</v>
      </c>
      <c r="I224" s="2" t="s">
        <v>326</v>
      </c>
      <c r="J224" s="2"/>
      <c r="K224" s="2"/>
      <c r="L224" s="2"/>
      <c r="M224" s="2"/>
      <c r="N224" s="2"/>
      <c r="O224" s="2"/>
      <c r="P224" s="2"/>
      <c r="Q224" s="2"/>
      <c r="R224" s="2"/>
      <c r="S224" s="9"/>
      <c r="T224" s="2"/>
      <c r="U224" s="2"/>
      <c r="V224" s="2"/>
      <c r="W224" s="2"/>
      <c r="X224" s="2"/>
    </row>
    <row r="225" spans="2:24" x14ac:dyDescent="0.2">
      <c r="B225" s="2"/>
      <c r="C225" s="2" t="s">
        <v>190</v>
      </c>
      <c r="D225" s="2" t="s">
        <v>188</v>
      </c>
      <c r="E225" s="2" t="str">
        <f t="shared" si="3"/>
        <v>TeO3-TeO2</v>
      </c>
      <c r="F225" s="2">
        <v>-38.24</v>
      </c>
      <c r="G225" s="2">
        <v>-41.26</v>
      </c>
      <c r="H225" s="2">
        <v>-44.39</v>
      </c>
      <c r="I225" s="2" t="s">
        <v>326</v>
      </c>
      <c r="J225" s="2"/>
      <c r="K225" s="2"/>
      <c r="L225" s="2"/>
      <c r="M225" s="2"/>
      <c r="N225" s="2"/>
      <c r="O225" s="2"/>
      <c r="P225" s="2"/>
      <c r="Q225" s="2"/>
      <c r="R225" s="2"/>
      <c r="S225" s="9"/>
      <c r="T225" s="2"/>
      <c r="U225" s="2"/>
      <c r="V225" s="2"/>
      <c r="W225" s="2"/>
      <c r="X225" s="2"/>
    </row>
    <row r="226" spans="2:24" x14ac:dyDescent="0.2">
      <c r="B226" s="2"/>
      <c r="C226" s="2" t="s">
        <v>188</v>
      </c>
      <c r="D226" s="2" t="s">
        <v>189</v>
      </c>
      <c r="E226" s="2" t="str">
        <f t="shared" si="3"/>
        <v>TeO2-Te</v>
      </c>
      <c r="F226" s="2">
        <v>-6.99</v>
      </c>
      <c r="G226" s="2">
        <v>-10.01</v>
      </c>
      <c r="H226" s="2">
        <v>-13.14</v>
      </c>
      <c r="I226" s="2" t="s">
        <v>327</v>
      </c>
      <c r="J226" s="2"/>
      <c r="K226" s="2"/>
      <c r="L226" s="2"/>
      <c r="M226" s="2"/>
      <c r="N226" s="2"/>
      <c r="O226" s="2"/>
      <c r="P226" s="2"/>
      <c r="Q226" s="2"/>
      <c r="R226" s="2"/>
      <c r="S226" s="9"/>
      <c r="T226" s="2"/>
      <c r="U226" s="2"/>
      <c r="V226" s="2"/>
      <c r="W226" s="2"/>
      <c r="X226" s="2"/>
    </row>
    <row r="227" spans="2:24" x14ac:dyDescent="0.2">
      <c r="B227" s="2"/>
      <c r="C227" s="2" t="s">
        <v>190</v>
      </c>
      <c r="D227" s="2" t="s">
        <v>187</v>
      </c>
      <c r="E227" s="2" t="str">
        <f t="shared" si="3"/>
        <v>TeO3-Te2O5</v>
      </c>
      <c r="F227" s="2">
        <v>-39.93</v>
      </c>
      <c r="G227" s="2">
        <v>-42.95</v>
      </c>
      <c r="H227" s="2">
        <v>-46.08</v>
      </c>
      <c r="I227" s="2" t="s">
        <v>326</v>
      </c>
      <c r="J227" s="2"/>
      <c r="K227" s="2"/>
      <c r="L227" s="2"/>
      <c r="M227" s="2"/>
      <c r="N227" s="2"/>
      <c r="O227" s="2"/>
      <c r="P227" s="2"/>
      <c r="Q227" s="2"/>
      <c r="R227" s="2"/>
      <c r="S227" s="9"/>
      <c r="T227" s="2"/>
      <c r="U227" s="2"/>
      <c r="V227" s="2"/>
      <c r="W227" s="2"/>
      <c r="X227" s="2"/>
    </row>
    <row r="228" spans="2:24" x14ac:dyDescent="0.2">
      <c r="B228" s="2"/>
      <c r="C228" s="2" t="s">
        <v>187</v>
      </c>
      <c r="D228" s="2" t="s">
        <v>189</v>
      </c>
      <c r="E228" s="2" t="str">
        <f t="shared" si="3"/>
        <v>Te2O5-Te</v>
      </c>
      <c r="F228" s="2">
        <v>-12.9</v>
      </c>
      <c r="G228" s="2">
        <v>-15.92</v>
      </c>
      <c r="H228" s="2">
        <v>-19.05</v>
      </c>
      <c r="I228" s="2" t="s">
        <v>326</v>
      </c>
      <c r="J228" s="2"/>
      <c r="K228" s="2"/>
      <c r="L228" s="2"/>
      <c r="M228" s="2"/>
      <c r="N228" s="2"/>
      <c r="O228" s="2"/>
      <c r="P228" s="2"/>
      <c r="Q228" s="2"/>
      <c r="R228" s="2"/>
      <c r="S228" s="9"/>
      <c r="T228" s="2"/>
      <c r="U228" s="2"/>
      <c r="V228" s="2"/>
      <c r="W228" s="2"/>
      <c r="X228" s="2"/>
    </row>
    <row r="229" spans="2:24" x14ac:dyDescent="0.2">
      <c r="B229" s="2"/>
      <c r="C229" s="2" t="s">
        <v>190</v>
      </c>
      <c r="D229" s="2" t="s">
        <v>189</v>
      </c>
      <c r="E229" s="2" t="str">
        <f t="shared" si="3"/>
        <v>TeO3-Te</v>
      </c>
      <c r="F229" s="2">
        <v>-17.41</v>
      </c>
      <c r="G229" s="2">
        <v>-20.43</v>
      </c>
      <c r="H229" s="2">
        <v>-23.56</v>
      </c>
      <c r="I229" s="2" t="s">
        <v>326</v>
      </c>
      <c r="J229" s="2"/>
      <c r="K229" s="2"/>
      <c r="L229" s="2"/>
      <c r="M229" s="2"/>
      <c r="N229" s="2"/>
      <c r="O229" s="2"/>
      <c r="P229" s="2"/>
      <c r="Q229" s="2"/>
      <c r="R229" s="2"/>
      <c r="S229" s="9"/>
      <c r="T229" s="2"/>
      <c r="U229" s="2"/>
      <c r="V229" s="2"/>
      <c r="W229" s="2"/>
      <c r="X229" s="2"/>
    </row>
    <row r="230" spans="2:24" x14ac:dyDescent="0.2">
      <c r="B230" s="2"/>
      <c r="C230" s="2" t="s">
        <v>191</v>
      </c>
      <c r="D230" s="2" t="s">
        <v>192</v>
      </c>
      <c r="E230" s="2" t="str">
        <f t="shared" si="3"/>
        <v>ThO2-Th</v>
      </c>
      <c r="F230" s="2">
        <v>92.54</v>
      </c>
      <c r="G230" s="2">
        <v>89.52</v>
      </c>
      <c r="H230" s="2">
        <v>86.39</v>
      </c>
      <c r="I230" s="2" t="s">
        <v>326</v>
      </c>
      <c r="J230" s="2"/>
      <c r="K230" s="2"/>
      <c r="L230" s="2"/>
      <c r="M230" s="2"/>
      <c r="N230" s="2"/>
      <c r="O230" s="2"/>
      <c r="P230" s="2"/>
      <c r="Q230" s="2"/>
      <c r="R230" s="2"/>
      <c r="S230" s="9"/>
      <c r="T230" s="2"/>
      <c r="U230" s="2"/>
      <c r="V230" s="2"/>
      <c r="W230" s="2"/>
      <c r="X230" s="2"/>
    </row>
    <row r="231" spans="2:24" x14ac:dyDescent="0.2">
      <c r="B231" s="2"/>
      <c r="C231" s="2" t="s">
        <v>200</v>
      </c>
      <c r="D231" s="2" t="s">
        <v>194</v>
      </c>
      <c r="E231" s="2" t="str">
        <f t="shared" si="3"/>
        <v>TiO2-Ti6O</v>
      </c>
      <c r="F231" s="2">
        <v>60.1</v>
      </c>
      <c r="G231" s="2">
        <v>57.08</v>
      </c>
      <c r="H231" s="2">
        <v>53.95</v>
      </c>
      <c r="I231" s="2" t="s">
        <v>326</v>
      </c>
      <c r="J231" s="2"/>
      <c r="K231" s="2"/>
      <c r="L231" s="2"/>
      <c r="M231" s="2"/>
      <c r="N231" s="2"/>
      <c r="O231" s="2"/>
      <c r="P231" s="2"/>
      <c r="Q231" s="2"/>
      <c r="R231" s="2"/>
      <c r="S231" s="9"/>
      <c r="T231" s="2"/>
      <c r="U231" s="2"/>
      <c r="V231" s="2"/>
      <c r="W231" s="2"/>
      <c r="X231" s="2"/>
    </row>
    <row r="232" spans="2:24" x14ac:dyDescent="0.2">
      <c r="B232" s="2"/>
      <c r="C232" s="2" t="s">
        <v>198</v>
      </c>
      <c r="D232" s="2" t="s">
        <v>194</v>
      </c>
      <c r="E232" s="2" t="str">
        <f t="shared" si="3"/>
        <v>TiO-Ti6O</v>
      </c>
      <c r="F232" s="2">
        <v>72.78</v>
      </c>
      <c r="G232" s="2">
        <v>69.760000000000005</v>
      </c>
      <c r="H232" s="2">
        <v>66.63</v>
      </c>
      <c r="I232" s="2" t="s">
        <v>326</v>
      </c>
      <c r="J232" s="2"/>
      <c r="K232" s="2"/>
      <c r="L232" s="2"/>
      <c r="M232" s="2"/>
      <c r="N232" s="2"/>
      <c r="O232" s="2"/>
      <c r="P232" s="2"/>
      <c r="Q232" s="2"/>
      <c r="R232" s="2"/>
      <c r="S232" s="9"/>
      <c r="T232" s="2"/>
      <c r="U232" s="2"/>
      <c r="V232" s="2"/>
      <c r="W232" s="2"/>
      <c r="X232" s="2"/>
    </row>
    <row r="233" spans="2:24" x14ac:dyDescent="0.2">
      <c r="B233" s="2"/>
      <c r="C233" s="2" t="s">
        <v>193</v>
      </c>
      <c r="D233" s="2" t="s">
        <v>194</v>
      </c>
      <c r="E233" s="2" t="str">
        <f t="shared" si="3"/>
        <v>Ti2O-Ti6O</v>
      </c>
      <c r="F233" s="2">
        <v>78.680000000000007</v>
      </c>
      <c r="G233" s="2">
        <v>75.66</v>
      </c>
      <c r="H233" s="2">
        <v>72.53</v>
      </c>
      <c r="I233" s="2" t="s">
        <v>326</v>
      </c>
      <c r="J233" s="2"/>
      <c r="K233" s="2"/>
      <c r="L233" s="2"/>
      <c r="M233" s="2"/>
      <c r="N233" s="2"/>
      <c r="O233" s="2"/>
      <c r="P233" s="2"/>
      <c r="Q233" s="2"/>
      <c r="R233" s="2"/>
      <c r="S233" s="9"/>
      <c r="T233" s="2"/>
      <c r="U233" s="2"/>
      <c r="V233" s="2"/>
      <c r="W233" s="2"/>
      <c r="X233" s="2"/>
    </row>
    <row r="234" spans="2:24" x14ac:dyDescent="0.2">
      <c r="B234" s="2"/>
      <c r="C234" s="2" t="s">
        <v>195</v>
      </c>
      <c r="D234" s="2" t="s">
        <v>194</v>
      </c>
      <c r="E234" s="2" t="str">
        <f t="shared" si="3"/>
        <v>Ti3O-Ti6O</v>
      </c>
      <c r="F234" s="2">
        <v>83.22</v>
      </c>
      <c r="G234" s="2">
        <v>80.2</v>
      </c>
      <c r="H234" s="2">
        <v>77.069999999999993</v>
      </c>
      <c r="I234" s="2" t="s">
        <v>326</v>
      </c>
      <c r="J234" s="2"/>
      <c r="K234" s="2"/>
      <c r="L234" s="2"/>
      <c r="M234" s="2"/>
      <c r="N234" s="2"/>
      <c r="O234" s="2"/>
      <c r="P234" s="2"/>
      <c r="Q234" s="2"/>
      <c r="R234" s="2"/>
      <c r="S234" s="9"/>
      <c r="T234" s="2"/>
      <c r="U234" s="2"/>
      <c r="V234" s="2"/>
      <c r="W234" s="2"/>
      <c r="X234" s="2"/>
    </row>
    <row r="235" spans="2:24" x14ac:dyDescent="0.2">
      <c r="B235" s="2"/>
      <c r="C235" s="2" t="s">
        <v>199</v>
      </c>
      <c r="D235" s="2" t="s">
        <v>194</v>
      </c>
      <c r="E235" s="2" t="str">
        <f t="shared" si="3"/>
        <v>Ti3O5-Ti6O</v>
      </c>
      <c r="F235" s="2">
        <v>63.75</v>
      </c>
      <c r="G235" s="2">
        <v>60.73</v>
      </c>
      <c r="H235" s="2">
        <v>57.6</v>
      </c>
      <c r="I235" s="2" t="s">
        <v>326</v>
      </c>
      <c r="J235" s="2"/>
      <c r="K235" s="2"/>
      <c r="L235" s="2"/>
      <c r="M235" s="2"/>
      <c r="N235" s="2"/>
      <c r="O235" s="2"/>
      <c r="P235" s="2"/>
      <c r="Q235" s="2"/>
      <c r="R235" s="2"/>
      <c r="S235" s="9"/>
      <c r="T235" s="2"/>
      <c r="U235" s="2"/>
      <c r="V235" s="2"/>
      <c r="W235" s="2"/>
      <c r="X235" s="2"/>
    </row>
    <row r="236" spans="2:24" x14ac:dyDescent="0.2">
      <c r="B236" s="2"/>
      <c r="C236" s="2" t="s">
        <v>197</v>
      </c>
      <c r="D236" s="2" t="s">
        <v>194</v>
      </c>
      <c r="E236" s="2" t="str">
        <f t="shared" si="3"/>
        <v>Ti2O3-Ti6O</v>
      </c>
      <c r="F236" s="2">
        <v>65.760000000000005</v>
      </c>
      <c r="G236" s="2">
        <v>62.74</v>
      </c>
      <c r="H236" s="2">
        <v>59.61</v>
      </c>
      <c r="I236" s="2" t="s">
        <v>326</v>
      </c>
      <c r="J236" s="2"/>
      <c r="K236" s="2"/>
      <c r="L236" s="2"/>
      <c r="M236" s="2"/>
      <c r="N236" s="2"/>
      <c r="O236" s="2"/>
      <c r="P236" s="2"/>
      <c r="Q236" s="2"/>
      <c r="R236" s="2"/>
      <c r="S236" s="9"/>
      <c r="T236" s="2"/>
      <c r="U236" s="2"/>
      <c r="V236" s="2"/>
      <c r="W236" s="2"/>
      <c r="X236" s="2"/>
    </row>
    <row r="237" spans="2:24" x14ac:dyDescent="0.2">
      <c r="B237" s="2"/>
      <c r="C237" s="2" t="s">
        <v>194</v>
      </c>
      <c r="D237" s="2" t="s">
        <v>196</v>
      </c>
      <c r="E237" s="2" t="str">
        <f t="shared" si="3"/>
        <v>Ti6O-Ti</v>
      </c>
      <c r="F237" s="2">
        <v>89.1</v>
      </c>
      <c r="G237" s="2">
        <v>86.08</v>
      </c>
      <c r="H237" s="2">
        <v>82.95</v>
      </c>
      <c r="I237" s="2" t="s">
        <v>326</v>
      </c>
      <c r="J237" s="2"/>
      <c r="K237" s="2"/>
      <c r="L237" s="2"/>
      <c r="M237" s="2"/>
      <c r="N237" s="2"/>
      <c r="O237" s="2"/>
      <c r="P237" s="2"/>
      <c r="Q237" s="2"/>
      <c r="R237" s="2"/>
      <c r="S237" s="9"/>
      <c r="T237" s="2"/>
      <c r="U237" s="2"/>
      <c r="V237" s="2"/>
      <c r="W237" s="2"/>
      <c r="X237" s="2"/>
    </row>
    <row r="238" spans="2:24" x14ac:dyDescent="0.2">
      <c r="B238" s="2"/>
      <c r="C238" s="2" t="s">
        <v>200</v>
      </c>
      <c r="D238" s="2" t="s">
        <v>198</v>
      </c>
      <c r="E238" s="2" t="str">
        <f t="shared" si="3"/>
        <v>TiO2-TiO</v>
      </c>
      <c r="F238" s="2">
        <v>49.53</v>
      </c>
      <c r="G238" s="2">
        <v>46.51</v>
      </c>
      <c r="H238" s="2">
        <v>43.38</v>
      </c>
      <c r="I238" s="2" t="s">
        <v>326</v>
      </c>
      <c r="J238" s="2"/>
      <c r="K238" s="2"/>
      <c r="L238" s="2"/>
      <c r="M238" s="2"/>
      <c r="N238" s="2"/>
      <c r="O238" s="2"/>
      <c r="P238" s="2"/>
      <c r="Q238" s="2"/>
      <c r="R238" s="2"/>
      <c r="S238" s="9"/>
      <c r="T238" s="2"/>
      <c r="U238" s="2"/>
      <c r="V238" s="2"/>
      <c r="W238" s="2"/>
      <c r="X238" s="2"/>
    </row>
    <row r="239" spans="2:24" x14ac:dyDescent="0.2">
      <c r="B239" s="2"/>
      <c r="C239" s="2" t="s">
        <v>200</v>
      </c>
      <c r="D239" s="2" t="s">
        <v>193</v>
      </c>
      <c r="E239" s="2" t="str">
        <f t="shared" si="3"/>
        <v>TiO2-Ti2O</v>
      </c>
      <c r="F239" s="2">
        <v>55.97</v>
      </c>
      <c r="G239" s="2">
        <v>52.95</v>
      </c>
      <c r="H239" s="2">
        <v>49.82</v>
      </c>
      <c r="I239" s="2" t="s">
        <v>326</v>
      </c>
      <c r="J239" s="2"/>
      <c r="K239" s="2"/>
      <c r="L239" s="2"/>
      <c r="M239" s="2"/>
      <c r="N239" s="2"/>
      <c r="O239" s="2"/>
      <c r="P239" s="2"/>
      <c r="Q239" s="2"/>
      <c r="R239" s="2"/>
      <c r="S239" s="9"/>
      <c r="T239" s="2"/>
      <c r="U239" s="2"/>
      <c r="V239" s="2"/>
      <c r="W239" s="2"/>
      <c r="X239" s="2"/>
    </row>
    <row r="240" spans="2:24" x14ac:dyDescent="0.2">
      <c r="B240" s="2"/>
      <c r="C240" s="2" t="s">
        <v>200</v>
      </c>
      <c r="D240" s="2" t="s">
        <v>195</v>
      </c>
      <c r="E240" s="2" t="str">
        <f t="shared" si="3"/>
        <v>TiO2-Ti3O</v>
      </c>
      <c r="F240" s="2">
        <v>57.79</v>
      </c>
      <c r="G240" s="2">
        <v>54.77</v>
      </c>
      <c r="H240" s="2">
        <v>51.64</v>
      </c>
      <c r="I240" s="2" t="s">
        <v>326</v>
      </c>
      <c r="J240" s="2"/>
      <c r="K240" s="2"/>
      <c r="L240" s="2"/>
      <c r="M240" s="2"/>
      <c r="N240" s="2"/>
      <c r="O240" s="2"/>
      <c r="P240" s="2"/>
      <c r="Q240" s="2"/>
      <c r="R240" s="2"/>
      <c r="S240" s="9"/>
      <c r="T240" s="2"/>
      <c r="U240" s="2"/>
      <c r="V240" s="2"/>
      <c r="W240" s="2"/>
      <c r="X240" s="2"/>
    </row>
    <row r="241" spans="2:24" x14ac:dyDescent="0.2">
      <c r="B241" s="2"/>
      <c r="C241" s="2" t="s">
        <v>200</v>
      </c>
      <c r="D241" s="2" t="s">
        <v>199</v>
      </c>
      <c r="E241" s="2" t="str">
        <f t="shared" si="3"/>
        <v>TiO2-Ti3O5</v>
      </c>
      <c r="F241" s="2">
        <v>43.67</v>
      </c>
      <c r="G241" s="2">
        <v>40.65</v>
      </c>
      <c r="H241" s="2">
        <v>37.520000000000003</v>
      </c>
      <c r="I241" s="2" t="s">
        <v>326</v>
      </c>
      <c r="J241" s="2"/>
      <c r="K241" s="2"/>
      <c r="L241" s="2"/>
      <c r="M241" s="2"/>
      <c r="N241" s="2"/>
      <c r="O241" s="2"/>
      <c r="P241" s="2"/>
      <c r="Q241" s="2"/>
      <c r="R241" s="2"/>
      <c r="S241" s="9"/>
      <c r="T241" s="2"/>
      <c r="U241" s="2"/>
      <c r="V241" s="2"/>
      <c r="W241" s="2"/>
      <c r="X241" s="2"/>
    </row>
    <row r="242" spans="2:24" x14ac:dyDescent="0.2">
      <c r="B242" s="2"/>
      <c r="C242" s="2" t="s">
        <v>200</v>
      </c>
      <c r="D242" s="2" t="s">
        <v>197</v>
      </c>
      <c r="E242" s="2" t="str">
        <f t="shared" si="3"/>
        <v>TiO2-Ti2O3</v>
      </c>
      <c r="F242" s="2">
        <v>45</v>
      </c>
      <c r="G242" s="2">
        <v>41.98</v>
      </c>
      <c r="H242" s="2">
        <v>38.85</v>
      </c>
      <c r="I242" s="2" t="s">
        <v>326</v>
      </c>
      <c r="J242" s="2"/>
      <c r="K242" s="2"/>
      <c r="L242" s="2"/>
      <c r="M242" s="2"/>
      <c r="N242" s="2"/>
      <c r="O242" s="2"/>
      <c r="P242" s="2"/>
      <c r="Q242" s="2"/>
      <c r="R242" s="2"/>
      <c r="S242" s="9"/>
      <c r="T242" s="2"/>
      <c r="U242" s="2"/>
      <c r="V242" s="2"/>
      <c r="W242" s="2"/>
      <c r="X242" s="2"/>
    </row>
    <row r="243" spans="2:24" x14ac:dyDescent="0.2">
      <c r="B243" s="2"/>
      <c r="C243" s="2" t="s">
        <v>200</v>
      </c>
      <c r="D243" s="2" t="s">
        <v>196</v>
      </c>
      <c r="E243" s="2" t="str">
        <f t="shared" si="3"/>
        <v>TiO2-Ti</v>
      </c>
      <c r="F243" s="2">
        <v>62.52</v>
      </c>
      <c r="G243" s="2">
        <v>59.5</v>
      </c>
      <c r="H243" s="2">
        <v>56.37</v>
      </c>
      <c r="I243" s="2" t="s">
        <v>326</v>
      </c>
      <c r="J243" s="2"/>
      <c r="K243" s="2"/>
      <c r="L243" s="2"/>
      <c r="M243" s="2"/>
      <c r="N243" s="2"/>
      <c r="O243" s="2"/>
      <c r="P243" s="2"/>
      <c r="Q243" s="2"/>
      <c r="R243" s="2"/>
      <c r="S243" s="9"/>
      <c r="T243" s="2"/>
      <c r="U243" s="2"/>
      <c r="V243" s="2"/>
      <c r="W243" s="2"/>
      <c r="X243" s="2"/>
    </row>
    <row r="244" spans="2:24" x14ac:dyDescent="0.2">
      <c r="B244" s="2"/>
      <c r="C244" s="2" t="s">
        <v>198</v>
      </c>
      <c r="D244" s="2" t="s">
        <v>193</v>
      </c>
      <c r="E244" s="2" t="str">
        <f t="shared" si="3"/>
        <v>TiO-Ti2O</v>
      </c>
      <c r="F244" s="2">
        <v>68.849999999999994</v>
      </c>
      <c r="G244" s="2">
        <v>65.83</v>
      </c>
      <c r="H244" s="2">
        <v>62.7</v>
      </c>
      <c r="I244" s="2" t="s">
        <v>326</v>
      </c>
      <c r="J244" s="2"/>
      <c r="K244" s="2"/>
      <c r="L244" s="2"/>
      <c r="M244" s="2"/>
      <c r="N244" s="2"/>
      <c r="O244" s="2"/>
      <c r="P244" s="2"/>
      <c r="Q244" s="2"/>
      <c r="R244" s="2"/>
      <c r="S244" s="9"/>
      <c r="T244" s="2"/>
      <c r="U244" s="2"/>
      <c r="V244" s="2"/>
      <c r="W244" s="2"/>
      <c r="X244" s="2"/>
    </row>
    <row r="245" spans="2:24" x14ac:dyDescent="0.2">
      <c r="B245" s="2"/>
      <c r="C245" s="2" t="s">
        <v>198</v>
      </c>
      <c r="D245" s="2" t="s">
        <v>195</v>
      </c>
      <c r="E245" s="2" t="str">
        <f t="shared" si="3"/>
        <v>TiO-Ti3O</v>
      </c>
      <c r="F245" s="2">
        <v>70.17</v>
      </c>
      <c r="G245" s="2">
        <v>67.150000000000006</v>
      </c>
      <c r="H245" s="2">
        <v>64.02</v>
      </c>
      <c r="I245" s="2" t="s">
        <v>326</v>
      </c>
      <c r="J245" s="2"/>
      <c r="K245" s="2"/>
      <c r="L245" s="2"/>
      <c r="M245" s="2"/>
      <c r="N245" s="2"/>
      <c r="O245" s="2"/>
      <c r="P245" s="2"/>
      <c r="Q245" s="2"/>
      <c r="R245" s="2"/>
      <c r="S245" s="9"/>
      <c r="T245" s="2"/>
      <c r="U245" s="2"/>
      <c r="V245" s="2"/>
      <c r="W245" s="2"/>
      <c r="X245" s="2"/>
    </row>
    <row r="246" spans="2:24" x14ac:dyDescent="0.2">
      <c r="B246" s="2"/>
      <c r="C246" s="2" t="s">
        <v>199</v>
      </c>
      <c r="D246" s="2" t="s">
        <v>198</v>
      </c>
      <c r="E246" s="2" t="str">
        <f t="shared" si="3"/>
        <v>Ti3O5-TiO</v>
      </c>
      <c r="F246" s="2">
        <v>52.46</v>
      </c>
      <c r="G246" s="2">
        <v>49.44</v>
      </c>
      <c r="H246" s="2">
        <v>46.31</v>
      </c>
      <c r="I246" s="2" t="s">
        <v>326</v>
      </c>
      <c r="J246" s="2"/>
      <c r="K246" s="2"/>
      <c r="L246" s="2"/>
      <c r="M246" s="2"/>
      <c r="N246" s="2"/>
      <c r="O246" s="2"/>
      <c r="P246" s="2"/>
      <c r="Q246" s="2"/>
      <c r="R246" s="2"/>
      <c r="S246" s="9"/>
      <c r="T246" s="2"/>
      <c r="U246" s="2"/>
      <c r="V246" s="2"/>
      <c r="W246" s="2"/>
      <c r="X246" s="2"/>
    </row>
    <row r="247" spans="2:24" x14ac:dyDescent="0.2">
      <c r="B247" s="2"/>
      <c r="C247" s="2" t="s">
        <v>197</v>
      </c>
      <c r="D247" s="2" t="s">
        <v>198</v>
      </c>
      <c r="E247" s="2" t="str">
        <f t="shared" si="3"/>
        <v>Ti2O3-TiO</v>
      </c>
      <c r="F247" s="2">
        <v>54.06</v>
      </c>
      <c r="G247" s="2">
        <v>51.04</v>
      </c>
      <c r="H247" s="2">
        <v>47.91</v>
      </c>
      <c r="I247" s="2" t="s">
        <v>326</v>
      </c>
      <c r="J247" s="2"/>
      <c r="K247" s="2"/>
      <c r="L247" s="2"/>
      <c r="M247" s="2"/>
      <c r="N247" s="2"/>
      <c r="O247" s="2"/>
      <c r="P247" s="2"/>
      <c r="Q247" s="2"/>
      <c r="R247" s="2"/>
      <c r="S247" s="9"/>
      <c r="T247" s="2"/>
      <c r="U247" s="2"/>
      <c r="V247" s="2"/>
      <c r="W247" s="2"/>
      <c r="X247" s="2"/>
    </row>
    <row r="248" spans="2:24" x14ac:dyDescent="0.2">
      <c r="B248" s="2"/>
      <c r="C248" s="2" t="s">
        <v>198</v>
      </c>
      <c r="D248" s="2" t="s">
        <v>196</v>
      </c>
      <c r="E248" s="2" t="str">
        <f t="shared" si="3"/>
        <v>TiO-Ti</v>
      </c>
      <c r="F248" s="2">
        <v>75.5</v>
      </c>
      <c r="G248" s="2">
        <v>72.48</v>
      </c>
      <c r="H248" s="2">
        <v>69.349999999999994</v>
      </c>
      <c r="I248" s="2" t="s">
        <v>326</v>
      </c>
      <c r="J248" s="2"/>
      <c r="K248" s="2"/>
      <c r="L248" s="2"/>
      <c r="M248" s="2"/>
      <c r="N248" s="2"/>
      <c r="O248" s="2"/>
      <c r="P248" s="2"/>
      <c r="Q248" s="2"/>
      <c r="R248" s="2"/>
      <c r="S248" s="9"/>
      <c r="T248" s="2"/>
      <c r="U248" s="2"/>
      <c r="V248" s="2"/>
      <c r="W248" s="2"/>
      <c r="X248" s="2"/>
    </row>
    <row r="249" spans="2:24" x14ac:dyDescent="0.2">
      <c r="B249" s="2"/>
      <c r="C249" s="2" t="s">
        <v>193</v>
      </c>
      <c r="D249" s="2" t="s">
        <v>195</v>
      </c>
      <c r="E249" s="2" t="str">
        <f t="shared" si="3"/>
        <v>Ti2O-Ti3O</v>
      </c>
      <c r="F249" s="2">
        <v>74.14</v>
      </c>
      <c r="G249" s="2">
        <v>71.12</v>
      </c>
      <c r="H249" s="2">
        <v>67.989999999999995</v>
      </c>
      <c r="I249" s="2" t="s">
        <v>326</v>
      </c>
      <c r="J249" s="2"/>
      <c r="K249" s="2"/>
      <c r="L249" s="2"/>
      <c r="M249" s="2"/>
      <c r="N249" s="2"/>
      <c r="O249" s="2"/>
      <c r="P249" s="2"/>
      <c r="Q249" s="2"/>
      <c r="R249" s="2"/>
      <c r="S249" s="9"/>
      <c r="T249" s="2"/>
      <c r="U249" s="2"/>
      <c r="V249" s="2"/>
      <c r="W249" s="2"/>
      <c r="X249" s="2"/>
    </row>
    <row r="250" spans="2:24" x14ac:dyDescent="0.2">
      <c r="B250" s="2"/>
      <c r="C250" s="2" t="s">
        <v>199</v>
      </c>
      <c r="D250" s="2" t="s">
        <v>193</v>
      </c>
      <c r="E250" s="2" t="str">
        <f t="shared" si="3"/>
        <v>Ti3O5-Ti2O</v>
      </c>
      <c r="F250" s="2">
        <v>59.48</v>
      </c>
      <c r="G250" s="2">
        <v>56.46</v>
      </c>
      <c r="H250" s="2">
        <v>53.33</v>
      </c>
      <c r="I250" s="2" t="s">
        <v>326</v>
      </c>
      <c r="J250" s="2"/>
      <c r="K250" s="2"/>
      <c r="L250" s="2"/>
      <c r="M250" s="2"/>
      <c r="N250" s="2"/>
      <c r="O250" s="2"/>
      <c r="P250" s="2"/>
      <c r="Q250" s="2"/>
      <c r="R250" s="2"/>
      <c r="S250" s="9"/>
      <c r="T250" s="2"/>
      <c r="U250" s="2"/>
      <c r="V250" s="2"/>
      <c r="W250" s="2"/>
      <c r="X250" s="2"/>
    </row>
    <row r="251" spans="2:24" x14ac:dyDescent="0.2">
      <c r="B251" s="2"/>
      <c r="C251" s="2" t="s">
        <v>197</v>
      </c>
      <c r="D251" s="2" t="s">
        <v>193</v>
      </c>
      <c r="E251" s="2" t="str">
        <f t="shared" si="3"/>
        <v>Ti2O3-Ti2O</v>
      </c>
      <c r="F251" s="2">
        <v>61.46</v>
      </c>
      <c r="G251" s="2">
        <v>58.44</v>
      </c>
      <c r="H251" s="2">
        <v>55.31</v>
      </c>
      <c r="I251" s="2" t="s">
        <v>326</v>
      </c>
      <c r="J251" s="2"/>
      <c r="K251" s="2"/>
      <c r="L251" s="2"/>
      <c r="M251" s="2"/>
      <c r="N251" s="2"/>
      <c r="O251" s="2"/>
      <c r="P251" s="2"/>
      <c r="Q251" s="2"/>
      <c r="R251" s="2"/>
      <c r="S251" s="9"/>
      <c r="T251" s="2"/>
      <c r="U251" s="2"/>
      <c r="V251" s="2"/>
      <c r="W251" s="2"/>
      <c r="X251" s="2"/>
    </row>
    <row r="252" spans="2:24" x14ac:dyDescent="0.2">
      <c r="B252" s="2"/>
      <c r="C252" s="2" t="s">
        <v>193</v>
      </c>
      <c r="D252" s="2" t="s">
        <v>196</v>
      </c>
      <c r="E252" s="2" t="str">
        <f t="shared" si="3"/>
        <v>Ti2O-Ti</v>
      </c>
      <c r="F252" s="2">
        <v>82.15</v>
      </c>
      <c r="G252" s="2">
        <v>79.13</v>
      </c>
      <c r="H252" s="2">
        <v>76</v>
      </c>
      <c r="I252" s="2" t="s">
        <v>326</v>
      </c>
      <c r="J252" s="2"/>
      <c r="K252" s="2"/>
      <c r="L252" s="2"/>
      <c r="M252" s="2"/>
      <c r="N252" s="2"/>
      <c r="O252" s="2"/>
      <c r="P252" s="2"/>
      <c r="Q252" s="2"/>
      <c r="R252" s="2"/>
      <c r="S252" s="9"/>
      <c r="T252" s="2"/>
      <c r="U252" s="2"/>
      <c r="V252" s="2"/>
      <c r="W252" s="2"/>
      <c r="X252" s="2"/>
    </row>
    <row r="253" spans="2:24" x14ac:dyDescent="0.2">
      <c r="B253" s="2"/>
      <c r="C253" s="2" t="s">
        <v>199</v>
      </c>
      <c r="D253" s="2" t="s">
        <v>195</v>
      </c>
      <c r="E253" s="2" t="str">
        <f t="shared" si="3"/>
        <v>Ti3O5-Ti3O</v>
      </c>
      <c r="F253" s="2">
        <v>61.32</v>
      </c>
      <c r="G253" s="2">
        <v>58.3</v>
      </c>
      <c r="H253" s="2">
        <v>55.17</v>
      </c>
      <c r="I253" s="2" t="s">
        <v>326</v>
      </c>
      <c r="J253" s="2"/>
      <c r="K253" s="2"/>
      <c r="L253" s="2"/>
      <c r="M253" s="2"/>
      <c r="N253" s="2"/>
      <c r="O253" s="2"/>
      <c r="P253" s="2"/>
      <c r="Q253" s="2"/>
      <c r="R253" s="2"/>
      <c r="S253" s="9"/>
      <c r="T253" s="2"/>
      <c r="U253" s="2"/>
      <c r="V253" s="2"/>
      <c r="W253" s="2"/>
      <c r="X253" s="2"/>
    </row>
    <row r="254" spans="2:24" x14ac:dyDescent="0.2">
      <c r="B254" s="2"/>
      <c r="C254" s="2" t="s">
        <v>197</v>
      </c>
      <c r="D254" s="2" t="s">
        <v>195</v>
      </c>
      <c r="E254" s="2" t="str">
        <f t="shared" si="3"/>
        <v>Ti2O3-Ti3O</v>
      </c>
      <c r="F254" s="2">
        <v>63.27</v>
      </c>
      <c r="G254" s="2">
        <v>60.25</v>
      </c>
      <c r="H254" s="2">
        <v>57.12</v>
      </c>
      <c r="I254" s="2" t="s">
        <v>326</v>
      </c>
      <c r="J254" s="2"/>
      <c r="K254" s="2"/>
      <c r="L254" s="2"/>
      <c r="M254" s="2"/>
      <c r="N254" s="2"/>
      <c r="O254" s="2"/>
      <c r="P254" s="2"/>
      <c r="Q254" s="2"/>
      <c r="R254" s="2"/>
      <c r="S254" s="9"/>
      <c r="T254" s="2"/>
      <c r="U254" s="2"/>
      <c r="V254" s="2"/>
      <c r="W254" s="2"/>
      <c r="X254" s="2"/>
    </row>
    <row r="255" spans="2:24" x14ac:dyDescent="0.2">
      <c r="B255" s="2"/>
      <c r="C255" s="2" t="s">
        <v>195</v>
      </c>
      <c r="D255" s="2" t="s">
        <v>196</v>
      </c>
      <c r="E255" s="2" t="str">
        <f t="shared" si="3"/>
        <v>Ti3O-Ti</v>
      </c>
      <c r="F255" s="2">
        <v>86.16</v>
      </c>
      <c r="G255" s="2">
        <v>83.14</v>
      </c>
      <c r="H255" s="2">
        <v>80.010000000000005</v>
      </c>
      <c r="I255" s="2" t="s">
        <v>326</v>
      </c>
      <c r="J255" s="2"/>
      <c r="K255" s="2"/>
      <c r="L255" s="2"/>
      <c r="M255" s="2"/>
      <c r="N255" s="2"/>
      <c r="O255" s="2"/>
      <c r="P255" s="2"/>
      <c r="Q255" s="2"/>
      <c r="R255" s="2"/>
      <c r="S255" s="9"/>
      <c r="T255" s="2"/>
      <c r="U255" s="2"/>
      <c r="V255" s="2"/>
      <c r="W255" s="2"/>
      <c r="X255" s="2"/>
    </row>
    <row r="256" spans="2:24" x14ac:dyDescent="0.2">
      <c r="B256" s="2"/>
      <c r="C256" s="2" t="s">
        <v>199</v>
      </c>
      <c r="D256" s="2" t="s">
        <v>197</v>
      </c>
      <c r="E256" s="2" t="str">
        <f t="shared" si="3"/>
        <v>Ti3O5-Ti2O3</v>
      </c>
      <c r="F256" s="2">
        <v>47.66</v>
      </c>
      <c r="G256" s="2">
        <v>44.64</v>
      </c>
      <c r="H256" s="2">
        <v>41.51</v>
      </c>
      <c r="I256" s="2" t="s">
        <v>326</v>
      </c>
      <c r="J256" s="2"/>
      <c r="K256" s="2"/>
      <c r="L256" s="2"/>
      <c r="M256" s="2"/>
      <c r="N256" s="2"/>
      <c r="O256" s="2"/>
      <c r="P256" s="2"/>
      <c r="Q256" s="2"/>
      <c r="R256" s="2"/>
      <c r="S256" s="9"/>
      <c r="T256" s="2"/>
      <c r="U256" s="2"/>
      <c r="V256" s="2"/>
      <c r="W256" s="2"/>
      <c r="X256" s="2"/>
    </row>
    <row r="257" spans="2:24" x14ac:dyDescent="0.2">
      <c r="B257" s="2"/>
      <c r="C257" s="2" t="s">
        <v>199</v>
      </c>
      <c r="D257" s="2" t="s">
        <v>196</v>
      </c>
      <c r="E257" s="2" t="str">
        <f t="shared" si="3"/>
        <v>Ti3O5-Ti</v>
      </c>
      <c r="F257" s="2">
        <v>66.290000000000006</v>
      </c>
      <c r="G257" s="2">
        <v>63.27</v>
      </c>
      <c r="H257" s="2">
        <v>60.13</v>
      </c>
      <c r="I257" s="2" t="s">
        <v>326</v>
      </c>
      <c r="J257" s="2"/>
      <c r="K257" s="2"/>
      <c r="L257" s="2"/>
      <c r="M257" s="2"/>
      <c r="N257" s="2"/>
      <c r="O257" s="2"/>
      <c r="P257" s="2"/>
      <c r="Q257" s="2"/>
      <c r="R257" s="2"/>
      <c r="S257" s="9"/>
      <c r="T257" s="2"/>
      <c r="U257" s="2"/>
      <c r="V257" s="2"/>
      <c r="W257" s="2"/>
      <c r="X257" s="2"/>
    </row>
    <row r="258" spans="2:24" x14ac:dyDescent="0.2">
      <c r="B258" s="2"/>
      <c r="C258" s="2" t="s">
        <v>197</v>
      </c>
      <c r="D258" s="2" t="s">
        <v>196</v>
      </c>
      <c r="E258" s="2" t="str">
        <f t="shared" ref="E258:E298" si="4">C258 &amp; "-" &amp; D258</f>
        <v>Ti2O3-Ti</v>
      </c>
      <c r="F258" s="2">
        <v>68.349999999999994</v>
      </c>
      <c r="G258" s="2">
        <v>65.33</v>
      </c>
      <c r="H258" s="2">
        <v>62.2</v>
      </c>
      <c r="I258" s="2" t="s">
        <v>326</v>
      </c>
      <c r="J258" s="2"/>
      <c r="K258" s="2"/>
      <c r="L258" s="2"/>
      <c r="M258" s="2"/>
      <c r="N258" s="2"/>
      <c r="O258" s="2"/>
      <c r="P258" s="2"/>
      <c r="Q258" s="2"/>
      <c r="R258" s="2"/>
      <c r="S258" s="9"/>
      <c r="T258" s="2"/>
      <c r="U258" s="2"/>
      <c r="V258" s="2"/>
      <c r="W258" s="2"/>
      <c r="X258" s="2"/>
    </row>
    <row r="259" spans="2:24" x14ac:dyDescent="0.2">
      <c r="B259" s="2"/>
      <c r="C259" s="2" t="s">
        <v>204</v>
      </c>
      <c r="D259" s="2" t="s">
        <v>201</v>
      </c>
      <c r="E259" s="2" t="str">
        <f t="shared" si="4"/>
        <v>Tl4O3-Tl2O</v>
      </c>
      <c r="F259" s="2">
        <v>-20.39</v>
      </c>
      <c r="G259" s="2">
        <v>-23.41</v>
      </c>
      <c r="H259" s="2">
        <v>-26.54</v>
      </c>
      <c r="I259" s="2" t="s">
        <v>326</v>
      </c>
      <c r="J259" s="2"/>
      <c r="K259" s="2"/>
      <c r="L259" s="2"/>
      <c r="M259" s="2"/>
      <c r="N259" s="2"/>
      <c r="O259" s="2"/>
      <c r="P259" s="2"/>
      <c r="Q259" s="2"/>
      <c r="R259" s="2"/>
      <c r="S259" s="9"/>
      <c r="T259" s="2"/>
      <c r="U259" s="2"/>
      <c r="V259" s="2"/>
      <c r="W259" s="2"/>
      <c r="X259" s="2"/>
    </row>
    <row r="260" spans="2:24" x14ac:dyDescent="0.2">
      <c r="B260" s="2"/>
      <c r="C260" s="2" t="s">
        <v>203</v>
      </c>
      <c r="D260" s="2" t="s">
        <v>204</v>
      </c>
      <c r="E260" s="2" t="str">
        <f t="shared" si="4"/>
        <v>Tl2O3-Tl4O3</v>
      </c>
      <c r="F260" s="2">
        <v>-23.99</v>
      </c>
      <c r="G260" s="2">
        <v>-27.01</v>
      </c>
      <c r="H260" s="2">
        <v>-30.14</v>
      </c>
      <c r="I260" s="2" t="s">
        <v>326</v>
      </c>
      <c r="J260" s="2"/>
      <c r="K260" s="2"/>
      <c r="L260" s="2"/>
      <c r="M260" s="2"/>
      <c r="N260" s="2"/>
      <c r="O260" s="2"/>
      <c r="P260" s="2"/>
      <c r="Q260" s="2"/>
      <c r="R260" s="2"/>
      <c r="S260" s="9"/>
      <c r="T260" s="2"/>
      <c r="U260" s="2"/>
      <c r="V260" s="2"/>
      <c r="W260" s="2"/>
      <c r="X260" s="2"/>
    </row>
    <row r="261" spans="2:24" x14ac:dyDescent="0.2">
      <c r="B261" s="2"/>
      <c r="C261" s="2" t="s">
        <v>204</v>
      </c>
      <c r="D261" s="2" t="s">
        <v>202</v>
      </c>
      <c r="E261" s="2" t="str">
        <f t="shared" si="4"/>
        <v>Tl4O3-Tl</v>
      </c>
      <c r="F261" s="2">
        <v>-8.2899999999999991</v>
      </c>
      <c r="G261" s="2">
        <v>-11.31</v>
      </c>
      <c r="H261" s="2">
        <v>-14.44</v>
      </c>
      <c r="I261" s="2" t="s">
        <v>326</v>
      </c>
      <c r="J261" s="2"/>
      <c r="K261" s="2"/>
      <c r="L261" s="2"/>
      <c r="M261" s="2"/>
      <c r="N261" s="2"/>
      <c r="O261" s="2"/>
      <c r="P261" s="2"/>
      <c r="Q261" s="2"/>
      <c r="R261" s="2"/>
      <c r="S261" s="9"/>
      <c r="T261" s="2"/>
      <c r="U261" s="2"/>
      <c r="V261" s="2"/>
      <c r="W261" s="2"/>
      <c r="X261" s="2"/>
    </row>
    <row r="262" spans="2:24" x14ac:dyDescent="0.2">
      <c r="B262" s="2"/>
      <c r="C262" s="2" t="s">
        <v>203</v>
      </c>
      <c r="D262" s="2" t="s">
        <v>201</v>
      </c>
      <c r="E262" s="2" t="str">
        <f t="shared" si="4"/>
        <v>Tl2O3-Tl2O</v>
      </c>
      <c r="F262" s="2">
        <v>-23.09</v>
      </c>
      <c r="G262" s="2">
        <v>-26.11</v>
      </c>
      <c r="H262" s="2">
        <v>-29.24</v>
      </c>
      <c r="I262" s="2" t="s">
        <v>326</v>
      </c>
      <c r="J262" s="2"/>
      <c r="K262" s="2"/>
      <c r="L262" s="2"/>
      <c r="M262" s="2"/>
      <c r="N262" s="2"/>
      <c r="O262" s="2"/>
      <c r="P262" s="2"/>
      <c r="Q262" s="2"/>
      <c r="R262" s="2"/>
      <c r="S262" s="9"/>
      <c r="T262" s="2"/>
      <c r="U262" s="2"/>
      <c r="V262" s="2"/>
      <c r="W262" s="2"/>
      <c r="X262" s="2"/>
    </row>
    <row r="263" spans="2:24" x14ac:dyDescent="0.2">
      <c r="B263" s="2"/>
      <c r="C263" s="2" t="s">
        <v>201</v>
      </c>
      <c r="D263" s="2" t="s">
        <v>202</v>
      </c>
      <c r="E263" s="2" t="str">
        <f t="shared" si="4"/>
        <v>Tl2O-Tl</v>
      </c>
      <c r="F263" s="2">
        <v>-2.2400000000000002</v>
      </c>
      <c r="G263" s="2">
        <v>-5.26</v>
      </c>
      <c r="H263" s="2">
        <v>-8.39</v>
      </c>
      <c r="I263" s="2" t="s">
        <v>327</v>
      </c>
      <c r="J263" s="2"/>
      <c r="K263" s="2"/>
      <c r="L263" s="2"/>
      <c r="M263" s="2"/>
      <c r="N263" s="2"/>
      <c r="O263" s="2"/>
      <c r="P263" s="2"/>
      <c r="Q263" s="2"/>
      <c r="R263" s="2"/>
      <c r="S263" s="9"/>
      <c r="T263" s="2"/>
      <c r="U263" s="2"/>
      <c r="V263" s="2"/>
      <c r="W263" s="2"/>
      <c r="X263" s="2"/>
    </row>
    <row r="264" spans="2:24" x14ac:dyDescent="0.2">
      <c r="B264" s="2"/>
      <c r="C264" s="2" t="s">
        <v>203</v>
      </c>
      <c r="D264" s="2" t="s">
        <v>202</v>
      </c>
      <c r="E264" s="2" t="str">
        <f t="shared" si="4"/>
        <v>Tl2O3-Tl</v>
      </c>
      <c r="F264" s="2">
        <v>-16.14</v>
      </c>
      <c r="G264" s="2">
        <v>-19.16</v>
      </c>
      <c r="H264" s="2">
        <v>-22.29</v>
      </c>
      <c r="I264" s="2" t="s">
        <v>326</v>
      </c>
      <c r="J264" s="2"/>
      <c r="K264" s="2"/>
      <c r="L264" s="2"/>
      <c r="M264" s="2"/>
      <c r="N264" s="2"/>
      <c r="O264" s="2"/>
      <c r="P264" s="2"/>
      <c r="Q264" s="2"/>
      <c r="R264" s="2"/>
      <c r="S264" s="9"/>
      <c r="T264" s="2"/>
      <c r="U264" s="2"/>
      <c r="V264" s="2"/>
      <c r="W264" s="2"/>
      <c r="X264" s="2"/>
    </row>
    <row r="265" spans="2:24" x14ac:dyDescent="0.2">
      <c r="B265" s="2"/>
      <c r="C265" s="2" t="s">
        <v>205</v>
      </c>
      <c r="D265" s="2" t="s">
        <v>206</v>
      </c>
      <c r="E265" s="2" t="str">
        <f t="shared" si="4"/>
        <v>Tm2O3-Tm</v>
      </c>
      <c r="F265" s="2">
        <v>98.68</v>
      </c>
      <c r="G265" s="2">
        <v>95.66</v>
      </c>
      <c r="H265" s="2">
        <v>92.53</v>
      </c>
      <c r="I265" s="2" t="s">
        <v>326</v>
      </c>
      <c r="J265" s="2"/>
      <c r="K265" s="2"/>
      <c r="L265" s="2"/>
      <c r="M265" s="2"/>
      <c r="N265" s="2"/>
      <c r="O265" s="2"/>
      <c r="P265" s="2"/>
      <c r="Q265" s="2"/>
      <c r="R265" s="2"/>
      <c r="S265" s="9"/>
      <c r="T265" s="2"/>
      <c r="U265" s="2"/>
      <c r="V265" s="2"/>
      <c r="W265" s="2"/>
      <c r="X265" s="2"/>
    </row>
    <row r="266" spans="2:24" x14ac:dyDescent="0.2">
      <c r="B266" s="2"/>
      <c r="C266" s="2" t="s">
        <v>210</v>
      </c>
      <c r="D266" s="2" t="s">
        <v>207</v>
      </c>
      <c r="E266" s="2" t="str">
        <f t="shared" si="4"/>
        <v>UO3-U3O8</v>
      </c>
      <c r="F266" s="2">
        <v>1.74</v>
      </c>
      <c r="G266" s="2">
        <v>-1.28</v>
      </c>
      <c r="H266" s="2">
        <v>-4.41</v>
      </c>
      <c r="I266" s="2" t="s">
        <v>327</v>
      </c>
      <c r="J266" s="2"/>
      <c r="K266" s="2"/>
      <c r="L266" s="2"/>
      <c r="M266" s="2"/>
      <c r="N266" s="2"/>
      <c r="O266" s="2"/>
      <c r="P266" s="2"/>
      <c r="Q266" s="2"/>
      <c r="R266" s="2"/>
      <c r="S266" s="9"/>
      <c r="T266" s="2"/>
      <c r="U266" s="2"/>
      <c r="V266" s="2"/>
      <c r="W266" s="2"/>
      <c r="X266" s="2"/>
    </row>
    <row r="267" spans="2:24" x14ac:dyDescent="0.2">
      <c r="B267" s="2"/>
      <c r="C267" s="2" t="s">
        <v>207</v>
      </c>
      <c r="D267" s="2" t="s">
        <v>208</v>
      </c>
      <c r="E267" s="2" t="str">
        <f t="shared" si="4"/>
        <v>U3O8-UO2</v>
      </c>
      <c r="F267" s="2">
        <v>20.76</v>
      </c>
      <c r="G267" s="2">
        <v>17.739999999999998</v>
      </c>
      <c r="H267" s="2">
        <v>14.61</v>
      </c>
      <c r="I267" s="2" t="s">
        <v>326</v>
      </c>
      <c r="J267" s="2"/>
      <c r="K267" s="2"/>
      <c r="L267" s="2"/>
      <c r="M267" s="2"/>
      <c r="N267" s="2"/>
      <c r="O267" s="2"/>
      <c r="P267" s="2"/>
      <c r="Q267" s="2"/>
      <c r="R267" s="2"/>
      <c r="S267" s="9"/>
      <c r="T267" s="2"/>
      <c r="U267" s="2"/>
      <c r="V267" s="2"/>
      <c r="W267" s="2"/>
      <c r="X267" s="2"/>
    </row>
    <row r="268" spans="2:24" x14ac:dyDescent="0.2">
      <c r="B268" s="2"/>
      <c r="C268" s="2" t="s">
        <v>207</v>
      </c>
      <c r="D268" s="2" t="s">
        <v>209</v>
      </c>
      <c r="E268" s="2" t="str">
        <f t="shared" si="4"/>
        <v>U3O8-U</v>
      </c>
      <c r="F268" s="2">
        <v>58.7</v>
      </c>
      <c r="G268" s="2">
        <v>55.68</v>
      </c>
      <c r="H268" s="2">
        <v>52.55</v>
      </c>
      <c r="I268" s="2" t="s">
        <v>326</v>
      </c>
      <c r="J268" s="2"/>
      <c r="K268" s="2"/>
      <c r="L268" s="2"/>
      <c r="M268" s="2"/>
      <c r="N268" s="2"/>
      <c r="O268" s="2"/>
      <c r="P268" s="2"/>
      <c r="Q268" s="2"/>
      <c r="R268" s="2"/>
      <c r="S268" s="9"/>
      <c r="T268" s="2"/>
      <c r="U268" s="2"/>
      <c r="V268" s="2"/>
      <c r="W268" s="2"/>
      <c r="X268" s="2"/>
    </row>
    <row r="269" spans="2:24" x14ac:dyDescent="0.2">
      <c r="B269" s="2"/>
      <c r="C269" s="2" t="s">
        <v>210</v>
      </c>
      <c r="D269" s="2" t="s">
        <v>208</v>
      </c>
      <c r="E269" s="2" t="str">
        <f t="shared" si="4"/>
        <v>UO3-UO2</v>
      </c>
      <c r="F269" s="2">
        <v>14.42</v>
      </c>
      <c r="G269" s="2">
        <v>11.4</v>
      </c>
      <c r="H269" s="2">
        <v>8.27</v>
      </c>
      <c r="I269" s="2" t="s">
        <v>327</v>
      </c>
      <c r="J269" s="2"/>
      <c r="K269" s="2"/>
      <c r="L269" s="2"/>
      <c r="M269" s="2"/>
      <c r="N269" s="2"/>
      <c r="O269" s="2"/>
      <c r="P269" s="2"/>
      <c r="Q269" s="2"/>
      <c r="R269" s="2"/>
      <c r="S269" s="9"/>
      <c r="T269" s="2"/>
      <c r="U269" s="2"/>
      <c r="V269" s="2"/>
      <c r="W269" s="2"/>
      <c r="X269" s="2"/>
    </row>
    <row r="270" spans="2:24" x14ac:dyDescent="0.2">
      <c r="B270" s="2"/>
      <c r="C270" s="2" t="s">
        <v>210</v>
      </c>
      <c r="D270" s="2" t="s">
        <v>209</v>
      </c>
      <c r="E270" s="2" t="str">
        <f t="shared" si="4"/>
        <v>UO3-U</v>
      </c>
      <c r="F270" s="2">
        <v>52.37</v>
      </c>
      <c r="G270" s="2">
        <v>49.35</v>
      </c>
      <c r="H270" s="2">
        <v>46.22</v>
      </c>
      <c r="I270" s="2" t="s">
        <v>326</v>
      </c>
      <c r="J270" s="2"/>
      <c r="K270" s="2"/>
      <c r="L270" s="2"/>
      <c r="M270" s="2"/>
      <c r="N270" s="2"/>
      <c r="O270" s="2"/>
      <c r="P270" s="2"/>
      <c r="Q270" s="2"/>
      <c r="R270" s="2"/>
      <c r="S270" s="9"/>
      <c r="T270" s="2"/>
      <c r="U270" s="2"/>
      <c r="V270" s="2"/>
      <c r="W270" s="2"/>
      <c r="X270" s="2"/>
    </row>
    <row r="271" spans="2:24" x14ac:dyDescent="0.2">
      <c r="B271" s="2"/>
      <c r="C271" s="2" t="s">
        <v>208</v>
      </c>
      <c r="D271" s="2" t="s">
        <v>209</v>
      </c>
      <c r="E271" s="2" t="str">
        <f t="shared" si="4"/>
        <v>UO2-U</v>
      </c>
      <c r="F271" s="2">
        <v>71.34</v>
      </c>
      <c r="G271" s="2">
        <v>68.319999999999993</v>
      </c>
      <c r="H271" s="2">
        <v>65.19</v>
      </c>
      <c r="I271" s="2" t="s">
        <v>326</v>
      </c>
      <c r="J271" s="2"/>
      <c r="K271" s="2"/>
      <c r="L271" s="2"/>
      <c r="M271" s="2"/>
      <c r="N271" s="2"/>
      <c r="O271" s="2"/>
      <c r="P271" s="2"/>
      <c r="Q271" s="2"/>
      <c r="R271" s="2"/>
      <c r="S271" s="9"/>
      <c r="T271" s="2"/>
      <c r="U271" s="2"/>
      <c r="V271" s="2"/>
      <c r="W271" s="2"/>
      <c r="X271" s="2"/>
    </row>
    <row r="272" spans="2:24" x14ac:dyDescent="0.2">
      <c r="B272" s="2"/>
      <c r="C272" s="2" t="s">
        <v>215</v>
      </c>
      <c r="D272" s="2" t="s">
        <v>214</v>
      </c>
      <c r="E272" s="2" t="str">
        <f t="shared" si="4"/>
        <v>V3O7-V3O5</v>
      </c>
      <c r="F272" s="2">
        <v>-18.25</v>
      </c>
      <c r="G272" s="2">
        <v>-21.27</v>
      </c>
      <c r="H272" s="2">
        <v>-24.4</v>
      </c>
      <c r="I272" s="2" t="s">
        <v>326</v>
      </c>
      <c r="J272" s="2"/>
      <c r="K272" s="2"/>
      <c r="L272" s="2"/>
      <c r="M272" s="2"/>
      <c r="N272" s="2"/>
      <c r="O272" s="2"/>
      <c r="P272" s="2"/>
      <c r="Q272" s="2"/>
      <c r="R272" s="2"/>
      <c r="S272" s="9"/>
      <c r="T272" s="2"/>
      <c r="U272" s="2"/>
      <c r="V272" s="2"/>
      <c r="W272" s="2"/>
      <c r="X272" s="2"/>
    </row>
    <row r="273" spans="2:24" x14ac:dyDescent="0.2">
      <c r="B273" s="2"/>
      <c r="C273" s="2" t="s">
        <v>214</v>
      </c>
      <c r="D273" s="2" t="s">
        <v>211</v>
      </c>
      <c r="E273" s="2" t="str">
        <f t="shared" si="4"/>
        <v>V3O5-V2O3</v>
      </c>
      <c r="F273" s="2">
        <v>-4.41</v>
      </c>
      <c r="G273" s="2">
        <v>-7.43</v>
      </c>
      <c r="H273" s="2">
        <v>-10.57</v>
      </c>
      <c r="I273" s="2" t="s">
        <v>327</v>
      </c>
      <c r="J273" s="2"/>
      <c r="K273" s="2"/>
      <c r="L273" s="2"/>
      <c r="M273" s="2"/>
      <c r="N273" s="2"/>
      <c r="O273" s="2"/>
      <c r="P273" s="2"/>
      <c r="Q273" s="2"/>
      <c r="R273" s="2"/>
      <c r="S273" s="9"/>
      <c r="T273" s="2"/>
      <c r="U273" s="2"/>
      <c r="V273" s="2"/>
      <c r="W273" s="2"/>
      <c r="X273" s="2"/>
    </row>
    <row r="274" spans="2:24" x14ac:dyDescent="0.2">
      <c r="B274" s="2"/>
      <c r="C274" s="2" t="s">
        <v>213</v>
      </c>
      <c r="D274" s="2" t="s">
        <v>214</v>
      </c>
      <c r="E274" s="2" t="str">
        <f t="shared" si="4"/>
        <v>V2O5-V3O5</v>
      </c>
      <c r="F274" s="2">
        <v>-22.35</v>
      </c>
      <c r="G274" s="2">
        <v>-25.37</v>
      </c>
      <c r="H274" s="2">
        <v>-28.5</v>
      </c>
      <c r="I274" s="2" t="s">
        <v>326</v>
      </c>
      <c r="J274" s="2"/>
      <c r="K274" s="2"/>
      <c r="L274" s="2"/>
      <c r="M274" s="2"/>
      <c r="N274" s="2"/>
      <c r="O274" s="2"/>
      <c r="P274" s="2"/>
      <c r="Q274" s="2"/>
      <c r="R274" s="2"/>
      <c r="S274" s="9"/>
      <c r="T274" s="2"/>
      <c r="U274" s="2"/>
      <c r="V274" s="2"/>
      <c r="W274" s="2"/>
      <c r="X274" s="2"/>
    </row>
    <row r="275" spans="2:24" x14ac:dyDescent="0.2">
      <c r="B275" s="2"/>
      <c r="C275" s="2" t="s">
        <v>216</v>
      </c>
      <c r="D275" s="2" t="s">
        <v>214</v>
      </c>
      <c r="E275" s="2" t="str">
        <f t="shared" si="4"/>
        <v>VO2-V3O5</v>
      </c>
      <c r="F275" s="2">
        <v>-8.68</v>
      </c>
      <c r="G275" s="2">
        <v>-11.7</v>
      </c>
      <c r="H275" s="2">
        <v>-14.83</v>
      </c>
      <c r="I275" s="2" t="s">
        <v>326</v>
      </c>
      <c r="J275" s="2"/>
      <c r="K275" s="2"/>
      <c r="L275" s="2"/>
      <c r="M275" s="2"/>
      <c r="N275" s="2"/>
      <c r="O275" s="2"/>
      <c r="P275" s="2"/>
      <c r="Q275" s="2"/>
      <c r="R275" s="2"/>
      <c r="S275" s="9"/>
      <c r="T275" s="2"/>
      <c r="U275" s="2"/>
      <c r="V275" s="2"/>
      <c r="W275" s="2"/>
      <c r="X275" s="2"/>
    </row>
    <row r="276" spans="2:24" x14ac:dyDescent="0.2">
      <c r="B276" s="2"/>
      <c r="C276" s="2" t="s">
        <v>214</v>
      </c>
      <c r="D276" s="2" t="s">
        <v>212</v>
      </c>
      <c r="E276" s="2" t="str">
        <f t="shared" si="4"/>
        <v>V3O5-V</v>
      </c>
      <c r="F276" s="2">
        <v>33.81</v>
      </c>
      <c r="G276" s="2">
        <v>30.79</v>
      </c>
      <c r="H276" s="2">
        <v>27.66</v>
      </c>
      <c r="I276" s="2" t="s">
        <v>326</v>
      </c>
      <c r="J276" s="2"/>
      <c r="K276" s="2"/>
      <c r="L276" s="2"/>
      <c r="M276" s="2"/>
      <c r="N276" s="2"/>
      <c r="O276" s="2"/>
      <c r="P276" s="2"/>
      <c r="Q276" s="2"/>
      <c r="R276" s="2"/>
      <c r="S276" s="9"/>
      <c r="T276" s="2"/>
      <c r="U276" s="2"/>
      <c r="V276" s="2"/>
      <c r="W276" s="2"/>
      <c r="X276" s="2"/>
    </row>
    <row r="277" spans="2:24" x14ac:dyDescent="0.2">
      <c r="B277" s="2"/>
      <c r="C277" s="2" t="s">
        <v>215</v>
      </c>
      <c r="D277" s="2" t="s">
        <v>211</v>
      </c>
      <c r="E277" s="2" t="str">
        <f t="shared" si="4"/>
        <v>V3O7-V2O3</v>
      </c>
      <c r="F277" s="2">
        <v>-15.48</v>
      </c>
      <c r="G277" s="2">
        <v>-18.5</v>
      </c>
      <c r="H277" s="2">
        <v>-21.63</v>
      </c>
      <c r="I277" s="2" t="s">
        <v>326</v>
      </c>
      <c r="J277" s="2"/>
      <c r="K277" s="2"/>
      <c r="L277" s="2"/>
      <c r="M277" s="2"/>
      <c r="N277" s="2"/>
      <c r="O277" s="2"/>
      <c r="P277" s="2"/>
      <c r="Q277" s="2"/>
      <c r="R277" s="2"/>
      <c r="S277" s="9"/>
      <c r="T277" s="2"/>
      <c r="U277" s="2"/>
      <c r="V277" s="2"/>
      <c r="W277" s="2"/>
      <c r="X277" s="2"/>
    </row>
    <row r="278" spans="2:24" x14ac:dyDescent="0.2">
      <c r="B278" s="2"/>
      <c r="C278" s="2" t="s">
        <v>213</v>
      </c>
      <c r="D278" s="2" t="s">
        <v>215</v>
      </c>
      <c r="E278" s="2" t="str">
        <f t="shared" si="4"/>
        <v>V2O5-V3O7</v>
      </c>
      <c r="F278" s="2">
        <v>-38.75</v>
      </c>
      <c r="G278" s="2">
        <v>-41.77</v>
      </c>
      <c r="H278" s="2">
        <v>-44.9</v>
      </c>
      <c r="I278" s="2" t="s">
        <v>326</v>
      </c>
      <c r="J278" s="2"/>
      <c r="K278" s="2"/>
      <c r="L278" s="2"/>
      <c r="M278" s="2"/>
      <c r="N278" s="2"/>
      <c r="O278" s="2"/>
      <c r="P278" s="2"/>
      <c r="Q278" s="2"/>
      <c r="R278" s="2"/>
      <c r="S278" s="9"/>
      <c r="T278" s="2"/>
      <c r="U278" s="2"/>
      <c r="V278" s="2"/>
      <c r="W278" s="2"/>
      <c r="X278" s="2"/>
    </row>
    <row r="279" spans="2:24" x14ac:dyDescent="0.2">
      <c r="B279" s="2"/>
      <c r="C279" s="2" t="s">
        <v>215</v>
      </c>
      <c r="D279" s="2" t="s">
        <v>216</v>
      </c>
      <c r="E279" s="2" t="str">
        <f t="shared" si="4"/>
        <v>V3O7-VO2</v>
      </c>
      <c r="F279" s="2">
        <v>-27.82</v>
      </c>
      <c r="G279" s="2">
        <v>-30.84</v>
      </c>
      <c r="H279" s="2">
        <v>-33.97</v>
      </c>
      <c r="I279" s="2" t="s">
        <v>326</v>
      </c>
      <c r="J279" s="2"/>
      <c r="K279" s="2"/>
      <c r="L279" s="2"/>
      <c r="M279" s="2"/>
      <c r="N279" s="2"/>
      <c r="O279" s="2"/>
      <c r="P279" s="2"/>
      <c r="Q279" s="2"/>
      <c r="R279" s="2"/>
      <c r="S279" s="9"/>
      <c r="T279" s="2"/>
      <c r="U279" s="2"/>
      <c r="V279" s="2"/>
      <c r="W279" s="2"/>
      <c r="X279" s="2"/>
    </row>
    <row r="280" spans="2:24" x14ac:dyDescent="0.2">
      <c r="B280" s="2"/>
      <c r="C280" s="2" t="s">
        <v>215</v>
      </c>
      <c r="D280" s="2" t="s">
        <v>212</v>
      </c>
      <c r="E280" s="2" t="str">
        <f t="shared" si="4"/>
        <v>V3O7-V</v>
      </c>
      <c r="F280" s="2">
        <v>18.940000000000001</v>
      </c>
      <c r="G280" s="2">
        <v>15.92</v>
      </c>
      <c r="H280" s="2">
        <v>12.79</v>
      </c>
      <c r="I280" s="2" t="s">
        <v>327</v>
      </c>
      <c r="J280" s="2"/>
      <c r="K280" s="2"/>
      <c r="L280" s="2"/>
      <c r="M280" s="2"/>
      <c r="N280" s="2"/>
      <c r="O280" s="2"/>
      <c r="P280" s="2"/>
      <c r="Q280" s="2"/>
      <c r="R280" s="2"/>
      <c r="S280" s="9"/>
      <c r="T280" s="2"/>
      <c r="U280" s="2"/>
      <c r="V280" s="2"/>
      <c r="W280" s="2"/>
      <c r="X280" s="2"/>
    </row>
    <row r="281" spans="2:24" x14ac:dyDescent="0.2">
      <c r="B281" s="2"/>
      <c r="C281" s="2" t="s">
        <v>213</v>
      </c>
      <c r="D281" s="2" t="s">
        <v>211</v>
      </c>
      <c r="E281" s="2" t="str">
        <f t="shared" si="4"/>
        <v>V2O5-V2O3</v>
      </c>
      <c r="F281" s="2">
        <v>-19.36</v>
      </c>
      <c r="G281" s="2">
        <v>-22.38</v>
      </c>
      <c r="H281" s="2">
        <v>-25.51</v>
      </c>
      <c r="I281" s="2" t="s">
        <v>326</v>
      </c>
      <c r="J281" s="2"/>
      <c r="K281" s="2"/>
      <c r="L281" s="2"/>
      <c r="M281" s="2"/>
      <c r="N281" s="2"/>
      <c r="O281" s="2"/>
      <c r="P281" s="2"/>
      <c r="Q281" s="2"/>
      <c r="R281" s="2"/>
      <c r="S281" s="9"/>
      <c r="T281" s="2"/>
      <c r="U281" s="2"/>
      <c r="V281" s="2"/>
      <c r="W281" s="2"/>
      <c r="X281" s="2"/>
    </row>
    <row r="282" spans="2:24" x14ac:dyDescent="0.2">
      <c r="B282" s="2"/>
      <c r="C282" s="2" t="s">
        <v>216</v>
      </c>
      <c r="D282" s="2" t="s">
        <v>211</v>
      </c>
      <c r="E282" s="2" t="str">
        <f t="shared" si="4"/>
        <v>VO2-V2O3</v>
      </c>
      <c r="F282" s="2">
        <v>-7.26</v>
      </c>
      <c r="G282" s="2">
        <v>-10.28</v>
      </c>
      <c r="H282" s="2">
        <v>-13.41</v>
      </c>
      <c r="I282" s="2" t="s">
        <v>327</v>
      </c>
      <c r="J282" s="2"/>
      <c r="K282" s="2"/>
      <c r="L282" s="2"/>
      <c r="M282" s="2"/>
      <c r="N282" s="2"/>
      <c r="O282" s="2"/>
      <c r="P282" s="2"/>
      <c r="Q282" s="2"/>
      <c r="R282" s="2"/>
      <c r="S282" s="9"/>
      <c r="T282" s="2"/>
      <c r="U282" s="2"/>
      <c r="V282" s="2"/>
      <c r="W282" s="2"/>
      <c r="X282" s="2"/>
    </row>
    <row r="283" spans="2:24" x14ac:dyDescent="0.2">
      <c r="B283" s="2"/>
      <c r="C283" s="2" t="s">
        <v>211</v>
      </c>
      <c r="D283" s="2" t="s">
        <v>212</v>
      </c>
      <c r="E283" s="2" t="str">
        <f t="shared" si="4"/>
        <v>V2O3-V</v>
      </c>
      <c r="F283" s="2">
        <v>38.06</v>
      </c>
      <c r="G283" s="2">
        <v>35.04</v>
      </c>
      <c r="H283" s="2">
        <v>31.91</v>
      </c>
      <c r="I283" s="2" t="s">
        <v>326</v>
      </c>
      <c r="J283" s="2"/>
      <c r="K283" s="2"/>
      <c r="L283" s="2"/>
      <c r="M283" s="2"/>
      <c r="N283" s="2"/>
      <c r="O283" s="2"/>
      <c r="P283" s="2"/>
      <c r="Q283" s="2"/>
      <c r="R283" s="2"/>
      <c r="S283" s="9"/>
      <c r="T283" s="2"/>
      <c r="U283" s="2"/>
      <c r="V283" s="2"/>
      <c r="W283" s="2"/>
      <c r="X283" s="2"/>
    </row>
    <row r="284" spans="2:24" x14ac:dyDescent="0.2">
      <c r="B284" s="2"/>
      <c r="C284" s="2" t="s">
        <v>213</v>
      </c>
      <c r="D284" s="2" t="s">
        <v>216</v>
      </c>
      <c r="E284" s="2" t="str">
        <f t="shared" si="4"/>
        <v>V2O5-VO2</v>
      </c>
      <c r="F284" s="2">
        <v>-31.46</v>
      </c>
      <c r="G284" s="2">
        <v>-34.479999999999997</v>
      </c>
      <c r="H284" s="2">
        <v>-37.61</v>
      </c>
      <c r="I284" s="2" t="s">
        <v>326</v>
      </c>
      <c r="J284" s="2"/>
      <c r="K284" s="2"/>
      <c r="L284" s="2"/>
      <c r="M284" s="2"/>
      <c r="N284" s="2"/>
      <c r="O284" s="2"/>
      <c r="P284" s="2"/>
      <c r="Q284" s="2"/>
      <c r="R284" s="2"/>
      <c r="S284" s="9"/>
      <c r="T284" s="2"/>
      <c r="U284" s="2"/>
      <c r="V284" s="2"/>
      <c r="W284" s="2"/>
      <c r="X284" s="2"/>
    </row>
    <row r="285" spans="2:24" x14ac:dyDescent="0.2">
      <c r="B285" s="2"/>
      <c r="C285" s="2" t="s">
        <v>213</v>
      </c>
      <c r="D285" s="2" t="s">
        <v>212</v>
      </c>
      <c r="E285" s="2" t="str">
        <f t="shared" si="4"/>
        <v>V2O5-V</v>
      </c>
      <c r="F285" s="2">
        <v>15.09</v>
      </c>
      <c r="G285" s="2">
        <v>12.07</v>
      </c>
      <c r="H285" s="2">
        <v>8.94</v>
      </c>
      <c r="I285" s="2" t="s">
        <v>327</v>
      </c>
      <c r="J285" s="2"/>
      <c r="K285" s="2"/>
      <c r="L285" s="2"/>
      <c r="M285" s="2"/>
      <c r="N285" s="2"/>
      <c r="O285" s="2"/>
      <c r="P285" s="2"/>
      <c r="Q285" s="2"/>
      <c r="R285" s="2"/>
      <c r="S285" s="9"/>
      <c r="T285" s="2"/>
      <c r="U285" s="2"/>
      <c r="V285" s="2"/>
      <c r="W285" s="2"/>
      <c r="X285" s="2"/>
    </row>
    <row r="286" spans="2:24" x14ac:dyDescent="0.2">
      <c r="B286" s="2"/>
      <c r="C286" s="2" t="s">
        <v>216</v>
      </c>
      <c r="D286" s="2" t="s">
        <v>212</v>
      </c>
      <c r="E286" s="2" t="str">
        <f t="shared" si="4"/>
        <v>VO2-V</v>
      </c>
      <c r="F286" s="2">
        <v>26.73</v>
      </c>
      <c r="G286" s="2">
        <v>23.71</v>
      </c>
      <c r="H286" s="2">
        <v>20.58</v>
      </c>
      <c r="I286" s="2" t="s">
        <v>326</v>
      </c>
      <c r="J286" s="2"/>
      <c r="K286" s="2"/>
      <c r="L286" s="2"/>
      <c r="M286" s="2"/>
      <c r="N286" s="2"/>
      <c r="O286" s="2"/>
      <c r="P286" s="2"/>
      <c r="Q286" s="2"/>
      <c r="R286" s="2"/>
      <c r="S286" s="9"/>
      <c r="T286" s="2"/>
      <c r="U286" s="2"/>
      <c r="V286" s="2"/>
      <c r="W286" s="2"/>
      <c r="X286" s="2"/>
    </row>
    <row r="287" spans="2:24" x14ac:dyDescent="0.2">
      <c r="B287" s="2"/>
      <c r="C287" s="2" t="s">
        <v>217</v>
      </c>
      <c r="D287" s="2" t="s">
        <v>218</v>
      </c>
      <c r="E287" s="2" t="str">
        <f t="shared" si="4"/>
        <v>W18O49-WO2</v>
      </c>
      <c r="F287" s="2">
        <v>1.86</v>
      </c>
      <c r="G287" s="2">
        <v>-1.1599999999999999</v>
      </c>
      <c r="H287" s="2">
        <v>-4.29</v>
      </c>
      <c r="I287" s="2" t="s">
        <v>327</v>
      </c>
      <c r="J287" s="2"/>
      <c r="K287" s="2"/>
      <c r="L287" s="2"/>
      <c r="M287" s="2"/>
      <c r="N287" s="2"/>
      <c r="O287" s="2"/>
      <c r="P287" s="2"/>
      <c r="Q287" s="2"/>
      <c r="R287" s="2"/>
      <c r="S287" s="9"/>
      <c r="T287" s="2"/>
      <c r="U287" s="2"/>
      <c r="V287" s="2"/>
      <c r="W287" s="2"/>
      <c r="X287" s="2"/>
    </row>
    <row r="288" spans="2:24" x14ac:dyDescent="0.2">
      <c r="B288" s="2"/>
      <c r="C288" s="2" t="s">
        <v>220</v>
      </c>
      <c r="D288" s="2" t="s">
        <v>217</v>
      </c>
      <c r="E288" s="2" t="str">
        <f t="shared" si="4"/>
        <v>WO3-W18O49</v>
      </c>
      <c r="F288" s="2">
        <v>1.1299999999999999</v>
      </c>
      <c r="G288" s="2">
        <v>-1.89</v>
      </c>
      <c r="H288" s="2">
        <v>-5.0199999999999996</v>
      </c>
      <c r="I288" s="2" t="s">
        <v>327</v>
      </c>
      <c r="J288" s="2"/>
      <c r="K288" s="2"/>
      <c r="L288" s="2"/>
      <c r="M288" s="2"/>
      <c r="N288" s="2"/>
      <c r="O288" s="2"/>
      <c r="P288" s="2"/>
      <c r="Q288" s="2"/>
      <c r="R288" s="2"/>
      <c r="S288" s="9"/>
      <c r="T288" s="2"/>
      <c r="U288" s="2"/>
      <c r="V288" s="2"/>
      <c r="W288" s="2"/>
      <c r="X288" s="2"/>
    </row>
    <row r="289" spans="2:24" x14ac:dyDescent="0.2">
      <c r="B289" s="2"/>
      <c r="C289" s="2" t="s">
        <v>217</v>
      </c>
      <c r="D289" s="2" t="s">
        <v>219</v>
      </c>
      <c r="E289" s="2" t="str">
        <f t="shared" si="4"/>
        <v>W18O49-W</v>
      </c>
      <c r="F289" s="2">
        <v>8.64</v>
      </c>
      <c r="G289" s="2">
        <v>5.62</v>
      </c>
      <c r="H289" s="2">
        <v>2.4900000000000002</v>
      </c>
      <c r="I289" s="2" t="s">
        <v>327</v>
      </c>
      <c r="J289" s="2"/>
      <c r="K289" s="2"/>
      <c r="L289" s="2"/>
      <c r="M289" s="2"/>
      <c r="N289" s="2"/>
      <c r="O289" s="2"/>
      <c r="P289" s="2"/>
      <c r="Q289" s="2"/>
      <c r="R289" s="2"/>
      <c r="S289" s="9"/>
      <c r="T289" s="2"/>
      <c r="U289" s="2"/>
      <c r="V289" s="2"/>
      <c r="W289" s="2"/>
      <c r="X289" s="2"/>
    </row>
    <row r="290" spans="2:24" x14ac:dyDescent="0.2">
      <c r="B290" s="2"/>
      <c r="C290" s="2" t="s">
        <v>220</v>
      </c>
      <c r="D290" s="2" t="s">
        <v>218</v>
      </c>
      <c r="E290" s="2" t="str">
        <f t="shared" si="4"/>
        <v>WO3-WO2</v>
      </c>
      <c r="F290" s="2">
        <v>1.66</v>
      </c>
      <c r="G290" s="2">
        <v>-1.36</v>
      </c>
      <c r="H290" s="2">
        <v>-4.49</v>
      </c>
      <c r="I290" s="2" t="s">
        <v>327</v>
      </c>
      <c r="J290" s="2"/>
      <c r="K290" s="2"/>
      <c r="L290" s="2"/>
      <c r="M290" s="2"/>
      <c r="N290" s="2"/>
      <c r="O290" s="2"/>
      <c r="P290" s="2"/>
      <c r="Q290" s="2"/>
      <c r="R290" s="2"/>
      <c r="S290" s="9"/>
      <c r="T290" s="2"/>
      <c r="U290" s="2"/>
      <c r="V290" s="2"/>
      <c r="W290" s="2"/>
      <c r="X290" s="2"/>
    </row>
    <row r="291" spans="2:24" x14ac:dyDescent="0.2">
      <c r="B291" s="2"/>
      <c r="C291" s="2" t="s">
        <v>218</v>
      </c>
      <c r="D291" s="2" t="s">
        <v>219</v>
      </c>
      <c r="E291" s="2" t="str">
        <f t="shared" si="4"/>
        <v>WO2-W</v>
      </c>
      <c r="F291" s="2">
        <v>11.09</v>
      </c>
      <c r="G291" s="2">
        <v>8.07</v>
      </c>
      <c r="H291" s="2">
        <v>4.9400000000000004</v>
      </c>
      <c r="I291" s="2" t="s">
        <v>327</v>
      </c>
      <c r="J291" s="2"/>
      <c r="K291" s="2"/>
      <c r="L291" s="2"/>
      <c r="M291" s="2"/>
      <c r="N291" s="2"/>
      <c r="O291" s="2"/>
      <c r="P291" s="2"/>
      <c r="Q291" s="2"/>
      <c r="R291" s="2"/>
      <c r="S291" s="9"/>
      <c r="T291" s="2"/>
      <c r="U291" s="2"/>
      <c r="V291" s="2"/>
      <c r="W291" s="2"/>
      <c r="X291" s="2"/>
    </row>
    <row r="292" spans="2:24" x14ac:dyDescent="0.2">
      <c r="B292" s="2"/>
      <c r="C292" s="2" t="s">
        <v>220</v>
      </c>
      <c r="D292" s="2" t="s">
        <v>219</v>
      </c>
      <c r="E292" s="2" t="str">
        <f t="shared" si="4"/>
        <v>WO3-W</v>
      </c>
      <c r="F292" s="2">
        <v>7.95</v>
      </c>
      <c r="G292" s="2">
        <v>4.93</v>
      </c>
      <c r="H292" s="2">
        <v>1.8</v>
      </c>
      <c r="I292" s="2" t="s">
        <v>327</v>
      </c>
      <c r="J292" s="2"/>
      <c r="K292" s="2"/>
      <c r="L292" s="2"/>
      <c r="M292" s="2"/>
      <c r="N292" s="2"/>
      <c r="O292" s="2"/>
      <c r="P292" s="2"/>
      <c r="Q292" s="2"/>
      <c r="R292" s="2"/>
      <c r="S292" s="9"/>
      <c r="T292" s="2"/>
      <c r="U292" s="2"/>
      <c r="V292" s="2"/>
      <c r="W292" s="2"/>
      <c r="X292" s="2"/>
    </row>
    <row r="293" spans="2:24" x14ac:dyDescent="0.2">
      <c r="B293" s="2"/>
      <c r="C293" s="2" t="s">
        <v>221</v>
      </c>
      <c r="D293" s="2" t="s">
        <v>222</v>
      </c>
      <c r="E293" s="2" t="str">
        <f t="shared" si="4"/>
        <v>Y2O3-Y</v>
      </c>
      <c r="F293" s="2">
        <v>94.01</v>
      </c>
      <c r="G293" s="2">
        <v>90.99</v>
      </c>
      <c r="H293" s="2">
        <v>87.86</v>
      </c>
      <c r="I293" s="2" t="s">
        <v>326</v>
      </c>
      <c r="J293" s="2"/>
      <c r="K293" s="2"/>
      <c r="L293" s="2"/>
      <c r="M293" s="2"/>
      <c r="N293" s="2"/>
      <c r="O293" s="2"/>
      <c r="P293" s="2"/>
      <c r="Q293" s="2"/>
      <c r="R293" s="2"/>
      <c r="S293" s="9"/>
      <c r="T293" s="2"/>
      <c r="U293" s="2"/>
      <c r="V293" s="2"/>
      <c r="W293" s="2"/>
      <c r="X293" s="2"/>
    </row>
    <row r="294" spans="2:24" x14ac:dyDescent="0.2">
      <c r="B294" s="2"/>
      <c r="C294" s="2" t="s">
        <v>223</v>
      </c>
      <c r="D294" s="2" t="s">
        <v>224</v>
      </c>
      <c r="E294" s="2" t="str">
        <f t="shared" si="4"/>
        <v>YbO-Yb</v>
      </c>
      <c r="F294" s="2">
        <v>109.08</v>
      </c>
      <c r="G294" s="2">
        <v>106.06</v>
      </c>
      <c r="H294" s="2">
        <v>102.93</v>
      </c>
      <c r="I294" s="2" t="s">
        <v>326</v>
      </c>
      <c r="J294" s="2"/>
      <c r="K294" s="2"/>
      <c r="L294" s="2"/>
      <c r="M294" s="2"/>
      <c r="N294" s="2"/>
      <c r="O294" s="2"/>
      <c r="P294" s="2"/>
      <c r="Q294" s="2"/>
      <c r="R294" s="2"/>
      <c r="S294" s="9"/>
      <c r="T294" s="2"/>
      <c r="U294" s="2"/>
      <c r="V294" s="2"/>
      <c r="W294" s="2"/>
      <c r="X294" s="2"/>
    </row>
    <row r="295" spans="2:24" x14ac:dyDescent="0.2">
      <c r="B295" s="2"/>
      <c r="C295" s="2" t="s">
        <v>225</v>
      </c>
      <c r="D295" s="2" t="s">
        <v>226</v>
      </c>
      <c r="E295" s="2" t="str">
        <f t="shared" si="4"/>
        <v>ZnO-Zn</v>
      </c>
      <c r="F295" s="2">
        <v>23.69</v>
      </c>
      <c r="G295" s="2">
        <v>20.67</v>
      </c>
      <c r="H295" s="2">
        <v>17.54</v>
      </c>
      <c r="I295" s="2" t="s">
        <v>326</v>
      </c>
      <c r="J295" s="2"/>
      <c r="K295" s="2"/>
      <c r="L295" s="2"/>
      <c r="M295" s="2"/>
      <c r="N295" s="2"/>
      <c r="O295" s="2"/>
      <c r="P295" s="2"/>
      <c r="Q295" s="2"/>
      <c r="R295" s="2"/>
      <c r="S295" s="9"/>
      <c r="T295" s="2"/>
      <c r="U295" s="2"/>
      <c r="V295" s="2"/>
      <c r="W295" s="2"/>
      <c r="X295" s="2"/>
    </row>
    <row r="296" spans="2:24" x14ac:dyDescent="0.2">
      <c r="B296" s="2"/>
      <c r="C296" s="2" t="s">
        <v>229</v>
      </c>
      <c r="D296" s="2" t="s">
        <v>227</v>
      </c>
      <c r="E296" s="2" t="str">
        <f t="shared" si="4"/>
        <v>ZrO2-Zr3O</v>
      </c>
      <c r="F296" s="2">
        <v>71.28</v>
      </c>
      <c r="G296" s="2">
        <v>68.260000000000005</v>
      </c>
      <c r="H296" s="2">
        <v>65.13</v>
      </c>
      <c r="I296" s="2" t="s">
        <v>326</v>
      </c>
      <c r="J296" s="2"/>
      <c r="K296" s="2"/>
      <c r="L296" s="2"/>
      <c r="M296" s="2"/>
      <c r="N296" s="2"/>
      <c r="O296" s="2"/>
      <c r="P296" s="2"/>
      <c r="Q296" s="2"/>
      <c r="R296" s="2"/>
      <c r="S296" s="9"/>
      <c r="T296" s="2"/>
      <c r="U296" s="2"/>
      <c r="V296" s="2"/>
      <c r="W296" s="2"/>
      <c r="X296" s="2"/>
    </row>
    <row r="297" spans="2:24" x14ac:dyDescent="0.2">
      <c r="B297" s="2"/>
      <c r="C297" s="2" t="s">
        <v>229</v>
      </c>
      <c r="D297" s="2" t="s">
        <v>228</v>
      </c>
      <c r="E297" s="2" t="str">
        <f t="shared" si="4"/>
        <v>ZrO2-Zr</v>
      </c>
      <c r="F297" s="2">
        <v>73.39</v>
      </c>
      <c r="G297" s="2">
        <v>70.37</v>
      </c>
      <c r="H297" s="2">
        <v>67.239999999999995</v>
      </c>
      <c r="I297" s="2" t="s">
        <v>326</v>
      </c>
      <c r="J297" s="2"/>
      <c r="K297" s="2"/>
      <c r="L297" s="2"/>
      <c r="M297" s="2"/>
      <c r="N297" s="2"/>
      <c r="O297" s="2"/>
      <c r="P297" s="2"/>
      <c r="Q297" s="2"/>
      <c r="R297" s="2"/>
      <c r="S297" s="9"/>
      <c r="T297" s="2"/>
      <c r="U297" s="2"/>
      <c r="V297" s="2"/>
      <c r="W297" s="2"/>
      <c r="X297" s="2"/>
    </row>
    <row r="298" spans="2:24" x14ac:dyDescent="0.2">
      <c r="B298" s="2"/>
      <c r="C298" s="2" t="s">
        <v>227</v>
      </c>
      <c r="D298" s="2" t="s">
        <v>228</v>
      </c>
      <c r="E298" s="2" t="str">
        <f t="shared" si="4"/>
        <v>Zr3O-Zr</v>
      </c>
      <c r="F298" s="2">
        <v>83.96</v>
      </c>
      <c r="G298" s="2">
        <v>80.94</v>
      </c>
      <c r="H298" s="2">
        <v>77.81</v>
      </c>
      <c r="I298" s="2" t="s">
        <v>326</v>
      </c>
      <c r="J298" s="2"/>
      <c r="K298" s="2"/>
      <c r="L298" s="2"/>
      <c r="M298" s="2"/>
      <c r="N298" s="2"/>
      <c r="O298" s="2"/>
      <c r="P298" s="2"/>
      <c r="Q298" s="2"/>
      <c r="R298" s="2"/>
      <c r="S298" s="9"/>
      <c r="T298" s="2"/>
      <c r="U298" s="2"/>
      <c r="V298" s="2"/>
      <c r="W298" s="2"/>
      <c r="X298" s="2"/>
    </row>
  </sheetData>
  <mergeCells count="1">
    <mergeCell ref="B19:B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3BE9-3FFE-475D-A723-92CE87E67446}">
  <dimension ref="A1:L155"/>
  <sheetViews>
    <sheetView topLeftCell="A10" workbookViewId="0">
      <selection activeCell="C17" sqref="C17"/>
    </sheetView>
  </sheetViews>
  <sheetFormatPr defaultColWidth="9.140625" defaultRowHeight="15" x14ac:dyDescent="0.25"/>
  <cols>
    <col min="1" max="1" width="19.140625" style="16" customWidth="1"/>
    <col min="2" max="2" width="32.7109375" style="16" customWidth="1"/>
    <col min="3" max="6" width="17.28515625" style="2" customWidth="1"/>
    <col min="7" max="8" width="9.140625" style="23"/>
    <col min="9" max="9" width="17.7109375" style="23" customWidth="1"/>
    <col min="10" max="10" width="9.140625" style="23"/>
    <col min="11" max="11" width="11.7109375" style="2" customWidth="1"/>
    <col min="12" max="12" width="21.7109375" style="2" customWidth="1"/>
    <col min="13" max="16384" width="9.140625" style="23"/>
  </cols>
  <sheetData>
    <row r="1" spans="1:12" x14ac:dyDescent="0.25">
      <c r="A1" s="17" t="s">
        <v>328</v>
      </c>
      <c r="B1" s="17" t="s">
        <v>454</v>
      </c>
      <c r="C1" s="3" t="s">
        <v>346</v>
      </c>
      <c r="D1" s="3" t="s">
        <v>420</v>
      </c>
      <c r="E1" s="3" t="s">
        <v>421</v>
      </c>
      <c r="F1" s="3" t="s">
        <v>428</v>
      </c>
      <c r="G1" s="5" t="s">
        <v>455</v>
      </c>
      <c r="H1" s="5" t="s">
        <v>350</v>
      </c>
      <c r="I1" s="5" t="s">
        <v>494</v>
      </c>
      <c r="K1" s="5" t="s">
        <v>459</v>
      </c>
      <c r="L1" s="5" t="s">
        <v>464</v>
      </c>
    </row>
    <row r="2" spans="1:12" x14ac:dyDescent="0.25">
      <c r="A2" s="16" t="s">
        <v>0</v>
      </c>
      <c r="B2" s="18">
        <v>-8.7204819381104919</v>
      </c>
      <c r="G2" s="2" t="s">
        <v>456</v>
      </c>
      <c r="H2" s="2">
        <v>1977</v>
      </c>
      <c r="I2" s="2" t="str">
        <f>IFERROR(VLOOKUP(A2,$K$2:$L$29,2,FALSE),"")</f>
        <v/>
      </c>
      <c r="K2" s="2" t="s">
        <v>21</v>
      </c>
      <c r="L2" s="2">
        <v>3.0373261474054374</v>
      </c>
    </row>
    <row r="3" spans="1:12" x14ac:dyDescent="0.25">
      <c r="A3" s="16" t="s">
        <v>5</v>
      </c>
      <c r="B3" s="18">
        <v>-3.3857874966861408</v>
      </c>
      <c r="G3" s="2" t="s">
        <v>456</v>
      </c>
      <c r="H3" s="2">
        <v>100</v>
      </c>
      <c r="I3" s="2" t="str">
        <f t="shared" ref="I3:I66" si="0">IFERROR(VLOOKUP(A3,$K$2:$L$29,2,FALSE),"")</f>
        <v/>
      </c>
      <c r="K3" s="2" t="s">
        <v>27</v>
      </c>
      <c r="L3" s="2">
        <v>3.151560317405437</v>
      </c>
    </row>
    <row r="4" spans="1:12" x14ac:dyDescent="0.25">
      <c r="A4" s="16" t="s">
        <v>4</v>
      </c>
      <c r="B4" s="18">
        <v>-3.2005999967909977</v>
      </c>
      <c r="G4" s="2" t="s">
        <v>456</v>
      </c>
      <c r="H4" s="2"/>
      <c r="I4" s="2" t="str">
        <f t="shared" si="0"/>
        <v/>
      </c>
      <c r="K4" s="2" t="s">
        <v>37</v>
      </c>
      <c r="L4" s="2">
        <v>2.1207167974054499</v>
      </c>
    </row>
    <row r="5" spans="1:12" x14ac:dyDescent="0.25">
      <c r="A5" s="16" t="s">
        <v>2</v>
      </c>
      <c r="B5" s="18">
        <v>-3.4562874966462216</v>
      </c>
      <c r="C5" s="2">
        <v>60</v>
      </c>
      <c r="D5" s="2">
        <v>112.5</v>
      </c>
      <c r="E5" s="2">
        <v>191.3</v>
      </c>
      <c r="F5" s="2" t="s">
        <v>304</v>
      </c>
      <c r="G5" s="2">
        <v>191.3</v>
      </c>
      <c r="H5" s="2">
        <v>200</v>
      </c>
      <c r="I5" s="2" t="str">
        <f t="shared" si="0"/>
        <v/>
      </c>
      <c r="K5" s="2" t="s">
        <v>38</v>
      </c>
      <c r="L5" s="2">
        <v>3.8805203374054358</v>
      </c>
    </row>
    <row r="6" spans="1:12" x14ac:dyDescent="0.25">
      <c r="A6" s="16" t="s">
        <v>6</v>
      </c>
      <c r="B6" s="18">
        <v>-8.2046208272914161</v>
      </c>
      <c r="G6" s="2" t="s">
        <v>456</v>
      </c>
      <c r="H6" s="2">
        <v>2053</v>
      </c>
      <c r="I6" s="2" t="str">
        <f t="shared" si="0"/>
        <v/>
      </c>
      <c r="K6" s="2" t="s">
        <v>59</v>
      </c>
      <c r="L6" s="2" t="s">
        <v>304</v>
      </c>
    </row>
    <row r="7" spans="1:12" x14ac:dyDescent="0.25">
      <c r="A7" s="16" t="s">
        <v>10</v>
      </c>
      <c r="B7" s="18">
        <v>-4.6743924959566261</v>
      </c>
      <c r="G7" s="2" t="s">
        <v>456</v>
      </c>
      <c r="H7" s="2">
        <v>315</v>
      </c>
      <c r="I7" s="2" t="str">
        <f t="shared" si="0"/>
        <v/>
      </c>
      <c r="K7" s="2" t="s">
        <v>62</v>
      </c>
      <c r="L7" s="2">
        <v>3.4207135174054315</v>
      </c>
    </row>
    <row r="8" spans="1:12" x14ac:dyDescent="0.25">
      <c r="A8" s="16" t="s">
        <v>8</v>
      </c>
      <c r="B8" s="18">
        <v>-5.2028541623241376</v>
      </c>
      <c r="G8" s="2" t="s">
        <v>456</v>
      </c>
      <c r="H8" s="2">
        <v>312</v>
      </c>
      <c r="I8" s="2" t="str">
        <f t="shared" si="0"/>
        <v/>
      </c>
      <c r="K8" s="2" t="s">
        <v>63</v>
      </c>
      <c r="L8" s="2">
        <v>2.72376797740543</v>
      </c>
    </row>
    <row r="9" spans="1:12" x14ac:dyDescent="0.25">
      <c r="A9" s="16" t="s">
        <v>11</v>
      </c>
      <c r="B9" s="18">
        <v>-3.2452208300990661</v>
      </c>
      <c r="G9" s="2" t="s">
        <v>456</v>
      </c>
      <c r="H9" s="2">
        <v>150</v>
      </c>
      <c r="I9" s="2" t="str">
        <f t="shared" si="0"/>
        <v/>
      </c>
      <c r="K9" s="2" t="s">
        <v>64</v>
      </c>
      <c r="L9" s="2">
        <v>4.37459398740544</v>
      </c>
    </row>
    <row r="10" spans="1:12" x14ac:dyDescent="0.25">
      <c r="A10" s="16" t="s">
        <v>13</v>
      </c>
      <c r="B10" s="18">
        <v>-7.1565430501070013</v>
      </c>
      <c r="G10" s="2" t="s">
        <v>456</v>
      </c>
      <c r="H10" s="2">
        <v>450</v>
      </c>
      <c r="I10" s="2" t="str">
        <f t="shared" si="0"/>
        <v/>
      </c>
      <c r="K10" s="2" t="s">
        <v>70</v>
      </c>
      <c r="L10" s="2">
        <v>3.1627793174054446</v>
      </c>
    </row>
    <row r="11" spans="1:12" x14ac:dyDescent="0.25">
      <c r="A11" s="16" t="s">
        <v>14</v>
      </c>
      <c r="B11" s="18">
        <v>-8.1311874939995974</v>
      </c>
      <c r="G11" s="2" t="s">
        <v>456</v>
      </c>
      <c r="H11" s="2">
        <v>2000</v>
      </c>
      <c r="I11" s="2" t="str">
        <f t="shared" si="0"/>
        <v/>
      </c>
      <c r="K11" s="2" t="s">
        <v>80</v>
      </c>
      <c r="L11" s="2" t="s">
        <v>304</v>
      </c>
    </row>
    <row r="12" spans="1:12" x14ac:dyDescent="0.25">
      <c r="A12" s="16" t="s">
        <v>18</v>
      </c>
      <c r="B12" s="18">
        <v>-4.7581874959091941</v>
      </c>
      <c r="G12" s="2" t="s">
        <v>456</v>
      </c>
      <c r="H12" s="2">
        <v>450</v>
      </c>
      <c r="I12" s="2" t="str">
        <f t="shared" si="0"/>
        <v/>
      </c>
      <c r="K12" s="2" t="s">
        <v>98</v>
      </c>
      <c r="L12" s="2">
        <v>2.1807719774053567</v>
      </c>
    </row>
    <row r="13" spans="1:12" x14ac:dyDescent="0.25">
      <c r="A13" s="16" t="s">
        <v>16</v>
      </c>
      <c r="B13" s="18">
        <v>-8.1370374939963419</v>
      </c>
      <c r="G13" s="2" t="s">
        <v>456</v>
      </c>
      <c r="H13" s="2">
        <v>1972</v>
      </c>
      <c r="I13" s="2" t="str">
        <f t="shared" si="0"/>
        <v/>
      </c>
      <c r="K13" s="2" t="s">
        <v>99</v>
      </c>
      <c r="L13" s="2">
        <v>2.7480267574054551</v>
      </c>
    </row>
    <row r="14" spans="1:12" x14ac:dyDescent="0.25">
      <c r="A14" s="16" t="s">
        <v>19</v>
      </c>
      <c r="B14" s="18">
        <v>-8.6980874936786918</v>
      </c>
      <c r="G14" s="2" t="s">
        <v>456</v>
      </c>
      <c r="H14" s="2">
        <v>2577</v>
      </c>
      <c r="I14" s="2" t="str">
        <f t="shared" si="0"/>
        <v/>
      </c>
      <c r="K14" s="2" t="s">
        <v>100</v>
      </c>
      <c r="L14" s="2">
        <v>4.7889148874054399</v>
      </c>
    </row>
    <row r="15" spans="1:12" x14ac:dyDescent="0.25">
      <c r="A15" s="16" t="s">
        <v>23</v>
      </c>
      <c r="B15" s="18">
        <v>-4.9547660672264726</v>
      </c>
      <c r="G15" s="2" t="s">
        <v>456</v>
      </c>
      <c r="H15" s="2"/>
      <c r="I15" s="2" t="str">
        <f t="shared" si="0"/>
        <v/>
      </c>
      <c r="K15" s="2" t="s">
        <v>104</v>
      </c>
      <c r="L15" s="2">
        <v>4.8115857574054388</v>
      </c>
    </row>
    <row r="16" spans="1:12" x14ac:dyDescent="0.25">
      <c r="A16" s="16" t="s">
        <v>24</v>
      </c>
      <c r="B16" s="18">
        <v>-4.678112495954541</v>
      </c>
      <c r="G16" s="2" t="s">
        <v>456</v>
      </c>
      <c r="H16" s="2">
        <v>305</v>
      </c>
      <c r="I16" s="2" t="str">
        <f t="shared" si="0"/>
        <v/>
      </c>
      <c r="K16" s="2" t="s">
        <v>106</v>
      </c>
      <c r="L16" s="2">
        <v>3.0667998474054343</v>
      </c>
    </row>
    <row r="17" spans="1:12" x14ac:dyDescent="0.25">
      <c r="A17" s="16" t="s">
        <v>21</v>
      </c>
      <c r="B17" s="18">
        <v>-5.2238208289789334</v>
      </c>
      <c r="C17" s="2">
        <v>277</v>
      </c>
      <c r="D17" s="2">
        <v>477</v>
      </c>
      <c r="E17" s="2" t="s">
        <v>304</v>
      </c>
      <c r="F17" s="2" t="s">
        <v>304</v>
      </c>
      <c r="G17" s="2">
        <v>477</v>
      </c>
      <c r="H17" s="2">
        <v>817</v>
      </c>
      <c r="I17" s="2">
        <f t="shared" si="0"/>
        <v>3.0373261474054374</v>
      </c>
      <c r="K17" s="2" t="s">
        <v>130</v>
      </c>
      <c r="L17" s="2">
        <v>2.2644996074054404</v>
      </c>
    </row>
    <row r="18" spans="1:12" x14ac:dyDescent="0.25">
      <c r="A18" s="16" t="s">
        <v>25</v>
      </c>
      <c r="B18" s="18">
        <v>-9.1098624934456076</v>
      </c>
      <c r="G18" s="2" t="s">
        <v>456</v>
      </c>
      <c r="H18" s="2">
        <v>2898</v>
      </c>
      <c r="I18" s="2" t="str">
        <f t="shared" si="0"/>
        <v/>
      </c>
      <c r="K18" s="2" t="s">
        <v>131</v>
      </c>
      <c r="L18" s="2">
        <v>2.9623635274054365</v>
      </c>
    </row>
    <row r="19" spans="1:12" x14ac:dyDescent="0.25">
      <c r="A19" s="16" t="s">
        <v>27</v>
      </c>
      <c r="B19" s="18">
        <v>-5.2325874956406278</v>
      </c>
      <c r="C19" s="2">
        <v>95</v>
      </c>
      <c r="D19" s="2" t="s">
        <v>304</v>
      </c>
      <c r="E19" s="2" t="s">
        <v>304</v>
      </c>
      <c r="F19" s="2" t="s">
        <v>304</v>
      </c>
      <c r="G19" s="2">
        <v>95</v>
      </c>
      <c r="H19" s="2">
        <v>1430</v>
      </c>
      <c r="I19" s="2">
        <f t="shared" si="0"/>
        <v>3.151560317405437</v>
      </c>
      <c r="K19" s="2" t="s">
        <v>160</v>
      </c>
      <c r="L19" s="2">
        <v>3.3158645574054475</v>
      </c>
    </row>
    <row r="20" spans="1:12" x14ac:dyDescent="0.25">
      <c r="A20" s="16" t="s">
        <v>35</v>
      </c>
      <c r="B20" s="18">
        <v>-8.5220624937783391</v>
      </c>
      <c r="G20" s="2" t="s">
        <v>456</v>
      </c>
      <c r="H20" s="2"/>
      <c r="I20" s="2" t="str">
        <f t="shared" si="0"/>
        <v/>
      </c>
      <c r="K20" s="2" t="s">
        <v>163</v>
      </c>
      <c r="L20" s="2">
        <v>2.3203174274054561</v>
      </c>
    </row>
    <row r="21" spans="1:12" x14ac:dyDescent="0.25">
      <c r="A21" s="16" t="s">
        <v>36</v>
      </c>
      <c r="B21" s="18">
        <v>-8.3853874938557631</v>
      </c>
      <c r="C21" s="2">
        <v>327</v>
      </c>
      <c r="D21" s="2">
        <v>527</v>
      </c>
      <c r="E21" s="2">
        <v>827</v>
      </c>
      <c r="F21" s="2" t="s">
        <v>304</v>
      </c>
      <c r="G21" s="2">
        <v>827</v>
      </c>
      <c r="H21" s="2">
        <v>2400</v>
      </c>
      <c r="I21" s="2" t="str">
        <f t="shared" si="0"/>
        <v/>
      </c>
      <c r="K21" s="2" t="s">
        <v>173</v>
      </c>
      <c r="L21" s="2">
        <v>3.8178193974054295</v>
      </c>
    </row>
    <row r="22" spans="1:12" x14ac:dyDescent="0.25">
      <c r="A22" s="16" t="s">
        <v>29</v>
      </c>
      <c r="B22" s="18">
        <v>-8.599537493734525</v>
      </c>
      <c r="G22" s="2" t="s">
        <v>456</v>
      </c>
      <c r="H22" s="2"/>
      <c r="I22" s="2" t="str">
        <f t="shared" si="0"/>
        <v/>
      </c>
      <c r="K22" s="2" t="s">
        <v>174</v>
      </c>
      <c r="L22" s="2">
        <v>3.2533556474054421</v>
      </c>
    </row>
    <row r="23" spans="1:12" x14ac:dyDescent="0.25">
      <c r="A23" s="16" t="s">
        <v>30</v>
      </c>
      <c r="B23" s="18">
        <v>-8.6161930492806214</v>
      </c>
      <c r="G23" s="2" t="s">
        <v>456</v>
      </c>
      <c r="H23" s="2"/>
      <c r="I23" s="2" t="str">
        <f t="shared" si="0"/>
        <v/>
      </c>
      <c r="K23" s="2" t="s">
        <v>176</v>
      </c>
      <c r="L23" s="2">
        <v>3.264641837405442</v>
      </c>
    </row>
    <row r="24" spans="1:12" x14ac:dyDescent="0.25">
      <c r="A24" s="16" t="s">
        <v>31</v>
      </c>
      <c r="B24" s="18">
        <v>-8.7622166603090825</v>
      </c>
      <c r="G24" s="2" t="s">
        <v>456</v>
      </c>
      <c r="H24" s="2">
        <v>2210</v>
      </c>
      <c r="I24" s="2" t="str">
        <f t="shared" si="0"/>
        <v/>
      </c>
      <c r="K24" s="2" t="s">
        <v>188</v>
      </c>
      <c r="L24" s="2">
        <v>2.7030300774054297</v>
      </c>
    </row>
    <row r="25" spans="1:12" x14ac:dyDescent="0.25">
      <c r="A25" s="16" t="s">
        <v>33</v>
      </c>
      <c r="B25" s="18">
        <v>-8.686754160351807</v>
      </c>
      <c r="G25" s="2" t="s">
        <v>456</v>
      </c>
      <c r="H25" s="2"/>
      <c r="I25" s="2" t="str">
        <f t="shared" si="0"/>
        <v/>
      </c>
      <c r="K25" s="2" t="s">
        <v>213</v>
      </c>
      <c r="L25" s="2">
        <v>1.4559845674054515</v>
      </c>
    </row>
    <row r="26" spans="1:12" x14ac:dyDescent="0.25">
      <c r="A26" s="16" t="s">
        <v>32</v>
      </c>
      <c r="B26" s="18">
        <v>-8.9538374935339533</v>
      </c>
      <c r="G26" s="2" t="s">
        <v>456</v>
      </c>
      <c r="H26" s="2"/>
      <c r="I26" s="2" t="str">
        <f t="shared" si="0"/>
        <v/>
      </c>
      <c r="K26" s="2" t="s">
        <v>214</v>
      </c>
      <c r="L26" s="2">
        <v>4.6081819174054601</v>
      </c>
    </row>
    <row r="27" spans="1:12" x14ac:dyDescent="0.25">
      <c r="A27" s="16" t="s">
        <v>40</v>
      </c>
      <c r="B27" s="18">
        <v>-4.174412496239694</v>
      </c>
      <c r="G27" s="2" t="s">
        <v>456</v>
      </c>
      <c r="H27" s="2"/>
      <c r="I27" s="2" t="str">
        <f t="shared" si="0"/>
        <v/>
      </c>
      <c r="K27" s="2" t="s">
        <v>215</v>
      </c>
      <c r="L27" s="2">
        <v>2.2314128874054404</v>
      </c>
    </row>
    <row r="28" spans="1:12" x14ac:dyDescent="0.25">
      <c r="A28" s="16" t="s">
        <v>37</v>
      </c>
      <c r="B28" s="18">
        <v>-4.9477374958018663</v>
      </c>
      <c r="G28" s="2" t="s">
        <v>456</v>
      </c>
      <c r="H28" s="2">
        <v>900</v>
      </c>
      <c r="I28" s="2">
        <f t="shared" si="0"/>
        <v>2.1207167974054499</v>
      </c>
      <c r="K28" s="2" t="s">
        <v>218</v>
      </c>
      <c r="L28" s="2">
        <v>5.4119449574054386</v>
      </c>
    </row>
    <row r="29" spans="1:12" x14ac:dyDescent="0.25">
      <c r="A29" s="16" t="s">
        <v>38</v>
      </c>
      <c r="B29" s="18">
        <v>-5.1278874956998983</v>
      </c>
      <c r="C29" s="2">
        <v>364</v>
      </c>
      <c r="D29" s="2" t="s">
        <v>304</v>
      </c>
      <c r="E29" s="2" t="s">
        <v>304</v>
      </c>
      <c r="F29" s="2" t="s">
        <v>304</v>
      </c>
      <c r="G29" s="2">
        <v>364</v>
      </c>
      <c r="H29" s="2">
        <v>1830</v>
      </c>
      <c r="I29" s="2">
        <f t="shared" si="0"/>
        <v>3.8805203374054358</v>
      </c>
      <c r="K29" s="2" t="s">
        <v>220</v>
      </c>
      <c r="L29" s="2">
        <v>4.4740739674054453</v>
      </c>
    </row>
    <row r="30" spans="1:12" x14ac:dyDescent="0.25">
      <c r="A30" s="16" t="s">
        <v>43</v>
      </c>
      <c r="B30" s="18">
        <v>-5.0848229123909414</v>
      </c>
      <c r="G30" s="2" t="s">
        <v>456</v>
      </c>
      <c r="H30" s="2"/>
      <c r="I30" s="2" t="str">
        <f t="shared" si="0"/>
        <v/>
      </c>
      <c r="L30" s="23"/>
    </row>
    <row r="31" spans="1:12" x14ac:dyDescent="0.25">
      <c r="A31" s="16" t="s">
        <v>44</v>
      </c>
      <c r="B31" s="18">
        <v>-5.5506374954605766</v>
      </c>
      <c r="G31" s="2" t="s">
        <v>456</v>
      </c>
      <c r="H31" s="2">
        <v>400</v>
      </c>
      <c r="I31" s="2" t="str">
        <f t="shared" si="0"/>
        <v/>
      </c>
      <c r="L31" s="23"/>
    </row>
    <row r="32" spans="1:12" x14ac:dyDescent="0.25">
      <c r="A32" s="16" t="s">
        <v>41</v>
      </c>
      <c r="B32" s="18">
        <v>-6.3837208283221942</v>
      </c>
      <c r="C32" s="2">
        <v>197</v>
      </c>
      <c r="D32" s="2">
        <v>275</v>
      </c>
      <c r="E32" s="2" t="s">
        <v>304</v>
      </c>
      <c r="F32" s="2" t="s">
        <v>304</v>
      </c>
      <c r="G32" s="2">
        <v>275</v>
      </c>
      <c r="H32" s="2">
        <v>2329</v>
      </c>
      <c r="I32" s="2" t="str">
        <f t="shared" si="0"/>
        <v/>
      </c>
    </row>
    <row r="33" spans="1:9" x14ac:dyDescent="0.25">
      <c r="A33" s="16" t="s">
        <v>49</v>
      </c>
      <c r="B33" s="18">
        <v>-4.9293374958122937</v>
      </c>
      <c r="G33" s="2" t="s">
        <v>456</v>
      </c>
      <c r="H33" s="2">
        <v>590</v>
      </c>
      <c r="I33" s="2" t="str">
        <f t="shared" si="0"/>
        <v/>
      </c>
    </row>
    <row r="34" spans="1:9" x14ac:dyDescent="0.25">
      <c r="A34" s="16" t="s">
        <v>47</v>
      </c>
      <c r="B34" s="18">
        <v>-6.0592374951726127</v>
      </c>
      <c r="G34" s="2" t="s">
        <v>456</v>
      </c>
      <c r="H34" s="2">
        <v>490</v>
      </c>
      <c r="I34" s="2" t="str">
        <f t="shared" si="0"/>
        <v/>
      </c>
    </row>
    <row r="35" spans="1:9" x14ac:dyDescent="0.25">
      <c r="A35" s="16" t="s">
        <v>50</v>
      </c>
      <c r="B35" s="18">
        <v>-3.9233374963818246</v>
      </c>
      <c r="G35" s="2" t="s">
        <v>456</v>
      </c>
      <c r="H35" s="2">
        <v>432</v>
      </c>
      <c r="I35" s="2" t="str">
        <f t="shared" si="0"/>
        <v/>
      </c>
    </row>
    <row r="36" spans="1:9" x14ac:dyDescent="0.25">
      <c r="A36" s="16" t="s">
        <v>48</v>
      </c>
      <c r="B36" s="18">
        <v>-6.2082374950882917</v>
      </c>
      <c r="G36" s="2" t="s">
        <v>456</v>
      </c>
      <c r="H36" s="2">
        <v>164</v>
      </c>
      <c r="I36" s="2" t="str">
        <f t="shared" si="0"/>
        <v/>
      </c>
    </row>
    <row r="37" spans="1:9" x14ac:dyDescent="0.25">
      <c r="A37" s="16" t="s">
        <v>45</v>
      </c>
      <c r="B37" s="18">
        <v>-6.1940374950963353</v>
      </c>
      <c r="G37" s="2" t="s">
        <v>456</v>
      </c>
      <c r="H37" s="2"/>
      <c r="I37" s="2" t="str">
        <f t="shared" si="0"/>
        <v/>
      </c>
    </row>
    <row r="38" spans="1:9" x14ac:dyDescent="0.25">
      <c r="A38" s="16" t="s">
        <v>54</v>
      </c>
      <c r="B38" s="18">
        <v>-4.3745374961263694</v>
      </c>
      <c r="C38" s="2">
        <v>280</v>
      </c>
      <c r="D38" s="2">
        <v>244</v>
      </c>
      <c r="E38" s="2" t="s">
        <v>304</v>
      </c>
      <c r="F38" s="2" t="s">
        <v>304</v>
      </c>
      <c r="G38" s="2">
        <v>280</v>
      </c>
      <c r="H38" s="2">
        <v>1446</v>
      </c>
      <c r="I38" s="2" t="str">
        <f t="shared" si="0"/>
        <v/>
      </c>
    </row>
    <row r="39" spans="1:9" x14ac:dyDescent="0.25">
      <c r="A39" s="16" t="s">
        <v>53</v>
      </c>
      <c r="B39" s="18">
        <v>-3.8726249964105435</v>
      </c>
      <c r="G39" s="2" t="s">
        <v>456</v>
      </c>
      <c r="H39" s="2"/>
      <c r="I39" s="2" t="str">
        <f t="shared" si="0"/>
        <v/>
      </c>
    </row>
    <row r="40" spans="1:9" x14ac:dyDescent="0.25">
      <c r="A40" s="16" t="s">
        <v>51</v>
      </c>
      <c r="B40" s="18">
        <v>-4.4154874961032062</v>
      </c>
      <c r="C40" s="2">
        <v>200</v>
      </c>
      <c r="D40" s="2">
        <v>255</v>
      </c>
      <c r="E40" s="2" t="s">
        <v>304</v>
      </c>
      <c r="F40" s="2" t="s">
        <v>304</v>
      </c>
      <c r="G40" s="2">
        <v>255</v>
      </c>
      <c r="H40" s="2">
        <v>1235</v>
      </c>
      <c r="I40" s="2" t="str">
        <f t="shared" si="0"/>
        <v/>
      </c>
    </row>
    <row r="41" spans="1:9" x14ac:dyDescent="0.25">
      <c r="A41" s="16" t="s">
        <v>55</v>
      </c>
      <c r="B41" s="18">
        <v>-9.1790333267397735</v>
      </c>
      <c r="G41" s="2" t="s">
        <v>456</v>
      </c>
      <c r="H41" s="2">
        <v>2228</v>
      </c>
      <c r="I41" s="2" t="str">
        <f t="shared" si="0"/>
        <v/>
      </c>
    </row>
    <row r="42" spans="1:9" x14ac:dyDescent="0.25">
      <c r="A42" s="16" t="s">
        <v>57</v>
      </c>
      <c r="B42" s="18">
        <v>-9.2570791600288125</v>
      </c>
      <c r="G42" s="2" t="s">
        <v>456</v>
      </c>
      <c r="H42" s="2">
        <v>2344</v>
      </c>
      <c r="I42" s="2" t="str">
        <f t="shared" si="0"/>
        <v/>
      </c>
    </row>
    <row r="43" spans="1:9" x14ac:dyDescent="0.25">
      <c r="A43" s="16" t="s">
        <v>59</v>
      </c>
      <c r="B43" s="18">
        <v>-7.7696249942042845</v>
      </c>
      <c r="G43" s="2" t="s">
        <v>456</v>
      </c>
      <c r="H43" s="2">
        <v>2291</v>
      </c>
      <c r="I43" s="2"/>
    </row>
    <row r="44" spans="1:9" x14ac:dyDescent="0.25">
      <c r="A44" s="16" t="s">
        <v>60</v>
      </c>
      <c r="B44" s="18">
        <v>-8.7395874936552111</v>
      </c>
      <c r="G44" s="2" t="s">
        <v>456</v>
      </c>
      <c r="H44" s="2"/>
      <c r="I44" s="2" t="str">
        <f t="shared" si="0"/>
        <v/>
      </c>
    </row>
    <row r="45" spans="1:9" x14ac:dyDescent="0.25">
      <c r="A45" s="16" t="s">
        <v>62</v>
      </c>
      <c r="B45" s="18">
        <v>-5.6113958287595258</v>
      </c>
      <c r="C45" s="2">
        <v>325</v>
      </c>
      <c r="D45" s="2">
        <v>400</v>
      </c>
      <c r="E45" s="2">
        <v>600</v>
      </c>
      <c r="F45" s="2" t="s">
        <v>304</v>
      </c>
      <c r="G45" s="2">
        <v>600</v>
      </c>
      <c r="H45" s="2">
        <v>1565</v>
      </c>
      <c r="I45" s="2">
        <f t="shared" si="0"/>
        <v>3.4207135174054315</v>
      </c>
    </row>
    <row r="46" spans="1:9" x14ac:dyDescent="0.25">
      <c r="A46" s="16" t="s">
        <v>63</v>
      </c>
      <c r="B46" s="18">
        <v>-5.6878874953828626</v>
      </c>
      <c r="C46" s="2">
        <v>300</v>
      </c>
      <c r="D46" s="2">
        <v>325</v>
      </c>
      <c r="E46" s="2">
        <v>650</v>
      </c>
      <c r="F46" s="2">
        <v>750</v>
      </c>
      <c r="G46" s="2">
        <v>750</v>
      </c>
      <c r="H46" s="2">
        <v>1597</v>
      </c>
      <c r="I46" s="2">
        <f t="shared" si="0"/>
        <v>2.72376797740543</v>
      </c>
    </row>
    <row r="47" spans="1:9" x14ac:dyDescent="0.25">
      <c r="A47" s="16" t="s">
        <v>64</v>
      </c>
      <c r="B47" s="18">
        <v>-5.8249874953052538</v>
      </c>
      <c r="C47" s="2">
        <v>380</v>
      </c>
      <c r="D47" s="2">
        <v>550</v>
      </c>
      <c r="E47" s="2" t="s">
        <v>304</v>
      </c>
      <c r="F47" s="2" t="s">
        <v>304</v>
      </c>
      <c r="G47" s="2">
        <v>550</v>
      </c>
      <c r="H47" s="2">
        <v>1377</v>
      </c>
      <c r="I47" s="2">
        <f t="shared" si="0"/>
        <v>4.37459398740544</v>
      </c>
    </row>
    <row r="48" spans="1:9" x14ac:dyDescent="0.25">
      <c r="A48" s="16" t="s">
        <v>66</v>
      </c>
      <c r="B48" s="18">
        <v>-6.2692041617204444</v>
      </c>
      <c r="C48" s="2">
        <v>1000</v>
      </c>
      <c r="D48" s="2" t="s">
        <v>304</v>
      </c>
      <c r="E48" s="2" t="s">
        <v>304</v>
      </c>
      <c r="F48" s="2" t="s">
        <v>304</v>
      </c>
      <c r="G48" s="2">
        <v>1000</v>
      </c>
      <c r="H48" s="2">
        <v>1806</v>
      </c>
      <c r="I48" s="2" t="str">
        <f t="shared" si="0"/>
        <v/>
      </c>
    </row>
    <row r="49" spans="1:9" x14ac:dyDescent="0.25">
      <c r="A49" s="16" t="s">
        <v>68</v>
      </c>
      <c r="B49" s="18">
        <v>-8.9778624935203517</v>
      </c>
      <c r="G49" s="2" t="s">
        <v>456</v>
      </c>
      <c r="H49" s="2">
        <v>2339</v>
      </c>
      <c r="I49" s="2" t="str">
        <f t="shared" si="0"/>
        <v/>
      </c>
    </row>
    <row r="50" spans="1:9" x14ac:dyDescent="0.25">
      <c r="A50" s="16" t="s">
        <v>70</v>
      </c>
      <c r="B50" s="18">
        <v>-5.6087124954277021</v>
      </c>
      <c r="C50" s="2">
        <v>327</v>
      </c>
      <c r="D50" s="2" t="s">
        <v>304</v>
      </c>
      <c r="E50" s="2" t="s">
        <v>304</v>
      </c>
      <c r="F50" s="2" t="s">
        <v>304</v>
      </c>
      <c r="G50" s="2">
        <v>327</v>
      </c>
      <c r="H50" s="2">
        <v>1115</v>
      </c>
      <c r="I50" s="2">
        <f t="shared" si="0"/>
        <v>3.1627793174054446</v>
      </c>
    </row>
    <row r="51" spans="1:9" x14ac:dyDescent="0.25">
      <c r="A51" s="16" t="s">
        <v>72</v>
      </c>
      <c r="B51" s="18">
        <v>-8.5265624937758346</v>
      </c>
      <c r="G51" s="2" t="s">
        <v>456</v>
      </c>
      <c r="H51" s="2">
        <v>2774</v>
      </c>
      <c r="I51" s="2" t="str">
        <f t="shared" si="0"/>
        <v/>
      </c>
    </row>
    <row r="52" spans="1:9" x14ac:dyDescent="0.25">
      <c r="A52" s="16" t="s">
        <v>74</v>
      </c>
      <c r="B52" s="18">
        <v>-3.7610624964736843</v>
      </c>
      <c r="G52" s="2" t="s">
        <v>456</v>
      </c>
      <c r="H52" s="2">
        <v>500</v>
      </c>
      <c r="I52" s="2" t="str">
        <f t="shared" si="0"/>
        <v/>
      </c>
    </row>
    <row r="53" spans="1:9" x14ac:dyDescent="0.25">
      <c r="A53" s="16" t="s">
        <v>76</v>
      </c>
      <c r="B53" s="18">
        <v>-9.2211416600491667</v>
      </c>
      <c r="G53" s="2" t="s">
        <v>456</v>
      </c>
      <c r="H53" s="2">
        <v>2330</v>
      </c>
      <c r="I53" s="2" t="str">
        <f t="shared" si="0"/>
        <v/>
      </c>
    </row>
    <row r="54" spans="1:9" x14ac:dyDescent="0.25">
      <c r="A54" s="16" t="s">
        <v>78</v>
      </c>
      <c r="B54" s="18">
        <v>-3.5479124965943689</v>
      </c>
      <c r="G54" s="2" t="s">
        <v>456</v>
      </c>
      <c r="H54" s="2">
        <v>300</v>
      </c>
      <c r="I54" s="2" t="str">
        <f t="shared" si="0"/>
        <v/>
      </c>
    </row>
    <row r="55" spans="1:9" x14ac:dyDescent="0.25">
      <c r="A55" s="16" t="s">
        <v>80</v>
      </c>
      <c r="B55" s="18">
        <v>-5.8235333286394209</v>
      </c>
      <c r="G55" s="2" t="s">
        <v>456</v>
      </c>
      <c r="H55" s="2">
        <v>1912</v>
      </c>
      <c r="I55" s="2"/>
    </row>
    <row r="56" spans="1:9" x14ac:dyDescent="0.25">
      <c r="A56" s="16" t="s">
        <v>84</v>
      </c>
      <c r="B56" s="18">
        <v>-3.7949833297878413</v>
      </c>
      <c r="G56" s="2" t="s">
        <v>456</v>
      </c>
      <c r="H56" s="2"/>
      <c r="I56" s="2" t="str">
        <f t="shared" si="0"/>
        <v/>
      </c>
    </row>
    <row r="57" spans="1:9" x14ac:dyDescent="0.25">
      <c r="A57" s="16" t="s">
        <v>82</v>
      </c>
      <c r="B57" s="18">
        <v>-4.3577624961358925</v>
      </c>
      <c r="G57" s="2" t="s">
        <v>456</v>
      </c>
      <c r="H57" s="2">
        <v>1100</v>
      </c>
      <c r="I57" s="2" t="str">
        <f t="shared" si="0"/>
        <v/>
      </c>
    </row>
    <row r="58" spans="1:9" x14ac:dyDescent="0.25">
      <c r="A58" s="16" t="s">
        <v>88</v>
      </c>
      <c r="B58" s="18">
        <v>-3.9348874963752838</v>
      </c>
      <c r="G58" s="2" t="s">
        <v>456</v>
      </c>
      <c r="H58" s="2">
        <v>380</v>
      </c>
      <c r="I58" s="2" t="str">
        <f t="shared" si="0"/>
        <v/>
      </c>
    </row>
    <row r="59" spans="1:9" x14ac:dyDescent="0.25">
      <c r="A59" s="16" t="s">
        <v>87</v>
      </c>
      <c r="B59" s="18">
        <v>-5.0587624957390434</v>
      </c>
      <c r="G59" s="2" t="s">
        <v>456</v>
      </c>
      <c r="H59" s="2">
        <v>490</v>
      </c>
      <c r="I59" s="2" t="str">
        <f t="shared" si="0"/>
        <v/>
      </c>
    </row>
    <row r="60" spans="1:9" x14ac:dyDescent="0.25">
      <c r="A60" s="16" t="s">
        <v>85</v>
      </c>
      <c r="B60" s="18">
        <v>-6.2391374950707759</v>
      </c>
      <c r="G60" s="2" t="s">
        <v>456</v>
      </c>
      <c r="H60" s="2">
        <v>350</v>
      </c>
      <c r="I60" s="2" t="str">
        <f t="shared" si="0"/>
        <v/>
      </c>
    </row>
    <row r="61" spans="1:9" x14ac:dyDescent="0.25">
      <c r="A61" s="16" t="s">
        <v>89</v>
      </c>
      <c r="B61" s="18">
        <v>-8.9440249935394327</v>
      </c>
      <c r="G61" s="2" t="s">
        <v>456</v>
      </c>
      <c r="H61" s="2">
        <v>2304</v>
      </c>
      <c r="I61" s="2" t="str">
        <f t="shared" si="0"/>
        <v/>
      </c>
    </row>
    <row r="62" spans="1:9" x14ac:dyDescent="0.25">
      <c r="A62" s="16" t="s">
        <v>93</v>
      </c>
      <c r="B62" s="18">
        <v>-5.7687124953371258</v>
      </c>
      <c r="G62" s="2" t="s">
        <v>456</v>
      </c>
      <c r="H62" s="2">
        <v>195</v>
      </c>
      <c r="I62" s="2" t="str">
        <f t="shared" si="0"/>
        <v/>
      </c>
    </row>
    <row r="63" spans="1:9" x14ac:dyDescent="0.25">
      <c r="A63" s="16" t="s">
        <v>91</v>
      </c>
      <c r="B63" s="18">
        <v>-8.6822374936876834</v>
      </c>
      <c r="G63" s="2" t="s">
        <v>456</v>
      </c>
      <c r="H63" s="2">
        <v>1570</v>
      </c>
      <c r="I63" s="2" t="str">
        <f t="shared" si="0"/>
        <v/>
      </c>
    </row>
    <row r="64" spans="1:9" x14ac:dyDescent="0.25">
      <c r="A64" s="16" t="s">
        <v>94</v>
      </c>
      <c r="B64" s="18">
        <v>-9.3652958266342754</v>
      </c>
      <c r="G64" s="2" t="s">
        <v>456</v>
      </c>
      <c r="H64" s="2">
        <v>2427</v>
      </c>
      <c r="I64" s="2" t="str">
        <f t="shared" si="0"/>
        <v/>
      </c>
    </row>
    <row r="65" spans="1:9" x14ac:dyDescent="0.25">
      <c r="A65" s="16" t="s">
        <v>96</v>
      </c>
      <c r="B65" s="18">
        <v>-8.5982041604019415</v>
      </c>
      <c r="G65" s="2" t="s">
        <v>456</v>
      </c>
      <c r="H65" s="2">
        <v>2825</v>
      </c>
      <c r="I65" s="2" t="str">
        <f t="shared" si="0"/>
        <v/>
      </c>
    </row>
    <row r="66" spans="1:9" x14ac:dyDescent="0.25">
      <c r="A66" s="16" t="s">
        <v>102</v>
      </c>
      <c r="B66" s="18">
        <v>-5.1833133577374939</v>
      </c>
      <c r="C66" s="2">
        <v>200</v>
      </c>
      <c r="D66" s="2" t="s">
        <v>304</v>
      </c>
      <c r="E66" s="2" t="s">
        <v>304</v>
      </c>
      <c r="F66" s="2" t="s">
        <v>304</v>
      </c>
      <c r="G66" s="2">
        <v>200</v>
      </c>
      <c r="H66" s="2">
        <v>535</v>
      </c>
      <c r="I66" s="2" t="str">
        <f t="shared" si="0"/>
        <v/>
      </c>
    </row>
    <row r="67" spans="1:9" x14ac:dyDescent="0.25">
      <c r="A67" s="16" t="s">
        <v>99</v>
      </c>
      <c r="B67" s="18">
        <v>-6.0787762882650354</v>
      </c>
      <c r="G67" s="2" t="s">
        <v>456</v>
      </c>
      <c r="H67" s="2">
        <v>1567</v>
      </c>
      <c r="I67" s="2">
        <f t="shared" ref="I67:I130" si="1">IFERROR(VLOOKUP(A67,$K$2:$L$29,2,FALSE),"")</f>
        <v>2.7480267574054551</v>
      </c>
    </row>
    <row r="68" spans="1:9" x14ac:dyDescent="0.25">
      <c r="A68" s="16" t="s">
        <v>98</v>
      </c>
      <c r="B68" s="18">
        <v>-5.8478032280509575</v>
      </c>
      <c r="G68" s="2" t="s">
        <v>456</v>
      </c>
      <c r="H68" s="2">
        <v>1080</v>
      </c>
      <c r="I68" s="2">
        <f t="shared" si="1"/>
        <v>2.1807719774053567</v>
      </c>
    </row>
    <row r="69" spans="1:9" x14ac:dyDescent="0.25">
      <c r="A69" s="16" t="s">
        <v>100</v>
      </c>
      <c r="B69" s="18">
        <v>-6.4686892190787786</v>
      </c>
      <c r="G69" s="2" t="s">
        <v>456</v>
      </c>
      <c r="H69" s="2">
        <v>1839</v>
      </c>
      <c r="I69" s="2">
        <f t="shared" si="1"/>
        <v>4.7889148874054399</v>
      </c>
    </row>
    <row r="70" spans="1:9" x14ac:dyDescent="0.25">
      <c r="A70" s="16" t="s">
        <v>103</v>
      </c>
      <c r="B70" s="18">
        <v>-5.2160624956500037</v>
      </c>
      <c r="G70" s="2" t="s">
        <v>456</v>
      </c>
      <c r="H70" s="2"/>
      <c r="I70" s="2" t="str">
        <f t="shared" si="1"/>
        <v/>
      </c>
    </row>
    <row r="71" spans="1:9" x14ac:dyDescent="0.25">
      <c r="A71" s="16" t="s">
        <v>106</v>
      </c>
      <c r="B71" s="18">
        <v>-5.1621208290138787</v>
      </c>
      <c r="C71" s="2">
        <v>327</v>
      </c>
      <c r="D71" s="2">
        <v>377</v>
      </c>
      <c r="E71" s="2">
        <v>527</v>
      </c>
      <c r="F71" s="2">
        <v>577</v>
      </c>
      <c r="G71" s="2">
        <v>577</v>
      </c>
      <c r="H71" s="2">
        <v>801</v>
      </c>
      <c r="I71" s="2">
        <f t="shared" si="1"/>
        <v>3.0667998474054343</v>
      </c>
    </row>
    <row r="72" spans="1:9" x14ac:dyDescent="0.25">
      <c r="A72" s="16" t="s">
        <v>104</v>
      </c>
      <c r="B72" s="18">
        <v>-5.6930499953799574</v>
      </c>
      <c r="C72" s="2">
        <v>557</v>
      </c>
      <c r="D72" s="2">
        <v>612</v>
      </c>
      <c r="E72" s="2" t="s">
        <v>304</v>
      </c>
      <c r="F72" s="2" t="s">
        <v>304</v>
      </c>
      <c r="G72" s="2">
        <v>612</v>
      </c>
      <c r="H72" s="2">
        <v>1100</v>
      </c>
      <c r="I72" s="2">
        <f t="shared" si="1"/>
        <v>4.8115857574054388</v>
      </c>
    </row>
    <row r="73" spans="1:9" x14ac:dyDescent="0.25">
      <c r="A73" s="16" t="s">
        <v>109</v>
      </c>
      <c r="B73" s="18">
        <v>-5.0925041623865894</v>
      </c>
      <c r="G73" s="2" t="s">
        <v>456</v>
      </c>
      <c r="H73" s="2">
        <v>675</v>
      </c>
      <c r="I73" s="2" t="str">
        <f t="shared" si="1"/>
        <v/>
      </c>
    </row>
    <row r="74" spans="1:9" x14ac:dyDescent="0.25">
      <c r="A74" s="16" t="s">
        <v>110</v>
      </c>
      <c r="B74" s="18">
        <v>-3.8280374964357771</v>
      </c>
      <c r="G74" s="2" t="s">
        <v>456</v>
      </c>
      <c r="H74" s="2">
        <v>552</v>
      </c>
      <c r="I74" s="2" t="str">
        <f t="shared" si="1"/>
        <v/>
      </c>
    </row>
    <row r="75" spans="1:9" x14ac:dyDescent="0.25">
      <c r="A75" s="16" t="s">
        <v>107</v>
      </c>
      <c r="B75" s="18">
        <v>-6.8309374947357435</v>
      </c>
      <c r="G75" s="2" t="s">
        <v>456</v>
      </c>
      <c r="H75" s="2">
        <v>1132</v>
      </c>
      <c r="I75" s="2" t="str">
        <f t="shared" si="1"/>
        <v/>
      </c>
    </row>
    <row r="76" spans="1:9" x14ac:dyDescent="0.25">
      <c r="A76" s="16" t="s">
        <v>111</v>
      </c>
      <c r="B76" s="18">
        <v>-6.7927074947573605</v>
      </c>
      <c r="C76" s="2">
        <v>900</v>
      </c>
      <c r="D76" s="2" t="s">
        <v>304</v>
      </c>
      <c r="E76" s="2" t="s">
        <v>304</v>
      </c>
      <c r="F76" s="2" t="s">
        <v>304</v>
      </c>
      <c r="G76" s="2">
        <v>900</v>
      </c>
      <c r="H76" s="2">
        <v>1512</v>
      </c>
      <c r="I76" s="2" t="str">
        <f t="shared" si="1"/>
        <v/>
      </c>
    </row>
    <row r="77" spans="1:9" x14ac:dyDescent="0.25">
      <c r="A77" s="16" t="s">
        <v>112</v>
      </c>
      <c r="B77" s="18">
        <v>-6.8369999947323263</v>
      </c>
      <c r="G77" s="2" t="s">
        <v>456</v>
      </c>
      <c r="H77" s="2">
        <v>1901</v>
      </c>
      <c r="I77" s="2" t="str">
        <f t="shared" si="1"/>
        <v/>
      </c>
    </row>
    <row r="78" spans="1:9" x14ac:dyDescent="0.25">
      <c r="A78" s="16" t="s">
        <v>113</v>
      </c>
      <c r="B78" s="18">
        <v>-7.0568041612745427</v>
      </c>
      <c r="G78" s="2" t="s">
        <v>456</v>
      </c>
      <c r="H78" s="2">
        <v>1936</v>
      </c>
      <c r="I78" s="2" t="str">
        <f t="shared" si="1"/>
        <v/>
      </c>
    </row>
    <row r="79" spans="1:9" x14ac:dyDescent="0.25">
      <c r="A79" s="16" t="s">
        <v>115</v>
      </c>
      <c r="B79" s="18">
        <v>-8.7999541602877454</v>
      </c>
      <c r="G79" s="2" t="s">
        <v>456</v>
      </c>
      <c r="H79" s="2">
        <v>2233</v>
      </c>
      <c r="I79" s="2" t="str">
        <f t="shared" si="1"/>
        <v/>
      </c>
    </row>
    <row r="80" spans="1:9" x14ac:dyDescent="0.25">
      <c r="A80" s="16" t="s">
        <v>117</v>
      </c>
      <c r="B80" s="18">
        <v>-3.9066499963912955</v>
      </c>
      <c r="G80" s="2" t="s">
        <v>456</v>
      </c>
      <c r="H80" s="2"/>
      <c r="I80" s="2" t="str">
        <f t="shared" si="1"/>
        <v/>
      </c>
    </row>
    <row r="81" spans="1:9" x14ac:dyDescent="0.25">
      <c r="A81" s="16" t="s">
        <v>118</v>
      </c>
      <c r="B81" s="18">
        <v>-4.3322874961503119</v>
      </c>
      <c r="C81" s="2">
        <v>285</v>
      </c>
      <c r="D81" s="2">
        <v>315</v>
      </c>
      <c r="E81" s="2" t="s">
        <v>304</v>
      </c>
      <c r="F81" s="2" t="s">
        <v>304</v>
      </c>
      <c r="G81" s="2">
        <v>315</v>
      </c>
      <c r="H81" s="2">
        <v>1955</v>
      </c>
      <c r="I81" s="2" t="str">
        <f t="shared" si="1"/>
        <v/>
      </c>
    </row>
    <row r="82" spans="1:9" x14ac:dyDescent="0.25">
      <c r="A82" s="16" t="s">
        <v>120</v>
      </c>
      <c r="B82" s="18">
        <v>-7.8782124941428746</v>
      </c>
      <c r="G82" s="2" t="s">
        <v>456</v>
      </c>
      <c r="H82" s="2">
        <v>2547</v>
      </c>
      <c r="I82" s="2" t="str">
        <f t="shared" si="1"/>
        <v/>
      </c>
    </row>
    <row r="83" spans="1:9" x14ac:dyDescent="0.25">
      <c r="A83" s="16" t="s">
        <v>124</v>
      </c>
      <c r="B83" s="18">
        <v>-4.4019499961108828</v>
      </c>
      <c r="G83" s="2" t="s">
        <v>456</v>
      </c>
      <c r="H83" s="2">
        <v>41</v>
      </c>
      <c r="I83" s="2" t="str">
        <f t="shared" si="1"/>
        <v/>
      </c>
    </row>
    <row r="84" spans="1:9" x14ac:dyDescent="0.25">
      <c r="A84" s="16" t="s">
        <v>122</v>
      </c>
      <c r="B84" s="18">
        <v>-4.5098874960497666</v>
      </c>
      <c r="G84" s="2" t="s">
        <v>456</v>
      </c>
      <c r="H84" s="2"/>
      <c r="I84" s="2" t="str">
        <f t="shared" si="1"/>
        <v/>
      </c>
    </row>
    <row r="85" spans="1:9" x14ac:dyDescent="0.25">
      <c r="A85" s="16" t="s">
        <v>125</v>
      </c>
      <c r="B85" s="18">
        <v>-5.9069994000207293</v>
      </c>
      <c r="G85" s="2" t="s">
        <v>456</v>
      </c>
      <c r="H85" s="2">
        <v>562</v>
      </c>
      <c r="I85" s="2" t="str">
        <f t="shared" si="1"/>
        <v/>
      </c>
    </row>
    <row r="86" spans="1:9" x14ac:dyDescent="0.25">
      <c r="A86" s="16" t="s">
        <v>129</v>
      </c>
      <c r="B86" s="18">
        <v>-6.6099374948608833</v>
      </c>
      <c r="G86" s="2" t="s">
        <v>456</v>
      </c>
      <c r="H86" s="2"/>
      <c r="I86" s="2" t="str">
        <f t="shared" si="1"/>
        <v/>
      </c>
    </row>
    <row r="87" spans="1:9" x14ac:dyDescent="0.25">
      <c r="A87" s="16" t="s">
        <v>127</v>
      </c>
      <c r="B87" s="18">
        <v>-8.5399374937682708</v>
      </c>
      <c r="G87" s="2" t="s">
        <v>456</v>
      </c>
      <c r="H87" s="2"/>
      <c r="I87" s="2" t="str">
        <f t="shared" si="1"/>
        <v/>
      </c>
    </row>
    <row r="88" spans="1:9" x14ac:dyDescent="0.25">
      <c r="A88" s="16" t="s">
        <v>133</v>
      </c>
      <c r="B88" s="18">
        <v>-4.4429624960876586</v>
      </c>
      <c r="G88" s="2" t="s">
        <v>456</v>
      </c>
      <c r="H88" s="2">
        <v>290</v>
      </c>
      <c r="I88" s="2" t="str">
        <f t="shared" si="1"/>
        <v/>
      </c>
    </row>
    <row r="89" spans="1:9" x14ac:dyDescent="0.25">
      <c r="A89" s="16" t="s">
        <v>130</v>
      </c>
      <c r="B89" s="18">
        <v>-5.0244562457584605</v>
      </c>
      <c r="G89" s="2" t="s">
        <v>456</v>
      </c>
      <c r="H89" s="2">
        <v>830</v>
      </c>
      <c r="I89" s="2">
        <f t="shared" si="1"/>
        <v>2.2644996074054404</v>
      </c>
    </row>
    <row r="90" spans="1:9" x14ac:dyDescent="0.25">
      <c r="A90" s="16" t="s">
        <v>131</v>
      </c>
      <c r="B90" s="18">
        <v>-5.4306062455285327</v>
      </c>
      <c r="C90" s="2">
        <v>200</v>
      </c>
      <c r="D90" s="2" t="s">
        <v>304</v>
      </c>
      <c r="E90" s="2" t="s">
        <v>304</v>
      </c>
      <c r="F90" s="2" t="s">
        <v>304</v>
      </c>
      <c r="G90" s="2">
        <v>200</v>
      </c>
      <c r="H90" s="2">
        <v>897</v>
      </c>
      <c r="I90" s="2">
        <f t="shared" si="1"/>
        <v>2.9623635274054365</v>
      </c>
    </row>
    <row r="91" spans="1:9" x14ac:dyDescent="0.25">
      <c r="A91" s="16" t="s">
        <v>136</v>
      </c>
      <c r="B91" s="18">
        <v>-3.5780874965772869</v>
      </c>
      <c r="G91" s="2" t="s">
        <v>456</v>
      </c>
      <c r="H91" s="2"/>
      <c r="I91" s="2" t="str">
        <f t="shared" si="1"/>
        <v/>
      </c>
    </row>
    <row r="92" spans="1:9" x14ac:dyDescent="0.25">
      <c r="A92" s="16" t="s">
        <v>134</v>
      </c>
      <c r="B92" s="18">
        <v>-4.065037496301624</v>
      </c>
      <c r="G92" s="2" t="s">
        <v>456</v>
      </c>
      <c r="H92" s="2">
        <v>750</v>
      </c>
      <c r="I92" s="2" t="str">
        <f t="shared" si="1"/>
        <v/>
      </c>
    </row>
    <row r="93" spans="1:9" x14ac:dyDescent="0.25">
      <c r="A93" s="16" t="s">
        <v>137</v>
      </c>
      <c r="B93" s="18">
        <v>-8.8915416602358786</v>
      </c>
      <c r="G93" s="2" t="s">
        <v>456</v>
      </c>
      <c r="H93" s="2"/>
      <c r="I93" s="2" t="str">
        <f t="shared" si="1"/>
        <v/>
      </c>
    </row>
    <row r="94" spans="1:9" x14ac:dyDescent="0.25">
      <c r="A94" s="16" t="s">
        <v>139</v>
      </c>
      <c r="B94" s="18">
        <v>-8.7182999936672925</v>
      </c>
      <c r="G94" s="2" t="s">
        <v>456</v>
      </c>
      <c r="H94" s="2">
        <v>2183</v>
      </c>
      <c r="I94" s="2" t="str">
        <f t="shared" si="1"/>
        <v/>
      </c>
    </row>
    <row r="95" spans="1:9" x14ac:dyDescent="0.25">
      <c r="A95" s="16" t="s">
        <v>143</v>
      </c>
      <c r="B95" s="18">
        <v>-3.8781124964074385</v>
      </c>
      <c r="G95" s="2" t="s">
        <v>456</v>
      </c>
      <c r="H95" s="2">
        <v>450</v>
      </c>
      <c r="I95" s="2" t="str">
        <f t="shared" si="1"/>
        <v/>
      </c>
    </row>
    <row r="96" spans="1:9" x14ac:dyDescent="0.25">
      <c r="A96" s="16" t="s">
        <v>141</v>
      </c>
      <c r="B96" s="18">
        <v>-3.9472624963683121</v>
      </c>
      <c r="G96" s="2" t="s">
        <v>456</v>
      </c>
      <c r="H96" s="2"/>
      <c r="I96" s="2" t="str">
        <f t="shared" si="1"/>
        <v/>
      </c>
    </row>
    <row r="97" spans="1:9" x14ac:dyDescent="0.25">
      <c r="A97" s="16" t="s">
        <v>146</v>
      </c>
      <c r="B97" s="18">
        <v>-7.9029531191288909</v>
      </c>
      <c r="G97" s="2" t="s">
        <v>456</v>
      </c>
      <c r="H97" s="2">
        <v>2400</v>
      </c>
      <c r="I97" s="2" t="str">
        <f t="shared" si="1"/>
        <v/>
      </c>
    </row>
    <row r="98" spans="1:9" x14ac:dyDescent="0.25">
      <c r="A98" s="16" t="s">
        <v>144</v>
      </c>
      <c r="B98" s="18">
        <v>-8.2214374939485051</v>
      </c>
      <c r="G98" s="2" t="s">
        <v>456</v>
      </c>
      <c r="H98" s="2"/>
      <c r="I98" s="2" t="str">
        <f t="shared" si="1"/>
        <v/>
      </c>
    </row>
    <row r="99" spans="1:9" x14ac:dyDescent="0.25">
      <c r="A99" s="16" t="s">
        <v>150</v>
      </c>
      <c r="B99" s="18">
        <v>-4.8978874958301137</v>
      </c>
      <c r="G99" s="2" t="s">
        <v>456</v>
      </c>
      <c r="H99" s="2">
        <v>570</v>
      </c>
      <c r="I99" s="2" t="str">
        <f t="shared" si="1"/>
        <v/>
      </c>
    </row>
    <row r="100" spans="1:9" x14ac:dyDescent="0.25">
      <c r="A100" s="16" t="s">
        <v>151</v>
      </c>
      <c r="B100" s="18">
        <v>-3.8946374963980839</v>
      </c>
      <c r="G100" s="2" t="s">
        <v>456</v>
      </c>
      <c r="H100" s="2">
        <v>412</v>
      </c>
      <c r="I100" s="2" t="str">
        <f t="shared" si="1"/>
        <v/>
      </c>
    </row>
    <row r="101" spans="1:9" x14ac:dyDescent="0.25">
      <c r="A101" s="16" t="s">
        <v>147</v>
      </c>
      <c r="B101" s="18">
        <v>-5.8223374953067379</v>
      </c>
      <c r="G101" s="2" t="s">
        <v>456</v>
      </c>
      <c r="H101" s="2">
        <v>400</v>
      </c>
      <c r="I101" s="2" t="str">
        <f t="shared" si="1"/>
        <v/>
      </c>
    </row>
    <row r="102" spans="1:9" x14ac:dyDescent="0.25">
      <c r="A102" s="16" t="s">
        <v>148</v>
      </c>
      <c r="B102" s="18">
        <v>-5.9481624952355263</v>
      </c>
      <c r="G102" s="2" t="s">
        <v>456</v>
      </c>
      <c r="H102" s="2"/>
      <c r="I102" s="2" t="str">
        <f t="shared" si="1"/>
        <v/>
      </c>
    </row>
    <row r="103" spans="1:9" x14ac:dyDescent="0.25">
      <c r="A103" s="16" t="s">
        <v>152</v>
      </c>
      <c r="B103" s="18">
        <v>-5.1008428528580776</v>
      </c>
      <c r="G103" s="2" t="s">
        <v>456</v>
      </c>
      <c r="H103" s="2">
        <v>297</v>
      </c>
      <c r="I103" s="2" t="str">
        <f t="shared" si="1"/>
        <v/>
      </c>
    </row>
    <row r="104" spans="1:9" x14ac:dyDescent="0.25">
      <c r="A104" s="16" t="s">
        <v>153</v>
      </c>
      <c r="B104" s="18">
        <v>-5.340687495579437</v>
      </c>
      <c r="G104" s="2" t="s">
        <v>456</v>
      </c>
      <c r="H104" s="2">
        <v>400</v>
      </c>
      <c r="I104" s="2" t="str">
        <f t="shared" si="1"/>
        <v/>
      </c>
    </row>
    <row r="105" spans="1:9" x14ac:dyDescent="0.25">
      <c r="A105" s="16" t="s">
        <v>155</v>
      </c>
      <c r="B105" s="18">
        <v>-4.3210624961566886</v>
      </c>
      <c r="G105" s="2" t="s">
        <v>456</v>
      </c>
      <c r="H105" s="2"/>
      <c r="I105" s="2" t="str">
        <f t="shared" si="1"/>
        <v/>
      </c>
    </row>
    <row r="106" spans="1:9" x14ac:dyDescent="0.25">
      <c r="A106" s="16" t="s">
        <v>159</v>
      </c>
      <c r="B106" s="18">
        <v>-3.9697062463555826</v>
      </c>
      <c r="G106" s="2" t="s">
        <v>456</v>
      </c>
      <c r="H106" s="2">
        <v>25.4</v>
      </c>
      <c r="I106" s="2" t="str">
        <f t="shared" si="1"/>
        <v/>
      </c>
    </row>
    <row r="107" spans="1:9" x14ac:dyDescent="0.25">
      <c r="A107" s="16" t="s">
        <v>157</v>
      </c>
      <c r="B107" s="18">
        <v>-4.672062495957956</v>
      </c>
      <c r="G107" s="2" t="s">
        <v>456</v>
      </c>
      <c r="H107" s="2">
        <v>1200</v>
      </c>
      <c r="I107" s="2" t="str">
        <f t="shared" si="1"/>
        <v/>
      </c>
    </row>
    <row r="108" spans="1:9" x14ac:dyDescent="0.25">
      <c r="A108" s="16" t="s">
        <v>162</v>
      </c>
      <c r="B108" s="18">
        <v>-4.9396074958064409</v>
      </c>
      <c r="G108" s="2" t="s">
        <v>456</v>
      </c>
      <c r="H108" s="2">
        <v>380</v>
      </c>
      <c r="I108" s="2" t="str">
        <f t="shared" si="1"/>
        <v/>
      </c>
    </row>
    <row r="109" spans="1:9" x14ac:dyDescent="0.25">
      <c r="A109" s="16" t="s">
        <v>163</v>
      </c>
      <c r="B109" s="18">
        <v>-5.2494562456310812</v>
      </c>
      <c r="G109" s="2" t="s">
        <v>456</v>
      </c>
      <c r="H109" s="2"/>
      <c r="I109" s="2">
        <f t="shared" si="1"/>
        <v>2.3203174274054561</v>
      </c>
    </row>
    <row r="110" spans="1:9" x14ac:dyDescent="0.25">
      <c r="A110" s="16" t="s">
        <v>160</v>
      </c>
      <c r="B110" s="18">
        <v>-5.4120541622056955</v>
      </c>
      <c r="C110" s="2">
        <v>550</v>
      </c>
      <c r="D110" s="2" t="s">
        <v>304</v>
      </c>
      <c r="E110" s="2" t="s">
        <v>304</v>
      </c>
      <c r="F110" s="2" t="s">
        <v>304</v>
      </c>
      <c r="G110" s="2">
        <v>550</v>
      </c>
      <c r="H110" s="2">
        <v>656</v>
      </c>
      <c r="I110" s="2">
        <f t="shared" si="1"/>
        <v>3.3158645574054475</v>
      </c>
    </row>
    <row r="111" spans="1:9" x14ac:dyDescent="0.25">
      <c r="A111" s="16" t="s">
        <v>164</v>
      </c>
      <c r="B111" s="18">
        <v>-9.1078833267799588</v>
      </c>
      <c r="G111" s="2" t="s">
        <v>456</v>
      </c>
      <c r="H111" s="2">
        <v>2485</v>
      </c>
      <c r="I111" s="2" t="str">
        <f t="shared" si="1"/>
        <v/>
      </c>
    </row>
    <row r="112" spans="1:9" x14ac:dyDescent="0.25">
      <c r="A112" s="16" t="s">
        <v>166</v>
      </c>
      <c r="B112" s="18">
        <v>-3.9170524963853905</v>
      </c>
      <c r="G112" s="2" t="s">
        <v>456</v>
      </c>
      <c r="H112" s="2"/>
      <c r="I112" s="2" t="str">
        <f t="shared" si="1"/>
        <v/>
      </c>
    </row>
    <row r="113" spans="1:9" x14ac:dyDescent="0.25">
      <c r="A113" s="16" t="s">
        <v>167</v>
      </c>
      <c r="B113" s="18">
        <v>-4.2185624962147035</v>
      </c>
      <c r="G113" s="2" t="s">
        <v>456</v>
      </c>
      <c r="H113" s="2">
        <v>340</v>
      </c>
      <c r="I113" s="2" t="str">
        <f t="shared" si="1"/>
        <v/>
      </c>
    </row>
    <row r="114" spans="1:9" x14ac:dyDescent="0.25">
      <c r="A114" s="16" t="s">
        <v>169</v>
      </c>
      <c r="B114" s="18">
        <v>-7.3948437444165256</v>
      </c>
      <c r="G114" s="2" t="s">
        <v>456</v>
      </c>
      <c r="H114" s="2">
        <v>1722</v>
      </c>
      <c r="I114" s="2" t="str">
        <f t="shared" si="1"/>
        <v/>
      </c>
    </row>
    <row r="115" spans="1:9" x14ac:dyDescent="0.25">
      <c r="A115" s="16" t="s">
        <v>171</v>
      </c>
      <c r="B115" s="18">
        <v>-8.9334333268787507</v>
      </c>
      <c r="G115" s="2" t="s">
        <v>456</v>
      </c>
      <c r="H115" s="2">
        <v>2269</v>
      </c>
      <c r="I115" s="2" t="str">
        <f t="shared" si="1"/>
        <v/>
      </c>
    </row>
    <row r="116" spans="1:9" x14ac:dyDescent="0.25">
      <c r="A116" s="16" t="s">
        <v>173</v>
      </c>
      <c r="B116" s="18">
        <v>-5.7255208286948678</v>
      </c>
      <c r="G116" s="2" t="s">
        <v>456</v>
      </c>
      <c r="H116" s="2"/>
      <c r="I116" s="2">
        <f t="shared" si="1"/>
        <v>3.8178193974054295</v>
      </c>
    </row>
    <row r="117" spans="1:9" x14ac:dyDescent="0.25">
      <c r="A117" s="16" t="s">
        <v>176</v>
      </c>
      <c r="B117" s="18">
        <v>-5.6550374954014719</v>
      </c>
      <c r="C117" s="2">
        <v>500</v>
      </c>
      <c r="D117" s="2" t="s">
        <v>304</v>
      </c>
      <c r="E117" s="2" t="s">
        <v>304</v>
      </c>
      <c r="F117" s="2" t="s">
        <v>304</v>
      </c>
      <c r="G117" s="2">
        <v>500</v>
      </c>
      <c r="H117" s="2">
        <v>1630</v>
      </c>
      <c r="I117" s="2">
        <f t="shared" si="1"/>
        <v>3.264641837405442</v>
      </c>
    </row>
    <row r="118" spans="1:9" x14ac:dyDescent="0.25">
      <c r="A118" s="16" t="s">
        <v>174</v>
      </c>
      <c r="B118" s="18">
        <v>-5.7561374953442117</v>
      </c>
      <c r="G118" s="2" t="s">
        <v>456</v>
      </c>
      <c r="H118" s="2">
        <v>1080</v>
      </c>
      <c r="I118" s="2">
        <f t="shared" si="1"/>
        <v>3.2533556474054421</v>
      </c>
    </row>
    <row r="119" spans="1:9" x14ac:dyDescent="0.25">
      <c r="A119" s="16" t="s">
        <v>179</v>
      </c>
      <c r="B119" s="18">
        <v>-5.7775374953321057</v>
      </c>
      <c r="G119" s="2" t="s">
        <v>456</v>
      </c>
      <c r="H119" s="2">
        <v>215</v>
      </c>
      <c r="I119" s="2" t="str">
        <f t="shared" si="1"/>
        <v/>
      </c>
    </row>
    <row r="120" spans="1:9" x14ac:dyDescent="0.25">
      <c r="A120" s="16" t="s">
        <v>177</v>
      </c>
      <c r="B120" s="18">
        <v>-8.6531374937041399</v>
      </c>
      <c r="G120" s="2" t="s">
        <v>456</v>
      </c>
      <c r="H120" s="2">
        <v>2531</v>
      </c>
      <c r="I120" s="2" t="str">
        <f t="shared" si="1"/>
        <v/>
      </c>
    </row>
    <row r="121" spans="1:9" x14ac:dyDescent="0.25">
      <c r="A121" s="16" t="s">
        <v>180</v>
      </c>
      <c r="B121" s="18">
        <v>-7.1647074945467839</v>
      </c>
      <c r="G121" s="2" t="s">
        <v>456</v>
      </c>
      <c r="H121" s="2">
        <v>1784</v>
      </c>
      <c r="I121" s="2" t="str">
        <f t="shared" si="1"/>
        <v/>
      </c>
    </row>
    <row r="122" spans="1:9" x14ac:dyDescent="0.25">
      <c r="A122" s="16" t="s">
        <v>182</v>
      </c>
      <c r="B122" s="18">
        <v>-9.137712493429742</v>
      </c>
      <c r="G122" s="2" t="s">
        <v>456</v>
      </c>
      <c r="H122" s="2">
        <v>2303</v>
      </c>
      <c r="I122" s="2" t="str">
        <f t="shared" si="1"/>
        <v/>
      </c>
    </row>
    <row r="123" spans="1:9" x14ac:dyDescent="0.25">
      <c r="A123" s="16" t="s">
        <v>184</v>
      </c>
      <c r="B123" s="18">
        <v>-4.80504821016837</v>
      </c>
      <c r="G123" s="2" t="s">
        <v>456</v>
      </c>
      <c r="H123" s="2">
        <v>119.5</v>
      </c>
      <c r="I123" s="2" t="str">
        <f t="shared" si="1"/>
        <v/>
      </c>
    </row>
    <row r="124" spans="1:9" x14ac:dyDescent="0.25">
      <c r="A124" s="16" t="s">
        <v>185</v>
      </c>
      <c r="B124" s="18">
        <v>-5.3176499955924772</v>
      </c>
      <c r="G124" s="2" t="s">
        <v>456</v>
      </c>
      <c r="H124" s="2"/>
      <c r="I124" s="2" t="str">
        <f t="shared" si="1"/>
        <v/>
      </c>
    </row>
    <row r="125" spans="1:9" x14ac:dyDescent="0.25">
      <c r="A125" s="16" t="s">
        <v>187</v>
      </c>
      <c r="B125" s="18">
        <v>-4.4752874960693623</v>
      </c>
      <c r="G125" s="2" t="s">
        <v>456</v>
      </c>
      <c r="H125" s="2"/>
      <c r="I125" s="2" t="str">
        <f t="shared" si="1"/>
        <v/>
      </c>
    </row>
    <row r="126" spans="1:9" x14ac:dyDescent="0.25">
      <c r="A126" s="16" t="s">
        <v>190</v>
      </c>
      <c r="B126" s="18">
        <v>-4.2799541628466047</v>
      </c>
      <c r="G126" s="2" t="s">
        <v>456</v>
      </c>
      <c r="H126" s="2">
        <v>430</v>
      </c>
      <c r="I126" s="2" t="str">
        <f t="shared" si="1"/>
        <v/>
      </c>
    </row>
    <row r="127" spans="1:9" x14ac:dyDescent="0.25">
      <c r="A127" s="16" t="s">
        <v>188</v>
      </c>
      <c r="B127" s="18">
        <v>-4.7317624959241611</v>
      </c>
      <c r="G127" s="2" t="s">
        <v>456</v>
      </c>
      <c r="H127" s="2">
        <v>733</v>
      </c>
      <c r="I127" s="2">
        <f t="shared" si="1"/>
        <v>2.7030300774054297</v>
      </c>
    </row>
    <row r="128" spans="1:9" x14ac:dyDescent="0.25">
      <c r="A128" s="16" t="s">
        <v>191</v>
      </c>
      <c r="B128" s="18">
        <v>-9.0480374934806136</v>
      </c>
      <c r="G128" s="2" t="s">
        <v>456</v>
      </c>
      <c r="H128" s="2">
        <v>3390</v>
      </c>
      <c r="I128" s="2" t="str">
        <f t="shared" si="1"/>
        <v/>
      </c>
    </row>
    <row r="129" spans="1:9" x14ac:dyDescent="0.25">
      <c r="A129" s="16" t="s">
        <v>200</v>
      </c>
      <c r="B129" s="18">
        <v>-7.7460083275510483</v>
      </c>
      <c r="G129" s="2" t="s">
        <v>456</v>
      </c>
      <c r="H129" s="2">
        <v>1843</v>
      </c>
      <c r="I129" s="2" t="str">
        <f t="shared" si="1"/>
        <v/>
      </c>
    </row>
    <row r="130" spans="1:9" x14ac:dyDescent="0.25">
      <c r="A130" s="16" t="s">
        <v>198</v>
      </c>
      <c r="B130" s="18">
        <v>-8.3091374938988913</v>
      </c>
      <c r="G130" s="2" t="s">
        <v>456</v>
      </c>
      <c r="H130" s="2">
        <v>1750</v>
      </c>
      <c r="I130" s="2" t="str">
        <f t="shared" si="1"/>
        <v/>
      </c>
    </row>
    <row r="131" spans="1:9" x14ac:dyDescent="0.25">
      <c r="A131" s="16" t="s">
        <v>193</v>
      </c>
      <c r="B131" s="18">
        <v>-8.5975708270689317</v>
      </c>
      <c r="G131" s="2" t="s">
        <v>456</v>
      </c>
      <c r="H131" s="2"/>
      <c r="I131" s="2" t="str">
        <f t="shared" ref="I131:I155" si="2">IFERROR(VLOOKUP(A131,$K$2:$L$29,2,FALSE),"")</f>
        <v/>
      </c>
    </row>
    <row r="132" spans="1:9" x14ac:dyDescent="0.25">
      <c r="A132" s="16" t="s">
        <v>195</v>
      </c>
      <c r="B132" s="18">
        <v>-8.7713124936372573</v>
      </c>
      <c r="G132" s="2" t="s">
        <v>456</v>
      </c>
      <c r="H132" s="2"/>
      <c r="I132" s="2" t="str">
        <f t="shared" si="2"/>
        <v/>
      </c>
    </row>
    <row r="133" spans="1:9" x14ac:dyDescent="0.25">
      <c r="A133" s="16" t="s">
        <v>199</v>
      </c>
      <c r="B133" s="18">
        <v>-7.9094474941251915</v>
      </c>
      <c r="G133" s="2" t="s">
        <v>456</v>
      </c>
      <c r="H133" s="2">
        <v>1777</v>
      </c>
      <c r="I133" s="2" t="str">
        <f t="shared" si="2"/>
        <v/>
      </c>
    </row>
    <row r="134" spans="1:9" x14ac:dyDescent="0.25">
      <c r="A134" s="16" t="s">
        <v>197</v>
      </c>
      <c r="B134" s="18">
        <v>-7.9992152718520577</v>
      </c>
      <c r="G134" s="2" t="s">
        <v>456</v>
      </c>
      <c r="H134" s="2">
        <v>1842</v>
      </c>
      <c r="I134" s="2" t="str">
        <f t="shared" si="2"/>
        <v/>
      </c>
    </row>
    <row r="135" spans="1:9" x14ac:dyDescent="0.25">
      <c r="A135" s="16" t="s">
        <v>194</v>
      </c>
      <c r="B135" s="18">
        <v>-8.8988874935647857</v>
      </c>
      <c r="G135" s="2" t="s">
        <v>456</v>
      </c>
      <c r="H135" s="2"/>
      <c r="I135" s="2" t="str">
        <f t="shared" si="2"/>
        <v/>
      </c>
    </row>
    <row r="136" spans="1:9" x14ac:dyDescent="0.25">
      <c r="A136" s="16" t="s">
        <v>204</v>
      </c>
      <c r="B136" s="18">
        <v>-4.6753374959561027</v>
      </c>
      <c r="G136" s="2" t="s">
        <v>456</v>
      </c>
      <c r="H136" s="2"/>
      <c r="I136" s="2" t="str">
        <f t="shared" si="2"/>
        <v/>
      </c>
    </row>
    <row r="137" spans="1:9" x14ac:dyDescent="0.25">
      <c r="A137" s="16" t="s">
        <v>203</v>
      </c>
      <c r="B137" s="18">
        <v>-4.3348833294821807</v>
      </c>
      <c r="G137" s="2" t="s">
        <v>456</v>
      </c>
      <c r="H137" s="2">
        <v>834</v>
      </c>
      <c r="I137" s="2" t="str">
        <f t="shared" si="2"/>
        <v/>
      </c>
    </row>
    <row r="138" spans="1:9" x14ac:dyDescent="0.25">
      <c r="A138" s="16" t="s">
        <v>201</v>
      </c>
      <c r="B138" s="18">
        <v>-4.9377874958075187</v>
      </c>
      <c r="G138" s="2" t="s">
        <v>456</v>
      </c>
      <c r="H138" s="2">
        <v>579</v>
      </c>
      <c r="I138" s="2" t="str">
        <f t="shared" si="2"/>
        <v/>
      </c>
    </row>
    <row r="139" spans="1:9" x14ac:dyDescent="0.25">
      <c r="A139" s="16" t="s">
        <v>205</v>
      </c>
      <c r="B139" s="18">
        <v>-9.3144458266631265</v>
      </c>
      <c r="G139" s="2" t="s">
        <v>456</v>
      </c>
      <c r="H139" s="2">
        <v>2341</v>
      </c>
      <c r="I139" s="2" t="str">
        <f t="shared" si="2"/>
        <v/>
      </c>
    </row>
    <row r="140" spans="1:9" x14ac:dyDescent="0.25">
      <c r="A140" s="16" t="s">
        <v>210</v>
      </c>
      <c r="B140" s="18">
        <v>-7.3059374944668605</v>
      </c>
      <c r="G140" s="2" t="s">
        <v>456</v>
      </c>
      <c r="H140" s="2"/>
      <c r="I140" s="2" t="str">
        <f t="shared" si="2"/>
        <v/>
      </c>
    </row>
    <row r="141" spans="1:9" x14ac:dyDescent="0.25">
      <c r="A141" s="16" t="s">
        <v>207</v>
      </c>
      <c r="B141" s="18">
        <v>-7.5803674943114805</v>
      </c>
      <c r="G141" s="2" t="s">
        <v>456</v>
      </c>
      <c r="H141" s="2">
        <v>1300</v>
      </c>
      <c r="I141" s="2" t="str">
        <f t="shared" si="2"/>
        <v/>
      </c>
    </row>
    <row r="142" spans="1:9" x14ac:dyDescent="0.25">
      <c r="A142" s="16" t="s">
        <v>208</v>
      </c>
      <c r="B142" s="18">
        <v>-8.1287437440010422</v>
      </c>
      <c r="G142" s="2" t="s">
        <v>456</v>
      </c>
      <c r="H142" s="2">
        <v>2827</v>
      </c>
      <c r="I142" s="2" t="str">
        <f t="shared" si="2"/>
        <v/>
      </c>
    </row>
    <row r="143" spans="1:9" x14ac:dyDescent="0.25">
      <c r="A143" s="16" t="s">
        <v>215</v>
      </c>
      <c r="B143" s="18">
        <v>-5.8561732095733063</v>
      </c>
      <c r="G143" s="2" t="s">
        <v>456</v>
      </c>
      <c r="H143" s="2"/>
      <c r="I143" s="2">
        <f t="shared" si="2"/>
        <v>2.2314128874054404</v>
      </c>
    </row>
    <row r="144" spans="1:9" x14ac:dyDescent="0.25">
      <c r="A144" s="16" t="s">
        <v>214</v>
      </c>
      <c r="B144" s="18">
        <v>-6.5012474949223984</v>
      </c>
      <c r="G144" s="2" t="s">
        <v>456</v>
      </c>
      <c r="H144" s="2"/>
      <c r="I144" s="2">
        <f t="shared" si="2"/>
        <v>4.6081819174054601</v>
      </c>
    </row>
    <row r="145" spans="1:9" x14ac:dyDescent="0.25">
      <c r="A145" s="16" t="s">
        <v>213</v>
      </c>
      <c r="B145" s="18">
        <v>-5.6893774953820246</v>
      </c>
      <c r="G145" s="2" t="s">
        <v>456</v>
      </c>
      <c r="H145" s="2">
        <v>670</v>
      </c>
      <c r="I145" s="2">
        <f t="shared" si="2"/>
        <v>1.4559845674054515</v>
      </c>
    </row>
    <row r="146" spans="1:9" x14ac:dyDescent="0.25">
      <c r="A146" s="16" t="s">
        <v>216</v>
      </c>
      <c r="B146" s="18">
        <v>-6.1941374950962684</v>
      </c>
      <c r="G146" s="2" t="s">
        <v>456</v>
      </c>
      <c r="H146" s="2">
        <v>1967</v>
      </c>
      <c r="I146" s="2" t="str">
        <f t="shared" si="2"/>
        <v/>
      </c>
    </row>
    <row r="147" spans="1:9" x14ac:dyDescent="0.25">
      <c r="A147" s="16" t="s">
        <v>211</v>
      </c>
      <c r="B147" s="18">
        <v>-6.685454161484774</v>
      </c>
      <c r="G147" s="2" t="s">
        <v>456</v>
      </c>
      <c r="H147" s="2">
        <v>2067</v>
      </c>
      <c r="I147" s="2" t="str">
        <f t="shared" si="2"/>
        <v/>
      </c>
    </row>
    <row r="148" spans="1:9" x14ac:dyDescent="0.25">
      <c r="A148" s="16" t="s">
        <v>217</v>
      </c>
      <c r="B148" s="18">
        <v>-5.4096170873771321</v>
      </c>
      <c r="G148" s="2" t="s">
        <v>456</v>
      </c>
      <c r="H148" s="2"/>
      <c r="I148" s="2" t="str">
        <f t="shared" si="2"/>
        <v/>
      </c>
    </row>
    <row r="149" spans="1:9" x14ac:dyDescent="0.25">
      <c r="A149" s="16" t="s">
        <v>220</v>
      </c>
      <c r="B149" s="18">
        <v>-5.3794374955574957</v>
      </c>
      <c r="G149" s="2" t="s">
        <v>456</v>
      </c>
      <c r="H149" s="2">
        <v>1472</v>
      </c>
      <c r="I149" s="2">
        <f t="shared" si="2"/>
        <v>4.4740739674054453</v>
      </c>
    </row>
    <row r="150" spans="1:9" x14ac:dyDescent="0.25">
      <c r="A150" s="16" t="s">
        <v>218</v>
      </c>
      <c r="B150" s="18">
        <v>-5.5157999954803083</v>
      </c>
      <c r="G150" s="2" t="s">
        <v>456</v>
      </c>
      <c r="H150" s="2">
        <v>1500</v>
      </c>
      <c r="I150" s="2">
        <f t="shared" si="2"/>
        <v>5.4119449574054386</v>
      </c>
    </row>
    <row r="151" spans="1:9" x14ac:dyDescent="0.25">
      <c r="A151" s="16" t="s">
        <v>221</v>
      </c>
      <c r="B151" s="18">
        <v>-9.1116708267778161</v>
      </c>
      <c r="G151" s="2" t="s">
        <v>456</v>
      </c>
      <c r="H151" s="2">
        <v>2438</v>
      </c>
      <c r="I151" s="2" t="str">
        <f t="shared" si="2"/>
        <v/>
      </c>
    </row>
    <row r="152" spans="1:9" x14ac:dyDescent="0.25">
      <c r="A152" s="16" t="s">
        <v>223</v>
      </c>
      <c r="B152" s="18">
        <v>-9.7653374930745294</v>
      </c>
      <c r="G152" s="2" t="s">
        <v>456</v>
      </c>
      <c r="H152" s="2"/>
      <c r="I152" s="2" t="str">
        <f t="shared" si="2"/>
        <v/>
      </c>
    </row>
    <row r="153" spans="1:9" x14ac:dyDescent="0.25">
      <c r="A153" s="16" t="s">
        <v>225</v>
      </c>
      <c r="B153" s="18">
        <v>-6.062287495170902</v>
      </c>
      <c r="G153" s="2" t="s">
        <v>456</v>
      </c>
      <c r="H153" s="2">
        <v>1974</v>
      </c>
      <c r="I153" s="2" t="str">
        <f t="shared" si="2"/>
        <v/>
      </c>
    </row>
    <row r="154" spans="1:9" x14ac:dyDescent="0.25">
      <c r="A154" s="16" t="s">
        <v>229</v>
      </c>
      <c r="B154" s="18">
        <v>-8.2175999939507598</v>
      </c>
      <c r="G154" s="2" t="s">
        <v>456</v>
      </c>
      <c r="H154" s="2">
        <v>2709</v>
      </c>
      <c r="I154" s="2" t="str">
        <f t="shared" si="2"/>
        <v/>
      </c>
    </row>
    <row r="155" spans="1:9" x14ac:dyDescent="0.25">
      <c r="A155" s="16" t="s">
        <v>227</v>
      </c>
      <c r="B155" s="18">
        <v>-8.6759624936913333</v>
      </c>
      <c r="G155" s="2" t="s">
        <v>456</v>
      </c>
      <c r="H155" s="2"/>
      <c r="I155" s="2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44F9-DFD0-4528-8865-285E45E0996E}">
  <dimension ref="A1:I30"/>
  <sheetViews>
    <sheetView workbookViewId="0">
      <selection activeCell="D22" sqref="D22"/>
    </sheetView>
  </sheetViews>
  <sheetFormatPr defaultColWidth="9.140625" defaultRowHeight="15" x14ac:dyDescent="0.25"/>
  <cols>
    <col min="1" max="1" width="11.7109375" style="2" customWidth="1"/>
    <col min="2" max="2" width="9.140625" style="2"/>
    <col min="3" max="3" width="13.42578125" style="2" customWidth="1"/>
    <col min="4" max="4" width="14.7109375" style="2" customWidth="1"/>
    <col min="5" max="5" width="27.85546875" style="2" customWidth="1"/>
    <col min="6" max="6" width="9.140625" style="2"/>
    <col min="7" max="7" width="27.28515625" style="2" customWidth="1"/>
    <col min="8" max="8" width="45" style="1" customWidth="1"/>
    <col min="10" max="10" width="18.5703125" style="2" customWidth="1"/>
    <col min="11" max="16384" width="9.140625" style="2"/>
  </cols>
  <sheetData>
    <row r="1" spans="1:8" x14ac:dyDescent="0.25">
      <c r="A1" s="2" t="s">
        <v>459</v>
      </c>
      <c r="B1" s="2" t="s">
        <v>461</v>
      </c>
      <c r="C1" s="2" t="s">
        <v>462</v>
      </c>
      <c r="D1" s="2" t="s">
        <v>463</v>
      </c>
      <c r="E1" s="2" t="s">
        <v>464</v>
      </c>
      <c r="F1" s="2" t="s">
        <v>465</v>
      </c>
      <c r="G1" s="2" t="s">
        <v>537</v>
      </c>
      <c r="H1" s="2" t="s">
        <v>538</v>
      </c>
    </row>
    <row r="2" spans="1:8" x14ac:dyDescent="0.25">
      <c r="A2" s="2" t="s">
        <v>460</v>
      </c>
      <c r="B2" s="2" t="s">
        <v>458</v>
      </c>
      <c r="C2" s="2">
        <v>-115.04528200999999</v>
      </c>
      <c r="D2" s="2">
        <v>-107.07866459</v>
      </c>
      <c r="E2" s="2">
        <f t="shared" ref="E2:E7" si="0">D2+$F$2-C2</f>
        <v>3.0373261474054374</v>
      </c>
      <c r="F2" s="2">
        <f>-9.85858254518912/2</f>
        <v>-4.9292912725945603</v>
      </c>
      <c r="G2" s="13" t="s">
        <v>337</v>
      </c>
      <c r="H2" s="39" t="s">
        <v>539</v>
      </c>
    </row>
    <row r="3" spans="1:8" x14ac:dyDescent="0.25">
      <c r="B3" s="2" t="s">
        <v>466</v>
      </c>
      <c r="C3" s="2">
        <v>-114.54792698</v>
      </c>
      <c r="D3" s="2">
        <v>-106.75532909</v>
      </c>
      <c r="E3" s="2">
        <f t="shared" si="0"/>
        <v>2.863306617405442</v>
      </c>
    </row>
    <row r="4" spans="1:8" x14ac:dyDescent="0.25">
      <c r="B4" s="2" t="s">
        <v>467</v>
      </c>
      <c r="C4" s="2">
        <v>-376.71831448</v>
      </c>
      <c r="D4" s="2">
        <v>-371.75867425000001</v>
      </c>
      <c r="E4" s="2">
        <f t="shared" si="0"/>
        <v>3.0348957405408328E-2</v>
      </c>
    </row>
    <row r="5" spans="1:8" x14ac:dyDescent="0.25">
      <c r="A5" s="2" t="s">
        <v>468</v>
      </c>
      <c r="C5" s="2">
        <v>-30.918329839999998</v>
      </c>
      <c r="D5" s="2">
        <v>-22.83747825</v>
      </c>
      <c r="E5" s="2">
        <f t="shared" si="0"/>
        <v>3.151560317405437</v>
      </c>
      <c r="G5" s="2" t="s">
        <v>558</v>
      </c>
    </row>
    <row r="6" spans="1:8" x14ac:dyDescent="0.25">
      <c r="A6" s="2" t="s">
        <v>469</v>
      </c>
      <c r="C6" s="2">
        <v>-83.945247039999998</v>
      </c>
      <c r="D6" s="2">
        <v>-76.895238969999994</v>
      </c>
      <c r="E6" s="2">
        <f t="shared" si="0"/>
        <v>2.1207167974054499</v>
      </c>
      <c r="G6" s="2" t="s">
        <v>559</v>
      </c>
      <c r="H6" s="39" t="s">
        <v>540</v>
      </c>
    </row>
    <row r="7" spans="1:8" x14ac:dyDescent="0.25">
      <c r="A7" s="2" t="s">
        <v>470</v>
      </c>
      <c r="C7" s="2">
        <v>-47.246169369999997</v>
      </c>
      <c r="D7" s="2">
        <v>-38.43635776</v>
      </c>
      <c r="E7" s="2">
        <f t="shared" si="0"/>
        <v>3.8805203374054358</v>
      </c>
      <c r="G7" s="2" t="s">
        <v>560</v>
      </c>
      <c r="H7" s="1" t="s">
        <v>541</v>
      </c>
    </row>
    <row r="8" spans="1:8" ht="39" x14ac:dyDescent="0.25">
      <c r="A8" s="2" t="s">
        <v>471</v>
      </c>
      <c r="C8" s="2">
        <v>-198.95805204999999</v>
      </c>
      <c r="D8" s="2">
        <v>-190.60804726000001</v>
      </c>
      <c r="E8" s="2">
        <f>D8+$F$2-C8</f>
        <v>3.4207135174054315</v>
      </c>
      <c r="G8" s="13" t="s">
        <v>561</v>
      </c>
      <c r="H8" s="37" t="s">
        <v>542</v>
      </c>
    </row>
    <row r="9" spans="1:8" ht="25.5" x14ac:dyDescent="0.25">
      <c r="A9" s="2" t="s">
        <v>472</v>
      </c>
      <c r="C9" s="2">
        <v>-370.91003302000001</v>
      </c>
      <c r="D9" s="2">
        <v>-363.25697377</v>
      </c>
      <c r="E9" s="2">
        <f>D9+$F$2-C9</f>
        <v>2.72376797740543</v>
      </c>
      <c r="G9" s="13" t="s">
        <v>562</v>
      </c>
      <c r="H9" s="36" t="s">
        <v>543</v>
      </c>
    </row>
    <row r="10" spans="1:8" x14ac:dyDescent="0.25">
      <c r="A10" s="2" t="s">
        <v>473</v>
      </c>
      <c r="C10" s="2">
        <v>-26.170262690000001</v>
      </c>
      <c r="D10" s="2">
        <v>-16.86637743</v>
      </c>
      <c r="E10" s="2">
        <f>D10+$F$2-C10</f>
        <v>4.37459398740544</v>
      </c>
      <c r="G10" s="41" t="s">
        <v>563</v>
      </c>
      <c r="H10" s="39" t="s">
        <v>544</v>
      </c>
    </row>
    <row r="11" spans="1:8" x14ac:dyDescent="0.25">
      <c r="A11" s="2" t="s">
        <v>474</v>
      </c>
      <c r="C11" s="2">
        <v>-38.468832970000001</v>
      </c>
      <c r="D11" s="2">
        <v>-30.376762379999999</v>
      </c>
      <c r="E11" s="2">
        <f>D11+$F$2-C11</f>
        <v>3.1627793174054446</v>
      </c>
      <c r="G11" s="2" t="s">
        <v>564</v>
      </c>
      <c r="H11" s="40" t="s">
        <v>545</v>
      </c>
    </row>
    <row r="12" spans="1:8" ht="25.5" x14ac:dyDescent="0.25">
      <c r="A12" s="2" t="s">
        <v>475</v>
      </c>
      <c r="G12" s="2" t="s">
        <v>554</v>
      </c>
      <c r="H12" s="38" t="s">
        <v>546</v>
      </c>
    </row>
    <row r="13" spans="1:8" x14ac:dyDescent="0.25">
      <c r="A13" s="2" t="s">
        <v>476</v>
      </c>
      <c r="C13" s="2">
        <v>-599.97843897999996</v>
      </c>
      <c r="D13" s="2">
        <v>-592.86837573000003</v>
      </c>
      <c r="E13" s="2">
        <f t="shared" ref="E13:E30" si="1">D13+$F$2-C13</f>
        <v>2.1807719774053567</v>
      </c>
      <c r="G13" s="13" t="s">
        <v>565</v>
      </c>
      <c r="H13" s="11" t="s">
        <v>557</v>
      </c>
    </row>
    <row r="14" spans="1:8" x14ac:dyDescent="0.25">
      <c r="A14" s="2" t="s">
        <v>477</v>
      </c>
      <c r="C14" s="2">
        <v>-211.90299375000001</v>
      </c>
      <c r="D14" s="2">
        <v>-204.22567572</v>
      </c>
      <c r="E14" s="2">
        <f t="shared" si="1"/>
        <v>2.7480267574054551</v>
      </c>
      <c r="G14" s="13" t="s">
        <v>566</v>
      </c>
      <c r="H14" s="39" t="s">
        <v>547</v>
      </c>
    </row>
    <row r="15" spans="1:8" x14ac:dyDescent="0.25">
      <c r="A15" s="2" t="s">
        <v>478</v>
      </c>
      <c r="C15" s="2">
        <v>-62.134829379999999</v>
      </c>
      <c r="D15" s="2">
        <v>-52.416623219999998</v>
      </c>
      <c r="E15" s="2">
        <f t="shared" si="1"/>
        <v>4.7889148874054399</v>
      </c>
      <c r="G15" s="2">
        <v>100</v>
      </c>
      <c r="H15" s="39" t="s">
        <v>548</v>
      </c>
    </row>
    <row r="16" spans="1:8" ht="26.25" x14ac:dyDescent="0.25">
      <c r="A16" s="2" t="s">
        <v>479</v>
      </c>
      <c r="C16" s="2">
        <v>-89.201065069999999</v>
      </c>
      <c r="D16" s="2">
        <v>-79.460188040000006</v>
      </c>
      <c r="E16" s="2">
        <f t="shared" si="1"/>
        <v>4.8115857574054388</v>
      </c>
      <c r="G16" s="13" t="s">
        <v>567</v>
      </c>
      <c r="H16" s="11" t="s">
        <v>549</v>
      </c>
    </row>
    <row r="17" spans="1:8" ht="26.25" x14ac:dyDescent="0.25">
      <c r="A17" s="2" t="s">
        <v>480</v>
      </c>
      <c r="C17" s="2">
        <v>-228.46961936</v>
      </c>
      <c r="D17" s="2">
        <v>-220.47352824000001</v>
      </c>
      <c r="E17" s="2">
        <f t="shared" si="1"/>
        <v>3.0667998474054343</v>
      </c>
      <c r="G17" s="13" t="s">
        <v>337</v>
      </c>
      <c r="H17" s="11" t="s">
        <v>550</v>
      </c>
    </row>
    <row r="18" spans="1:8" x14ac:dyDescent="0.25">
      <c r="A18" s="2" t="s">
        <v>481</v>
      </c>
      <c r="C18" s="2">
        <v>-151.22276837999999</v>
      </c>
      <c r="D18" s="2">
        <v>-144.0289775</v>
      </c>
      <c r="E18" s="2">
        <f t="shared" si="1"/>
        <v>2.2644996074054404</v>
      </c>
      <c r="G18" s="2" t="s">
        <v>556</v>
      </c>
      <c r="H18" s="39" t="s">
        <v>555</v>
      </c>
    </row>
    <row r="19" spans="1:8" x14ac:dyDescent="0.25">
      <c r="A19" s="2" t="s">
        <v>482</v>
      </c>
      <c r="C19" s="2">
        <v>-21.506446919999998</v>
      </c>
      <c r="D19" s="2">
        <v>-13.614792120000001</v>
      </c>
      <c r="E19" s="2">
        <f t="shared" si="1"/>
        <v>2.9623635274054365</v>
      </c>
    </row>
    <row r="20" spans="1:8" x14ac:dyDescent="0.25">
      <c r="A20" s="2" t="s">
        <v>483</v>
      </c>
      <c r="C20" s="2">
        <v>-119.22725527</v>
      </c>
      <c r="D20" s="2">
        <v>-110.98209944</v>
      </c>
      <c r="E20" s="2">
        <f t="shared" si="1"/>
        <v>3.3158645574054475</v>
      </c>
    </row>
    <row r="21" spans="1:8" x14ac:dyDescent="0.25">
      <c r="A21" s="2" t="s">
        <v>484</v>
      </c>
      <c r="C21" s="2">
        <v>-145.1925918</v>
      </c>
      <c r="D21" s="2">
        <v>-137.94298309999999</v>
      </c>
      <c r="E21" s="2">
        <f t="shared" si="1"/>
        <v>2.3203174274054561</v>
      </c>
    </row>
    <row r="22" spans="1:8" x14ac:dyDescent="0.25">
      <c r="A22" s="2" t="s">
        <v>485</v>
      </c>
      <c r="C22" s="2">
        <v>-128.28174139999999</v>
      </c>
      <c r="D22" s="2">
        <v>-119.53463073</v>
      </c>
      <c r="E22" s="2">
        <f t="shared" si="1"/>
        <v>3.8178193974054295</v>
      </c>
    </row>
    <row r="23" spans="1:8" x14ac:dyDescent="0.25">
      <c r="A23" s="2" t="s">
        <v>486</v>
      </c>
      <c r="C23" s="2">
        <v>-22.725284030000001</v>
      </c>
      <c r="D23" s="2">
        <v>-14.542637109999999</v>
      </c>
      <c r="E23" s="2">
        <f t="shared" si="1"/>
        <v>3.2533556474054421</v>
      </c>
    </row>
    <row r="24" spans="1:8" x14ac:dyDescent="0.25">
      <c r="A24" s="2" t="s">
        <v>487</v>
      </c>
      <c r="C24" s="2">
        <v>-37.303320249999999</v>
      </c>
      <c r="D24" s="2">
        <v>-29.109387139999999</v>
      </c>
      <c r="E24" s="2">
        <f t="shared" si="1"/>
        <v>3.264641837405442</v>
      </c>
      <c r="G24" s="2">
        <v>110</v>
      </c>
      <c r="H24" s="1" t="s">
        <v>551</v>
      </c>
    </row>
    <row r="25" spans="1:8" x14ac:dyDescent="0.25">
      <c r="A25" s="2" t="s">
        <v>488</v>
      </c>
      <c r="C25" s="2">
        <v>-129.09829221999999</v>
      </c>
      <c r="D25" s="2">
        <v>-121.46597087000001</v>
      </c>
      <c r="E25" s="2">
        <f t="shared" si="1"/>
        <v>2.7030300774054297</v>
      </c>
      <c r="H25" s="42" t="s">
        <v>568</v>
      </c>
    </row>
    <row r="26" spans="1:8" x14ac:dyDescent="0.25">
      <c r="A26" s="2" t="s">
        <v>489</v>
      </c>
      <c r="C26" s="2">
        <v>-104.14184631000001</v>
      </c>
      <c r="D26" s="2">
        <v>-97.75657047</v>
      </c>
      <c r="E26" s="2">
        <f t="shared" si="1"/>
        <v>1.4559845674054515</v>
      </c>
      <c r="G26" s="13" t="s">
        <v>337</v>
      </c>
      <c r="H26" s="1" t="s">
        <v>552</v>
      </c>
    </row>
    <row r="27" spans="1:8" x14ac:dyDescent="0.25">
      <c r="A27" s="2" t="s">
        <v>490</v>
      </c>
      <c r="C27" s="2">
        <v>-252.80621321000001</v>
      </c>
      <c r="D27" s="2">
        <v>-243.26874002</v>
      </c>
      <c r="E27" s="2">
        <f t="shared" si="1"/>
        <v>4.6081819174054601</v>
      </c>
    </row>
    <row r="28" spans="1:8" x14ac:dyDescent="0.25">
      <c r="A28" s="2" t="s">
        <v>491</v>
      </c>
      <c r="C28" s="2">
        <v>-452.11876445000001</v>
      </c>
      <c r="D28" s="2">
        <v>-444.95806028999999</v>
      </c>
      <c r="E28" s="2">
        <f t="shared" si="1"/>
        <v>2.2314128874054404</v>
      </c>
    </row>
    <row r="29" spans="1:8" x14ac:dyDescent="0.25">
      <c r="A29" s="2" t="s">
        <v>492</v>
      </c>
      <c r="C29" s="2">
        <v>-91.867609689999995</v>
      </c>
      <c r="D29" s="2">
        <v>-81.526373460000002</v>
      </c>
      <c r="E29" s="2">
        <f t="shared" si="1"/>
        <v>5.4119449574054386</v>
      </c>
    </row>
    <row r="30" spans="1:8" x14ac:dyDescent="0.25">
      <c r="A30" s="2" t="s">
        <v>493</v>
      </c>
      <c r="C30" s="2">
        <v>-241.15803285000001</v>
      </c>
      <c r="D30" s="2">
        <v>-231.75466761000001</v>
      </c>
      <c r="E30" s="2">
        <f t="shared" si="1"/>
        <v>4.4740739674054453</v>
      </c>
      <c r="G30" s="13" t="s">
        <v>339</v>
      </c>
      <c r="H30" s="40" t="s">
        <v>553</v>
      </c>
    </row>
  </sheetData>
  <hyperlinks>
    <hyperlink ref="H2" r:id="rId1" xr:uid="{6CDAE7FB-2E02-4C05-A982-CA04466BC29B}"/>
    <hyperlink ref="H6" r:id="rId2" xr:uid="{06F31AE8-331F-4702-B515-3117DD661AAD}"/>
    <hyperlink ref="H8" r:id="rId3" display="https://doi.org/10.1088/1361-648X/aac743," xr:uid="{96B8D3C6-82CD-4DF7-A286-82FE6E4B6F0C}"/>
    <hyperlink ref="H10" r:id="rId4" xr:uid="{DD30A351-E6D7-43CE-89F7-86CACDF97AE5}"/>
    <hyperlink ref="H11" r:id="rId5" xr:uid="{39B8DCB9-A949-40A8-AB86-37835E33987A}"/>
    <hyperlink ref="H12" r:id="rId6" tooltip="DOI URL" display="https://doi.org/10.1021/jp3004773" xr:uid="{62069577-4BEB-4A79-B7D4-C29E8BE881EE}"/>
    <hyperlink ref="H30" r:id="rId7" xr:uid="{97CC427D-3951-4F87-9E91-B1DA106D14EF}"/>
    <hyperlink ref="H14" r:id="rId8" xr:uid="{62482901-86CF-4ABE-B9F4-AC6AF73A8C42}"/>
    <hyperlink ref="H15" r:id="rId9" xr:uid="{F3E23C30-6AD9-4049-ACD7-FCDD15052FC4}"/>
    <hyperlink ref="H18" r:id="rId10" xr:uid="{2ECB89D4-DFD8-4AC4-9A36-E2928B476D6C}"/>
  </hyperlinks>
  <pageMargins left="0.7" right="0.7" top="0.75" bottom="0.75" header="0.3" footer="0.3"/>
  <pageSetup orientation="portrait" r:id="rId11"/>
  <ignoredErrors>
    <ignoredError sqref="G2 G17 G26 G30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CF8C-48EF-4801-8DCE-131CFC0A6EFA}">
  <dimension ref="A1:O298"/>
  <sheetViews>
    <sheetView workbookViewId="0">
      <selection activeCell="K2" sqref="K2"/>
    </sheetView>
  </sheetViews>
  <sheetFormatPr defaultRowHeight="15" x14ac:dyDescent="0.25"/>
  <cols>
    <col min="1" max="1" width="13.42578125" style="1" customWidth="1"/>
    <col min="2" max="2" width="22.85546875" style="1" customWidth="1"/>
    <col min="3" max="3" width="10.140625" customWidth="1"/>
    <col min="5" max="5" width="17.28515625" style="136" customWidth="1"/>
    <col min="6" max="6" width="14.85546875" customWidth="1"/>
    <col min="7" max="7" width="15.28515625" customWidth="1"/>
    <col min="8" max="8" width="16.5703125" style="1" customWidth="1"/>
    <col min="9" max="9" width="24.7109375" style="1" customWidth="1"/>
    <col min="10" max="10" width="14.28515625" customWidth="1"/>
    <col min="11" max="13" width="11.85546875" style="135" customWidth="1"/>
    <col min="14" max="14" width="19.42578125" style="7" customWidth="1"/>
    <col min="15" max="15" width="21.28515625" style="7" customWidth="1"/>
  </cols>
  <sheetData>
    <row r="1" spans="1:15" x14ac:dyDescent="0.25">
      <c r="A1" s="5" t="s">
        <v>602</v>
      </c>
      <c r="B1" s="5" t="s">
        <v>603</v>
      </c>
      <c r="C1" s="1" t="s">
        <v>604</v>
      </c>
      <c r="E1" s="17" t="s">
        <v>328</v>
      </c>
      <c r="F1" s="17" t="s">
        <v>605</v>
      </c>
      <c r="G1" s="17" t="s">
        <v>606</v>
      </c>
      <c r="H1" s="5" t="s">
        <v>607</v>
      </c>
      <c r="I1" s="5" t="s">
        <v>608</v>
      </c>
      <c r="J1" s="5" t="s">
        <v>609</v>
      </c>
      <c r="K1" s="32" t="s">
        <v>610</v>
      </c>
      <c r="L1" s="32" t="s">
        <v>611</v>
      </c>
      <c r="M1" s="32" t="s">
        <v>612</v>
      </c>
      <c r="N1" s="32" t="s">
        <v>613</v>
      </c>
      <c r="O1" s="32" t="s">
        <v>614</v>
      </c>
    </row>
    <row r="2" spans="1:15" x14ac:dyDescent="0.25">
      <c r="A2" s="1" t="s">
        <v>0</v>
      </c>
      <c r="B2" s="24">
        <v>-964.31734265407499</v>
      </c>
      <c r="C2" s="1">
        <v>23.058759999999999</v>
      </c>
      <c r="E2" s="16" t="s">
        <v>0</v>
      </c>
      <c r="F2" s="7">
        <f>IFERROR(VLOOKUP(E2,$A$2:$B$298,2,FALSE),"")</f>
        <v>-964.31734265407499</v>
      </c>
      <c r="G2" s="7">
        <f>F2/$C$2</f>
        <v>-41.819999976324617</v>
      </c>
      <c r="H2" s="1" t="s">
        <v>1</v>
      </c>
      <c r="I2" s="24">
        <v>-95.178106347450495</v>
      </c>
      <c r="J2" s="7">
        <f>I2/$C$2</f>
        <v>-4.1276333309965709</v>
      </c>
      <c r="K2" s="7">
        <v>-4.9287000000000001</v>
      </c>
      <c r="L2" s="2">
        <v>2</v>
      </c>
      <c r="M2" s="2">
        <v>3</v>
      </c>
      <c r="N2" s="7">
        <f>G2-L2*J2-M2*$K$2</f>
        <v>-18.778633314331476</v>
      </c>
      <c r="O2" s="7">
        <f>N2/M2</f>
        <v>-6.2595444381104919</v>
      </c>
    </row>
    <row r="3" spans="1:15" x14ac:dyDescent="0.25">
      <c r="A3" s="1" t="s">
        <v>2</v>
      </c>
      <c r="B3" s="24">
        <v>-267.19222841073503</v>
      </c>
      <c r="E3" s="16" t="s">
        <v>5</v>
      </c>
      <c r="F3" s="7">
        <f t="shared" ref="F3:F66" si="0">IFERROR(VLOOKUP(E3,$A$2:$B$298,2,FALSE),"")</f>
        <v>-200.271095176621</v>
      </c>
      <c r="G3" s="7">
        <f t="shared" ref="G3:G66" si="1">F3/$C$2</f>
        <v>-8.6852499950830406</v>
      </c>
      <c r="H3" s="1" t="s">
        <v>3</v>
      </c>
      <c r="I3" s="24">
        <v>-65.295490655034499</v>
      </c>
      <c r="J3" s="7">
        <f t="shared" ref="J3:J66" si="2">I3/$C$2</f>
        <v>-2.8316999983968998</v>
      </c>
      <c r="L3" s="2">
        <v>1</v>
      </c>
      <c r="M3" s="2">
        <v>1</v>
      </c>
      <c r="N3" s="7">
        <f t="shared" ref="N3:N66" si="3">G3-L3*J3-M3*$K$2</f>
        <v>-0.92484999668614076</v>
      </c>
      <c r="O3" s="7">
        <f t="shared" ref="O3:O66" si="4">N3/M3</f>
        <v>-0.92484999668614076</v>
      </c>
    </row>
    <row r="4" spans="1:15" x14ac:dyDescent="0.25">
      <c r="A4" s="1" t="s">
        <v>4</v>
      </c>
      <c r="B4" s="24">
        <v>-718.70811359112099</v>
      </c>
      <c r="E4" s="16" t="s">
        <v>4</v>
      </c>
      <c r="F4" s="7">
        <f t="shared" si="0"/>
        <v>-718.70811359112099</v>
      </c>
      <c r="G4" s="7">
        <f t="shared" si="1"/>
        <v>-31.168549982354691</v>
      </c>
      <c r="H4" s="1" t="s">
        <v>3</v>
      </c>
      <c r="I4" s="24">
        <v>-65.295490655034499</v>
      </c>
      <c r="J4" s="7">
        <f t="shared" si="2"/>
        <v>-2.8316999983968998</v>
      </c>
      <c r="L4" s="2">
        <v>3</v>
      </c>
      <c r="M4" s="2">
        <v>4</v>
      </c>
      <c r="N4" s="7">
        <f t="shared" si="3"/>
        <v>-2.9586499871639909</v>
      </c>
      <c r="O4" s="7">
        <f t="shared" si="4"/>
        <v>-0.73966249679099771</v>
      </c>
    </row>
    <row r="5" spans="1:15" x14ac:dyDescent="0.25">
      <c r="A5" s="1" t="s">
        <v>4</v>
      </c>
      <c r="B5" s="24">
        <v>-718.70811359112099</v>
      </c>
      <c r="E5" s="16" t="s">
        <v>2</v>
      </c>
      <c r="F5" s="7">
        <f t="shared" si="0"/>
        <v>-267.19222841073503</v>
      </c>
      <c r="G5" s="7">
        <f t="shared" si="1"/>
        <v>-11.587449993440021</v>
      </c>
      <c r="H5" s="1" t="s">
        <v>3</v>
      </c>
      <c r="I5" s="24">
        <v>-65.295490655034499</v>
      </c>
      <c r="J5" s="7">
        <f t="shared" si="2"/>
        <v>-2.8316999983968998</v>
      </c>
      <c r="L5" s="2">
        <v>2</v>
      </c>
      <c r="M5" s="2">
        <v>1</v>
      </c>
      <c r="N5" s="7">
        <f t="shared" si="3"/>
        <v>-0.99534999664622159</v>
      </c>
      <c r="O5" s="7">
        <f t="shared" si="4"/>
        <v>-0.99534999664622159</v>
      </c>
    </row>
    <row r="6" spans="1:15" x14ac:dyDescent="0.25">
      <c r="A6" s="1" t="s">
        <v>4</v>
      </c>
      <c r="B6" s="24">
        <v>-718.70811359112099</v>
      </c>
      <c r="E6" s="16" t="s">
        <v>6</v>
      </c>
      <c r="F6" s="7">
        <f t="shared" si="0"/>
        <v>-911.12885393018598</v>
      </c>
      <c r="G6" s="7">
        <f t="shared" si="1"/>
        <v>-39.513349977630455</v>
      </c>
      <c r="H6" s="1" t="s">
        <v>7</v>
      </c>
      <c r="I6" s="24">
        <v>-86.426538307071695</v>
      </c>
      <c r="J6" s="7">
        <f t="shared" si="2"/>
        <v>-3.7480999978781036</v>
      </c>
      <c r="L6" s="2">
        <v>2</v>
      </c>
      <c r="M6" s="2">
        <v>3</v>
      </c>
      <c r="N6" s="7">
        <f t="shared" si="3"/>
        <v>-17.231049981874246</v>
      </c>
      <c r="O6" s="7">
        <f t="shared" si="4"/>
        <v>-5.7436833272914152</v>
      </c>
    </row>
    <row r="7" spans="1:15" x14ac:dyDescent="0.25">
      <c r="A7" s="1" t="s">
        <v>5</v>
      </c>
      <c r="B7" s="24">
        <v>-200.271095176621</v>
      </c>
      <c r="E7" s="16" t="s">
        <v>10</v>
      </c>
      <c r="F7" s="7">
        <f t="shared" si="0"/>
        <v>-1038.2639035872101</v>
      </c>
      <c r="G7" s="7">
        <f t="shared" si="1"/>
        <v>-45.026874974509042</v>
      </c>
      <c r="H7" s="1" t="s">
        <v>9</v>
      </c>
      <c r="I7" s="24">
        <v>-107.408856957193</v>
      </c>
      <c r="J7" s="7">
        <f t="shared" si="2"/>
        <v>-4.6580499973629541</v>
      </c>
      <c r="L7" s="2">
        <v>2</v>
      </c>
      <c r="M7" s="2">
        <v>5</v>
      </c>
      <c r="N7" s="7">
        <f t="shared" si="3"/>
        <v>-11.067274979783132</v>
      </c>
      <c r="O7" s="7">
        <f t="shared" si="4"/>
        <v>-2.2134549959566265</v>
      </c>
    </row>
    <row r="8" spans="1:15" x14ac:dyDescent="0.25">
      <c r="A8" s="1" t="s">
        <v>5</v>
      </c>
      <c r="B8" s="24">
        <v>-200.271095176621</v>
      </c>
      <c r="E8" s="16" t="s">
        <v>8</v>
      </c>
      <c r="F8" s="7">
        <f t="shared" si="0"/>
        <v>-745.44243991998599</v>
      </c>
      <c r="G8" s="7">
        <f t="shared" si="1"/>
        <v>-32.327949981698325</v>
      </c>
      <c r="H8" s="1" t="s">
        <v>9</v>
      </c>
      <c r="I8" s="24">
        <v>-107.408856957193</v>
      </c>
      <c r="J8" s="7">
        <f t="shared" si="2"/>
        <v>-4.6580499973629541</v>
      </c>
      <c r="L8" s="2">
        <v>2</v>
      </c>
      <c r="M8" s="2">
        <v>3</v>
      </c>
      <c r="N8" s="7">
        <f t="shared" si="3"/>
        <v>-8.2257499869724136</v>
      </c>
      <c r="O8" s="7">
        <f t="shared" si="4"/>
        <v>-2.741916662324138</v>
      </c>
    </row>
    <row r="9" spans="1:15" x14ac:dyDescent="0.25">
      <c r="A9" s="1" t="s">
        <v>6</v>
      </c>
      <c r="B9" s="24">
        <v>-911.12885393018598</v>
      </c>
      <c r="E9" s="16" t="s">
        <v>11</v>
      </c>
      <c r="F9" s="7">
        <f t="shared" si="0"/>
        <v>-546.18247136879199</v>
      </c>
      <c r="G9" s="7">
        <f t="shared" si="1"/>
        <v>-23.686549986590432</v>
      </c>
      <c r="H9" s="1" t="s">
        <v>12</v>
      </c>
      <c r="I9" s="24">
        <v>-75.489768445263294</v>
      </c>
      <c r="J9" s="7">
        <f t="shared" si="2"/>
        <v>-3.2737999981466173</v>
      </c>
      <c r="L9" s="2">
        <v>2</v>
      </c>
      <c r="M9" s="2">
        <v>3</v>
      </c>
      <c r="N9" s="7">
        <f t="shared" si="3"/>
        <v>-2.352849990297198</v>
      </c>
      <c r="O9" s="7">
        <f t="shared" si="4"/>
        <v>-0.78428333009906603</v>
      </c>
    </row>
    <row r="10" spans="1:15" x14ac:dyDescent="0.25">
      <c r="A10" s="1" t="s">
        <v>8</v>
      </c>
      <c r="B10" s="24">
        <v>-745.44243991998599</v>
      </c>
      <c r="E10" s="16" t="s">
        <v>13</v>
      </c>
      <c r="F10" s="7">
        <f t="shared" si="0"/>
        <v>-973.77066562338996</v>
      </c>
      <c r="G10" s="7">
        <f t="shared" si="1"/>
        <v>-42.229966642759194</v>
      </c>
      <c r="H10" s="1" t="s">
        <v>15</v>
      </c>
      <c r="I10" s="24">
        <v>-153.998505041817</v>
      </c>
      <c r="J10" s="7">
        <f t="shared" si="2"/>
        <v>-6.6785249962190942</v>
      </c>
      <c r="L10" s="2">
        <v>2</v>
      </c>
      <c r="M10" s="2">
        <v>3</v>
      </c>
      <c r="N10" s="7">
        <f t="shared" si="3"/>
        <v>-14.086816650321005</v>
      </c>
      <c r="O10" s="7">
        <f t="shared" si="4"/>
        <v>-4.6956055501070013</v>
      </c>
    </row>
    <row r="11" spans="1:15" x14ac:dyDescent="0.25">
      <c r="A11" s="1" t="s">
        <v>10</v>
      </c>
      <c r="B11" s="24">
        <v>-1038.2639035872101</v>
      </c>
      <c r="E11" s="16" t="s">
        <v>14</v>
      </c>
      <c r="F11" s="7">
        <f t="shared" si="0"/>
        <v>-1168.38967441454</v>
      </c>
      <c r="G11" s="7">
        <f t="shared" si="1"/>
        <v>-50.670099971314158</v>
      </c>
      <c r="H11" s="1" t="s">
        <v>15</v>
      </c>
      <c r="I11" s="24">
        <v>-153.998505041817</v>
      </c>
      <c r="J11" s="7">
        <f t="shared" si="2"/>
        <v>-6.6785249962190942</v>
      </c>
      <c r="L11" s="2">
        <v>6</v>
      </c>
      <c r="M11" s="2">
        <v>1</v>
      </c>
      <c r="N11" s="7">
        <f t="shared" si="3"/>
        <v>-5.6702499939995965</v>
      </c>
      <c r="O11" s="7">
        <f t="shared" si="4"/>
        <v>-5.6702499939995965</v>
      </c>
    </row>
    <row r="12" spans="1:15" x14ac:dyDescent="0.25">
      <c r="A12" s="1" t="s">
        <v>10</v>
      </c>
      <c r="B12" s="24">
        <v>-1038.2639035872101</v>
      </c>
      <c r="E12" s="16" t="s">
        <v>18</v>
      </c>
      <c r="F12" s="7">
        <f t="shared" si="0"/>
        <v>-422.00067239709398</v>
      </c>
      <c r="G12" s="7">
        <f t="shared" si="1"/>
        <v>-18.301099989639251</v>
      </c>
      <c r="H12" s="1" t="s">
        <v>17</v>
      </c>
      <c r="I12" s="24">
        <v>-44.378889470875897</v>
      </c>
      <c r="J12" s="7">
        <f t="shared" si="2"/>
        <v>-1.9245999989104314</v>
      </c>
      <c r="L12" s="2">
        <v>2</v>
      </c>
      <c r="M12" s="2">
        <v>2</v>
      </c>
      <c r="N12" s="7">
        <f t="shared" si="3"/>
        <v>-4.5944999918183882</v>
      </c>
      <c r="O12" s="7">
        <f t="shared" si="4"/>
        <v>-2.2972499959091941</v>
      </c>
    </row>
    <row r="13" spans="1:15" x14ac:dyDescent="0.25">
      <c r="A13" s="1" t="s">
        <v>11</v>
      </c>
      <c r="B13" s="24">
        <v>-546.18247136879199</v>
      </c>
      <c r="E13" s="16" t="s">
        <v>16</v>
      </c>
      <c r="F13" s="7">
        <f t="shared" si="0"/>
        <v>-288.912427380439</v>
      </c>
      <c r="G13" s="7">
        <f t="shared" si="1"/>
        <v>-12.529399992906773</v>
      </c>
      <c r="H13" s="1" t="s">
        <v>17</v>
      </c>
      <c r="I13" s="24">
        <v>-44.378889470875897</v>
      </c>
      <c r="J13" s="7">
        <f t="shared" si="2"/>
        <v>-1.9245999989104314</v>
      </c>
      <c r="L13" s="2">
        <v>1</v>
      </c>
      <c r="M13" s="2">
        <v>1</v>
      </c>
      <c r="N13" s="7">
        <f t="shared" si="3"/>
        <v>-5.676099993996341</v>
      </c>
      <c r="O13" s="7">
        <f t="shared" si="4"/>
        <v>-5.676099993996341</v>
      </c>
    </row>
    <row r="14" spans="1:15" x14ac:dyDescent="0.25">
      <c r="A14" s="1" t="s">
        <v>13</v>
      </c>
      <c r="B14" s="24">
        <v>-973.77066562338996</v>
      </c>
      <c r="E14" s="16" t="s">
        <v>19</v>
      </c>
      <c r="F14" s="7">
        <f t="shared" si="0"/>
        <v>-343.77037032738201</v>
      </c>
      <c r="G14" s="7">
        <f t="shared" si="1"/>
        <v>-14.908449991559911</v>
      </c>
      <c r="H14" s="1" t="s">
        <v>20</v>
      </c>
      <c r="I14" s="24">
        <v>-86.2997151271435</v>
      </c>
      <c r="J14" s="7">
        <f t="shared" si="2"/>
        <v>-3.7425999978812174</v>
      </c>
      <c r="L14" s="2">
        <v>1</v>
      </c>
      <c r="M14" s="2">
        <v>1</v>
      </c>
      <c r="N14" s="7">
        <f t="shared" si="3"/>
        <v>-6.2371499936786927</v>
      </c>
      <c r="O14" s="7">
        <f t="shared" si="4"/>
        <v>-6.2371499936786927</v>
      </c>
    </row>
    <row r="15" spans="1:15" x14ac:dyDescent="0.25">
      <c r="A15" s="1" t="s">
        <v>13</v>
      </c>
      <c r="B15" s="24">
        <v>-973.77066562338996</v>
      </c>
      <c r="E15" s="16" t="s">
        <v>23</v>
      </c>
      <c r="F15" s="7">
        <f t="shared" si="0"/>
        <v>-1557.6353782501801</v>
      </c>
      <c r="G15" s="7">
        <f t="shared" si="1"/>
        <v>-67.550699961757701</v>
      </c>
      <c r="H15" s="1" t="s">
        <v>22</v>
      </c>
      <c r="I15" s="24">
        <v>-89.888811119111594</v>
      </c>
      <c r="J15" s="7">
        <f t="shared" si="2"/>
        <v>-3.8982499977930987</v>
      </c>
      <c r="L15" s="2">
        <v>4</v>
      </c>
      <c r="M15" s="2">
        <v>7</v>
      </c>
      <c r="N15" s="7">
        <f t="shared" si="3"/>
        <v>-17.456799970585308</v>
      </c>
      <c r="O15" s="7">
        <f t="shared" si="4"/>
        <v>-2.4938285672264726</v>
      </c>
    </row>
    <row r="16" spans="1:15" x14ac:dyDescent="0.25">
      <c r="A16" s="1" t="s">
        <v>14</v>
      </c>
      <c r="B16" s="24">
        <v>-1168.38967441454</v>
      </c>
      <c r="E16" s="16" t="s">
        <v>24</v>
      </c>
      <c r="F16" s="7">
        <f t="shared" si="0"/>
        <v>-419.43884416254502</v>
      </c>
      <c r="G16" s="7">
        <f t="shared" si="1"/>
        <v>-18.18999998970218</v>
      </c>
      <c r="H16" s="1" t="s">
        <v>22</v>
      </c>
      <c r="I16" s="24">
        <v>-89.888811119111594</v>
      </c>
      <c r="J16" s="7">
        <f t="shared" si="2"/>
        <v>-3.8982499977930987</v>
      </c>
      <c r="L16" s="2">
        <v>1</v>
      </c>
      <c r="M16" s="2">
        <v>2</v>
      </c>
      <c r="N16" s="7">
        <f t="shared" si="3"/>
        <v>-4.4343499919090821</v>
      </c>
      <c r="O16" s="7">
        <f t="shared" si="4"/>
        <v>-2.217174995954541</v>
      </c>
    </row>
    <row r="17" spans="1:15" x14ac:dyDescent="0.25">
      <c r="A17" s="1" t="s">
        <v>16</v>
      </c>
      <c r="B17" s="24">
        <v>-288.912427380439</v>
      </c>
      <c r="E17" s="16" t="s">
        <v>21</v>
      </c>
      <c r="F17" s="7">
        <f t="shared" si="0"/>
        <v>-711.85274424700197</v>
      </c>
      <c r="G17" s="7">
        <f t="shared" si="1"/>
        <v>-30.871249982522997</v>
      </c>
      <c r="H17" s="1" t="s">
        <v>22</v>
      </c>
      <c r="I17" s="24">
        <v>-89.888811119111594</v>
      </c>
      <c r="J17" s="7">
        <f t="shared" si="2"/>
        <v>-3.8982499977930987</v>
      </c>
      <c r="L17" s="2">
        <v>2</v>
      </c>
      <c r="M17" s="2">
        <v>3</v>
      </c>
      <c r="N17" s="7">
        <f t="shared" si="3"/>
        <v>-8.2886499869368002</v>
      </c>
      <c r="O17" s="7">
        <f t="shared" si="4"/>
        <v>-2.7628833289789334</v>
      </c>
    </row>
    <row r="18" spans="1:15" x14ac:dyDescent="0.25">
      <c r="A18" s="1" t="s">
        <v>18</v>
      </c>
      <c r="B18" s="24">
        <v>-422.00067239709398</v>
      </c>
      <c r="E18" s="16" t="s">
        <v>25</v>
      </c>
      <c r="F18" s="7">
        <f t="shared" si="0"/>
        <v>-313.156407630714</v>
      </c>
      <c r="G18" s="7">
        <f t="shared" si="1"/>
        <v>-13.580799992311556</v>
      </c>
      <c r="H18" s="1" t="s">
        <v>26</v>
      </c>
      <c r="I18" s="24">
        <v>-46.190731536850201</v>
      </c>
      <c r="J18" s="7">
        <f t="shared" si="2"/>
        <v>-2.0031749988659495</v>
      </c>
      <c r="L18" s="2">
        <v>1</v>
      </c>
      <c r="M18" s="2">
        <v>1</v>
      </c>
      <c r="N18" s="7">
        <f t="shared" si="3"/>
        <v>-6.6489249934456067</v>
      </c>
      <c r="O18" s="7">
        <f t="shared" si="4"/>
        <v>-6.6489249934456067</v>
      </c>
    </row>
    <row r="19" spans="1:15" x14ac:dyDescent="0.25">
      <c r="A19" s="1" t="s">
        <v>18</v>
      </c>
      <c r="B19" s="24">
        <v>-422.00067239709398</v>
      </c>
      <c r="E19" s="16" t="s">
        <v>27</v>
      </c>
      <c r="F19" s="7">
        <f t="shared" si="0"/>
        <v>-198.65352316353699</v>
      </c>
      <c r="G19" s="7">
        <f t="shared" si="1"/>
        <v>-8.6150999951227636</v>
      </c>
      <c r="H19" s="1" t="s">
        <v>28</v>
      </c>
      <c r="I19" s="24">
        <v>-21.093000698058699</v>
      </c>
      <c r="J19" s="7">
        <f t="shared" si="2"/>
        <v>-0.91474999948213609</v>
      </c>
      <c r="L19" s="2">
        <v>1</v>
      </c>
      <c r="M19" s="2">
        <v>1</v>
      </c>
      <c r="N19" s="7">
        <f t="shared" si="3"/>
        <v>-2.7716499956406278</v>
      </c>
      <c r="O19" s="7">
        <f t="shared" si="4"/>
        <v>-2.7716499956406278</v>
      </c>
    </row>
    <row r="20" spans="1:15" x14ac:dyDescent="0.25">
      <c r="A20" s="1" t="s">
        <v>19</v>
      </c>
      <c r="B20" s="24">
        <v>-343.77037032738201</v>
      </c>
      <c r="E20" s="16" t="s">
        <v>35</v>
      </c>
      <c r="F20" s="7">
        <f t="shared" si="0"/>
        <v>-10435.414772792201</v>
      </c>
      <c r="G20" s="7">
        <f t="shared" si="1"/>
        <v>-452.55749974379376</v>
      </c>
      <c r="H20" s="1" t="s">
        <v>34</v>
      </c>
      <c r="I20" s="24">
        <v>-136.83759939053201</v>
      </c>
      <c r="J20" s="7">
        <f t="shared" si="2"/>
        <v>-5.9342999966404095</v>
      </c>
      <c r="L20" s="2">
        <v>17</v>
      </c>
      <c r="M20" s="2">
        <v>32</v>
      </c>
      <c r="N20" s="7">
        <f t="shared" si="3"/>
        <v>-193.95599980090682</v>
      </c>
      <c r="O20" s="7">
        <f t="shared" si="4"/>
        <v>-6.0611249937783382</v>
      </c>
    </row>
    <row r="21" spans="1:15" x14ac:dyDescent="0.25">
      <c r="A21" s="1" t="s">
        <v>21</v>
      </c>
      <c r="B21" s="24">
        <v>-711.85274424700197</v>
      </c>
      <c r="E21" s="16" t="s">
        <v>36</v>
      </c>
      <c r="F21" s="7">
        <f t="shared" si="0"/>
        <v>-637.35796129517496</v>
      </c>
      <c r="G21" s="7">
        <f t="shared" si="1"/>
        <v>-27.640599984351933</v>
      </c>
      <c r="H21" s="1" t="s">
        <v>34</v>
      </c>
      <c r="I21" s="24">
        <v>-136.83759939053201</v>
      </c>
      <c r="J21" s="7">
        <f t="shared" si="2"/>
        <v>-5.9342999966404095</v>
      </c>
      <c r="L21" s="2">
        <v>1</v>
      </c>
      <c r="M21" s="2">
        <v>2</v>
      </c>
      <c r="N21" s="7">
        <f t="shared" si="3"/>
        <v>-11.848899987711524</v>
      </c>
      <c r="O21" s="7">
        <f t="shared" si="4"/>
        <v>-5.9244499938557622</v>
      </c>
    </row>
    <row r="22" spans="1:15" x14ac:dyDescent="0.25">
      <c r="A22" s="1" t="s">
        <v>23</v>
      </c>
      <c r="B22" s="24">
        <v>-1557.6353782501801</v>
      </c>
      <c r="E22" s="16" t="s">
        <v>29</v>
      </c>
      <c r="F22" s="7">
        <f t="shared" si="0"/>
        <v>-6609.1778813663695</v>
      </c>
      <c r="G22" s="7">
        <f t="shared" si="1"/>
        <v>-286.62329983773498</v>
      </c>
      <c r="H22" s="1" t="s">
        <v>34</v>
      </c>
      <c r="I22" s="24">
        <v>-136.83759939053201</v>
      </c>
      <c r="J22" s="7">
        <f t="shared" si="2"/>
        <v>-5.9342999966404095</v>
      </c>
      <c r="L22" s="2">
        <v>11</v>
      </c>
      <c r="M22" s="2">
        <v>20</v>
      </c>
      <c r="N22" s="7">
        <f t="shared" si="3"/>
        <v>-122.77199987469048</v>
      </c>
      <c r="O22" s="7">
        <f t="shared" si="4"/>
        <v>-6.1385999937345241</v>
      </c>
    </row>
    <row r="23" spans="1:15" x14ac:dyDescent="0.25">
      <c r="A23" s="1" t="s">
        <v>23</v>
      </c>
      <c r="B23" s="24">
        <v>-1557.6353782501801</v>
      </c>
      <c r="E23" s="16" t="s">
        <v>30</v>
      </c>
      <c r="F23" s="7">
        <f t="shared" si="0"/>
        <v>-2984.4284347064299</v>
      </c>
      <c r="G23" s="7">
        <f t="shared" si="1"/>
        <v>-129.42709992672764</v>
      </c>
      <c r="H23" s="1" t="s">
        <v>34</v>
      </c>
      <c r="I23" s="24">
        <v>-136.83759939053201</v>
      </c>
      <c r="J23" s="7">
        <f t="shared" si="2"/>
        <v>-5.9342999966404095</v>
      </c>
      <c r="L23" s="2">
        <v>5</v>
      </c>
      <c r="M23" s="2">
        <v>9</v>
      </c>
      <c r="N23" s="7">
        <f t="shared" si="3"/>
        <v>-55.397299943525596</v>
      </c>
      <c r="O23" s="7">
        <f t="shared" si="4"/>
        <v>-6.1552555492806214</v>
      </c>
    </row>
    <row r="24" spans="1:15" x14ac:dyDescent="0.25">
      <c r="A24" s="1" t="s">
        <v>24</v>
      </c>
      <c r="B24" s="24">
        <v>-419.43884416254502</v>
      </c>
      <c r="E24" s="16" t="s">
        <v>31</v>
      </c>
      <c r="F24" s="7">
        <f t="shared" si="0"/>
        <v>-1050.52338156877</v>
      </c>
      <c r="G24" s="7">
        <f t="shared" si="1"/>
        <v>-45.558537474208066</v>
      </c>
      <c r="H24" s="1" t="s">
        <v>34</v>
      </c>
      <c r="I24" s="24">
        <v>-136.83759939053201</v>
      </c>
      <c r="J24" s="7">
        <f t="shared" si="2"/>
        <v>-5.9342999966404095</v>
      </c>
      <c r="L24" s="2">
        <v>2</v>
      </c>
      <c r="M24" s="2">
        <v>3</v>
      </c>
      <c r="N24" s="7">
        <f t="shared" si="3"/>
        <v>-18.903837480927248</v>
      </c>
      <c r="O24" s="7">
        <f t="shared" si="4"/>
        <v>-6.3012791603090825</v>
      </c>
    </row>
    <row r="25" spans="1:15" x14ac:dyDescent="0.25">
      <c r="A25" s="1" t="s">
        <v>24</v>
      </c>
      <c r="B25" s="24">
        <v>-419.43884416254502</v>
      </c>
      <c r="E25" s="16" t="s">
        <v>33</v>
      </c>
      <c r="F25" s="7">
        <f t="shared" si="0"/>
        <v>-4044.3750667783702</v>
      </c>
      <c r="G25" s="7">
        <f t="shared" si="1"/>
        <v>-175.39429990070457</v>
      </c>
      <c r="H25" s="1" t="s">
        <v>34</v>
      </c>
      <c r="I25" s="24">
        <v>-136.83759939053201</v>
      </c>
      <c r="J25" s="7">
        <f t="shared" si="2"/>
        <v>-5.9342999966404095</v>
      </c>
      <c r="L25" s="2">
        <v>7</v>
      </c>
      <c r="M25" s="2">
        <v>12</v>
      </c>
      <c r="N25" s="7">
        <f t="shared" si="3"/>
        <v>-74.709799924221684</v>
      </c>
      <c r="O25" s="7">
        <f t="shared" si="4"/>
        <v>-6.225816660351807</v>
      </c>
    </row>
    <row r="26" spans="1:15" x14ac:dyDescent="0.25">
      <c r="A26" s="1" t="s">
        <v>24</v>
      </c>
      <c r="B26" s="24">
        <v>-419.43884416254502</v>
      </c>
      <c r="E26" s="16" t="s">
        <v>32</v>
      </c>
      <c r="F26" s="7">
        <f t="shared" si="0"/>
        <v>-400.20553245743298</v>
      </c>
      <c r="G26" s="7">
        <f t="shared" si="1"/>
        <v>-17.355899990174361</v>
      </c>
      <c r="H26" s="1" t="s">
        <v>34</v>
      </c>
      <c r="I26" s="24">
        <v>-136.83759939053201</v>
      </c>
      <c r="J26" s="7">
        <f t="shared" si="2"/>
        <v>-5.9342999966404095</v>
      </c>
      <c r="L26" s="2">
        <v>1</v>
      </c>
      <c r="M26" s="2">
        <v>1</v>
      </c>
      <c r="N26" s="7">
        <f t="shared" si="3"/>
        <v>-6.4928999935339524</v>
      </c>
      <c r="O26" s="7">
        <f t="shared" si="4"/>
        <v>-6.4928999935339524</v>
      </c>
    </row>
    <row r="27" spans="1:15" x14ac:dyDescent="0.25">
      <c r="A27" s="1" t="s">
        <v>25</v>
      </c>
      <c r="B27" s="24">
        <v>-313.156407630714</v>
      </c>
      <c r="E27" s="16" t="s">
        <v>40</v>
      </c>
      <c r="F27" s="7">
        <f t="shared" si="0"/>
        <v>-470.268421739769</v>
      </c>
      <c r="G27" s="7">
        <f t="shared" si="1"/>
        <v>-20.394349988454238</v>
      </c>
      <c r="H27" s="1" t="s">
        <v>39</v>
      </c>
      <c r="I27" s="24">
        <v>-163.94778350718499</v>
      </c>
      <c r="J27" s="7">
        <f t="shared" si="2"/>
        <v>-7.1099999959748486</v>
      </c>
      <c r="L27" s="2">
        <v>1</v>
      </c>
      <c r="M27" s="2">
        <v>2</v>
      </c>
      <c r="N27" s="7">
        <f t="shared" si="3"/>
        <v>-3.426949992479388</v>
      </c>
      <c r="O27" s="7">
        <f t="shared" si="4"/>
        <v>-1.713474996239694</v>
      </c>
    </row>
    <row r="28" spans="1:15" x14ac:dyDescent="0.25">
      <c r="A28" s="1" t="s">
        <v>27</v>
      </c>
      <c r="B28" s="24">
        <v>-198.65352316353699</v>
      </c>
      <c r="E28" s="16" t="s">
        <v>37</v>
      </c>
      <c r="F28" s="7">
        <f t="shared" si="0"/>
        <v>-1175.8122892543399</v>
      </c>
      <c r="G28" s="7">
        <f t="shared" si="1"/>
        <v>-50.99199997113201</v>
      </c>
      <c r="H28" s="1" t="s">
        <v>39</v>
      </c>
      <c r="I28" s="24">
        <v>-163.94778350718499</v>
      </c>
      <c r="J28" s="7">
        <f t="shared" si="2"/>
        <v>-7.1099999959748486</v>
      </c>
      <c r="L28" s="2">
        <v>3</v>
      </c>
      <c r="M28" s="2">
        <v>4</v>
      </c>
      <c r="N28" s="7">
        <f t="shared" si="3"/>
        <v>-9.9471999832074651</v>
      </c>
      <c r="O28" s="7">
        <f t="shared" si="4"/>
        <v>-2.4867999958018663</v>
      </c>
    </row>
    <row r="29" spans="1:15" x14ac:dyDescent="0.25">
      <c r="A29" s="1" t="s">
        <v>29</v>
      </c>
      <c r="B29" s="24">
        <v>-6609.1778813663695</v>
      </c>
      <c r="E29" s="16" t="s">
        <v>38</v>
      </c>
      <c r="F29" s="7">
        <f t="shared" si="0"/>
        <v>-339.09405380202998</v>
      </c>
      <c r="G29" s="7">
        <f t="shared" si="1"/>
        <v>-14.705649991674747</v>
      </c>
      <c r="H29" s="1" t="s">
        <v>39</v>
      </c>
      <c r="I29" s="24">
        <v>-163.94778350718499</v>
      </c>
      <c r="J29" s="7">
        <f t="shared" si="2"/>
        <v>-7.1099999959748486</v>
      </c>
      <c r="L29" s="2">
        <v>1</v>
      </c>
      <c r="M29" s="2">
        <v>1</v>
      </c>
      <c r="N29" s="7">
        <f t="shared" si="3"/>
        <v>-2.6669499956998983</v>
      </c>
      <c r="O29" s="7">
        <f t="shared" si="4"/>
        <v>-2.6669499956998983</v>
      </c>
    </row>
    <row r="30" spans="1:15" x14ac:dyDescent="0.25">
      <c r="A30" s="1" t="s">
        <v>29</v>
      </c>
      <c r="B30" s="24">
        <v>-6609.1778813663695</v>
      </c>
      <c r="E30" s="16" t="s">
        <v>43</v>
      </c>
      <c r="F30" s="7">
        <f t="shared" si="0"/>
        <v>-3200.8908146768899</v>
      </c>
      <c r="G30" s="7">
        <f t="shared" si="1"/>
        <v>-138.81452492141338</v>
      </c>
      <c r="H30" s="1" t="s">
        <v>42</v>
      </c>
      <c r="I30" s="24">
        <v>-222.21035236620099</v>
      </c>
      <c r="J30" s="7">
        <f t="shared" si="2"/>
        <v>-9.6366999945444167</v>
      </c>
      <c r="L30" s="2">
        <v>5</v>
      </c>
      <c r="M30" s="2">
        <v>12</v>
      </c>
      <c r="N30" s="7">
        <f t="shared" si="3"/>
        <v>-31.486624948691301</v>
      </c>
      <c r="O30" s="7">
        <f t="shared" si="4"/>
        <v>-2.6238854123909419</v>
      </c>
    </row>
    <row r="31" spans="1:15" x14ac:dyDescent="0.25">
      <c r="A31" s="1" t="s">
        <v>29</v>
      </c>
      <c r="B31" s="24">
        <v>-6609.1778813663695</v>
      </c>
      <c r="E31" s="16" t="s">
        <v>44</v>
      </c>
      <c r="F31" s="7">
        <f t="shared" si="0"/>
        <v>-591.999074524854</v>
      </c>
      <c r="G31" s="7">
        <f t="shared" si="1"/>
        <v>-25.673499985465568</v>
      </c>
      <c r="H31" s="1" t="s">
        <v>42</v>
      </c>
      <c r="I31" s="24">
        <v>-222.21035236620099</v>
      </c>
      <c r="J31" s="7">
        <f t="shared" si="2"/>
        <v>-9.6366999945444167</v>
      </c>
      <c r="L31" s="2">
        <v>1</v>
      </c>
      <c r="M31" s="2">
        <v>2</v>
      </c>
      <c r="N31" s="7">
        <f t="shared" si="3"/>
        <v>-6.1793999909211532</v>
      </c>
      <c r="O31" s="7">
        <f t="shared" si="4"/>
        <v>-3.0896999954605766</v>
      </c>
    </row>
    <row r="32" spans="1:15" x14ac:dyDescent="0.25">
      <c r="A32" s="1" t="s">
        <v>29</v>
      </c>
      <c r="B32" s="24">
        <v>-6609.1778813663695</v>
      </c>
      <c r="E32" s="16" t="s">
        <v>41</v>
      </c>
      <c r="F32" s="7">
        <f t="shared" si="0"/>
        <v>-1056.73339386775</v>
      </c>
      <c r="G32" s="7">
        <f t="shared" si="1"/>
        <v>-45.827849974055418</v>
      </c>
      <c r="H32" s="1" t="s">
        <v>42</v>
      </c>
      <c r="I32" s="24">
        <v>-222.21035236620099</v>
      </c>
      <c r="J32" s="7">
        <f t="shared" si="2"/>
        <v>-9.6366999945444167</v>
      </c>
      <c r="L32" s="2">
        <v>2</v>
      </c>
      <c r="M32" s="2">
        <v>3</v>
      </c>
      <c r="N32" s="7">
        <f t="shared" si="3"/>
        <v>-11.768349984966584</v>
      </c>
      <c r="O32" s="7">
        <f t="shared" si="4"/>
        <v>-3.9227833283221947</v>
      </c>
    </row>
    <row r="33" spans="1:15" x14ac:dyDescent="0.25">
      <c r="A33" s="1" t="s">
        <v>29</v>
      </c>
      <c r="B33" s="24">
        <v>-6609.1778813663695</v>
      </c>
      <c r="E33" s="16" t="s">
        <v>49</v>
      </c>
      <c r="F33" s="7">
        <f t="shared" si="0"/>
        <v>-382.42953438349599</v>
      </c>
      <c r="G33" s="7">
        <f t="shared" si="1"/>
        <v>-16.584999990610768</v>
      </c>
      <c r="H33" s="1" t="s">
        <v>46</v>
      </c>
      <c r="I33" s="24">
        <v>-20.646813692311301</v>
      </c>
      <c r="J33" s="7">
        <f t="shared" si="2"/>
        <v>-0.89539999949309079</v>
      </c>
      <c r="L33" s="2">
        <v>2</v>
      </c>
      <c r="M33" s="2">
        <v>2</v>
      </c>
      <c r="N33" s="7">
        <f t="shared" si="3"/>
        <v>-4.9367999916245875</v>
      </c>
      <c r="O33" s="7">
        <f t="shared" si="4"/>
        <v>-2.4683999958122937</v>
      </c>
    </row>
    <row r="34" spans="1:15" x14ac:dyDescent="0.25">
      <c r="A34" s="1" t="s">
        <v>35</v>
      </c>
      <c r="B34" s="24">
        <v>-10435.414772792201</v>
      </c>
      <c r="E34" s="16" t="s">
        <v>47</v>
      </c>
      <c r="F34" s="7">
        <f t="shared" si="0"/>
        <v>-237.915673793309</v>
      </c>
      <c r="G34" s="7">
        <f t="shared" si="1"/>
        <v>-10.317799994158793</v>
      </c>
      <c r="H34" s="1" t="s">
        <v>46</v>
      </c>
      <c r="I34" s="24">
        <v>-20.646813692311301</v>
      </c>
      <c r="J34" s="7">
        <f t="shared" si="2"/>
        <v>-0.89539999949309079</v>
      </c>
      <c r="L34" s="2">
        <v>2</v>
      </c>
      <c r="M34" s="2">
        <v>1</v>
      </c>
      <c r="N34" s="7">
        <f t="shared" si="3"/>
        <v>-3.5982999951726127</v>
      </c>
      <c r="O34" s="7">
        <f t="shared" si="4"/>
        <v>-3.5982999951726127</v>
      </c>
    </row>
    <row r="35" spans="1:15" x14ac:dyDescent="0.25">
      <c r="A35" s="1" t="s">
        <v>35</v>
      </c>
      <c r="B35" s="24">
        <v>-10435.414772792201</v>
      </c>
      <c r="E35" s="16" t="s">
        <v>50</v>
      </c>
      <c r="F35" s="7">
        <f t="shared" si="0"/>
        <v>-315.38849559745</v>
      </c>
      <c r="G35" s="7">
        <f t="shared" si="1"/>
        <v>-13.67759999225674</v>
      </c>
      <c r="H35" s="1" t="s">
        <v>46</v>
      </c>
      <c r="I35" s="24">
        <v>-20.646813692311301</v>
      </c>
      <c r="J35" s="7">
        <f t="shared" si="2"/>
        <v>-0.89539999949309079</v>
      </c>
      <c r="L35" s="2">
        <v>1</v>
      </c>
      <c r="M35" s="2">
        <v>2</v>
      </c>
      <c r="N35" s="7">
        <f t="shared" si="3"/>
        <v>-2.9247999927636492</v>
      </c>
      <c r="O35" s="7">
        <f t="shared" si="4"/>
        <v>-1.4623999963818246</v>
      </c>
    </row>
    <row r="36" spans="1:15" x14ac:dyDescent="0.25">
      <c r="A36" s="1" t="s">
        <v>35</v>
      </c>
      <c r="B36" s="24">
        <v>-10435.414772792201</v>
      </c>
      <c r="E36" s="16" t="s">
        <v>48</v>
      </c>
      <c r="F36" s="7">
        <f t="shared" si="0"/>
        <v>-261.99824272367601</v>
      </c>
      <c r="G36" s="7">
        <f t="shared" si="1"/>
        <v>-11.362199993567565</v>
      </c>
      <c r="H36" s="1" t="s">
        <v>46</v>
      </c>
      <c r="I36" s="24">
        <v>-20.646813692311301</v>
      </c>
      <c r="J36" s="7">
        <f t="shared" si="2"/>
        <v>-0.89539999949309079</v>
      </c>
      <c r="L36" s="2">
        <v>3</v>
      </c>
      <c r="M36" s="2">
        <v>1</v>
      </c>
      <c r="N36" s="7">
        <f t="shared" si="3"/>
        <v>-3.7472999950882917</v>
      </c>
      <c r="O36" s="7">
        <f t="shared" si="4"/>
        <v>-3.7472999950882917</v>
      </c>
    </row>
    <row r="37" spans="1:15" x14ac:dyDescent="0.25">
      <c r="A37" s="1" t="s">
        <v>35</v>
      </c>
      <c r="B37" s="24">
        <v>-10435.414772792201</v>
      </c>
      <c r="E37" s="16" t="s">
        <v>45</v>
      </c>
      <c r="F37" s="7">
        <f t="shared" si="0"/>
        <v>-826.30605238020701</v>
      </c>
      <c r="G37" s="7">
        <f t="shared" si="1"/>
        <v>-35.834799979713004</v>
      </c>
      <c r="H37" s="1" t="s">
        <v>46</v>
      </c>
      <c r="I37" s="24">
        <v>-20.646813692311301</v>
      </c>
      <c r="J37" s="7">
        <f t="shared" si="2"/>
        <v>-0.89539999949309079</v>
      </c>
      <c r="L37" s="2">
        <v>11</v>
      </c>
      <c r="M37" s="2">
        <v>3</v>
      </c>
      <c r="N37" s="7">
        <f t="shared" si="3"/>
        <v>-11.199299985289006</v>
      </c>
      <c r="O37" s="7">
        <f t="shared" si="4"/>
        <v>-3.7330999950963353</v>
      </c>
    </row>
    <row r="38" spans="1:15" x14ac:dyDescent="0.25">
      <c r="A38" s="1" t="s">
        <v>35</v>
      </c>
      <c r="B38" s="24">
        <v>-10435.414772792201</v>
      </c>
      <c r="E38" s="16" t="s">
        <v>54</v>
      </c>
      <c r="F38" s="7">
        <f t="shared" si="0"/>
        <v>-252.29972827316601</v>
      </c>
      <c r="G38" s="7">
        <f t="shared" si="1"/>
        <v>-10.941599993805651</v>
      </c>
      <c r="H38" s="1" t="s">
        <v>52</v>
      </c>
      <c r="I38" s="24">
        <v>-94.524774814487103</v>
      </c>
      <c r="J38" s="7">
        <f t="shared" si="2"/>
        <v>-4.0992999976792817</v>
      </c>
      <c r="L38" s="2">
        <v>1</v>
      </c>
      <c r="M38" s="2">
        <v>1</v>
      </c>
      <c r="N38" s="7">
        <f t="shared" si="3"/>
        <v>-1.9135999961263694</v>
      </c>
      <c r="O38" s="7">
        <f t="shared" si="4"/>
        <v>-1.9135999961263694</v>
      </c>
    </row>
    <row r="39" spans="1:15" x14ac:dyDescent="0.25">
      <c r="A39" s="1" t="s">
        <v>35</v>
      </c>
      <c r="B39" s="24">
        <v>-10435.414772792201</v>
      </c>
      <c r="E39" s="16" t="s">
        <v>53</v>
      </c>
      <c r="F39" s="7">
        <f t="shared" si="0"/>
        <v>-627.65397038916899</v>
      </c>
      <c r="G39" s="7">
        <f t="shared" si="1"/>
        <v>-27.219762484590195</v>
      </c>
      <c r="H39" s="1" t="s">
        <v>52</v>
      </c>
      <c r="I39" s="24">
        <v>-94.524774814487103</v>
      </c>
      <c r="J39" s="7">
        <f t="shared" si="2"/>
        <v>-4.0992999976792817</v>
      </c>
      <c r="L39" s="2">
        <v>2</v>
      </c>
      <c r="M39" s="2">
        <v>3</v>
      </c>
      <c r="N39" s="7">
        <f t="shared" si="3"/>
        <v>-4.2350624892316304</v>
      </c>
      <c r="O39" s="7">
        <f t="shared" si="4"/>
        <v>-1.4116874964105435</v>
      </c>
    </row>
    <row r="40" spans="1:15" x14ac:dyDescent="0.25">
      <c r="A40" s="1" t="s">
        <v>31</v>
      </c>
      <c r="B40" s="24">
        <v>-1050.52338156877</v>
      </c>
      <c r="E40" s="16" t="s">
        <v>51</v>
      </c>
      <c r="F40" s="7">
        <f t="shared" si="0"/>
        <v>-347.76875930911899</v>
      </c>
      <c r="G40" s="7">
        <f t="shared" si="1"/>
        <v>-15.08184999146177</v>
      </c>
      <c r="H40" s="1" t="s">
        <v>52</v>
      </c>
      <c r="I40" s="24">
        <v>-94.524774814487103</v>
      </c>
      <c r="J40" s="7">
        <f t="shared" si="2"/>
        <v>-4.0992999976792817</v>
      </c>
      <c r="L40" s="2">
        <v>2</v>
      </c>
      <c r="M40" s="2">
        <v>1</v>
      </c>
      <c r="N40" s="7">
        <f t="shared" si="3"/>
        <v>-1.9545499961032062</v>
      </c>
      <c r="O40" s="7">
        <f t="shared" si="4"/>
        <v>-1.9545499961032062</v>
      </c>
    </row>
    <row r="41" spans="1:15" x14ac:dyDescent="0.25">
      <c r="A41" s="1" t="s">
        <v>31</v>
      </c>
      <c r="B41" s="24">
        <v>-1050.52338156877</v>
      </c>
      <c r="E41" s="16" t="s">
        <v>55</v>
      </c>
      <c r="F41" s="7">
        <f t="shared" si="0"/>
        <v>-1018.07394157714</v>
      </c>
      <c r="G41" s="7">
        <f t="shared" si="1"/>
        <v>-44.151287475004729</v>
      </c>
      <c r="H41" s="1" t="s">
        <v>56</v>
      </c>
      <c r="I41" s="24">
        <v>-106.195966181879</v>
      </c>
      <c r="J41" s="7">
        <f t="shared" si="2"/>
        <v>-4.6054499973927046</v>
      </c>
      <c r="L41" s="2">
        <v>2</v>
      </c>
      <c r="M41" s="2">
        <v>3</v>
      </c>
      <c r="N41" s="7">
        <f t="shared" si="3"/>
        <v>-20.15428748021932</v>
      </c>
      <c r="O41" s="7">
        <f t="shared" si="4"/>
        <v>-6.7180958267397735</v>
      </c>
    </row>
    <row r="42" spans="1:15" x14ac:dyDescent="0.25">
      <c r="A42" s="1" t="s">
        <v>30</v>
      </c>
      <c r="B42" s="24">
        <v>-2984.4284347064299</v>
      </c>
      <c r="E42" s="16" t="s">
        <v>57</v>
      </c>
      <c r="F42" s="7">
        <f t="shared" si="0"/>
        <v>-1021.71809035857</v>
      </c>
      <c r="G42" s="7">
        <f t="shared" si="1"/>
        <v>-44.309324974914958</v>
      </c>
      <c r="H42" s="1" t="s">
        <v>58</v>
      </c>
      <c r="I42" s="24">
        <v>-105.318580364376</v>
      </c>
      <c r="J42" s="7">
        <f t="shared" si="2"/>
        <v>-4.5673999974142587</v>
      </c>
      <c r="L42" s="2">
        <v>2</v>
      </c>
      <c r="M42" s="2">
        <v>3</v>
      </c>
      <c r="N42" s="7">
        <f t="shared" si="3"/>
        <v>-20.388424980086437</v>
      </c>
      <c r="O42" s="7">
        <f t="shared" si="4"/>
        <v>-6.7961416600288125</v>
      </c>
    </row>
    <row r="43" spans="1:15" x14ac:dyDescent="0.25">
      <c r="A43" s="1" t="s">
        <v>30</v>
      </c>
      <c r="B43" s="24">
        <v>-2984.4284347064299</v>
      </c>
      <c r="E43" s="16" t="s">
        <v>59</v>
      </c>
      <c r="F43" s="7">
        <f t="shared" si="0"/>
        <v>-1182.8558757268499</v>
      </c>
      <c r="G43" s="7">
        <f t="shared" si="1"/>
        <v>-51.297462470958976</v>
      </c>
      <c r="H43" s="1" t="s">
        <v>61</v>
      </c>
      <c r="I43" s="24">
        <v>-237.33574597963801</v>
      </c>
      <c r="J43" s="7">
        <f t="shared" si="2"/>
        <v>-10.292649994173061</v>
      </c>
      <c r="L43" s="2">
        <v>2</v>
      </c>
      <c r="M43" s="2">
        <v>3</v>
      </c>
      <c r="N43" s="7">
        <f t="shared" si="3"/>
        <v>-15.926062482612853</v>
      </c>
      <c r="O43" s="7">
        <f t="shared" si="4"/>
        <v>-5.3086874942042845</v>
      </c>
    </row>
    <row r="44" spans="1:15" x14ac:dyDescent="0.25">
      <c r="A44" s="1" t="s">
        <v>30</v>
      </c>
      <c r="B44" s="24">
        <v>-2984.4284347064299</v>
      </c>
      <c r="E44" s="16" t="s">
        <v>60</v>
      </c>
      <c r="F44" s="7">
        <f t="shared" si="0"/>
        <v>-495.76333971933502</v>
      </c>
      <c r="G44" s="7">
        <f t="shared" si="1"/>
        <v>-21.499999987828271</v>
      </c>
      <c r="H44" s="1" t="s">
        <v>61</v>
      </c>
      <c r="I44" s="24">
        <v>-237.33574597963801</v>
      </c>
      <c r="J44" s="7">
        <f t="shared" si="2"/>
        <v>-10.292649994173061</v>
      </c>
      <c r="L44" s="2">
        <v>1</v>
      </c>
      <c r="M44" s="2">
        <v>1</v>
      </c>
      <c r="N44" s="7">
        <f t="shared" si="3"/>
        <v>-6.2786499936552103</v>
      </c>
      <c r="O44" s="7">
        <f t="shared" si="4"/>
        <v>-6.2786499936552103</v>
      </c>
    </row>
    <row r="45" spans="1:15" x14ac:dyDescent="0.25">
      <c r="A45" s="1" t="s">
        <v>30</v>
      </c>
      <c r="B45" s="24">
        <v>-2984.4284347064299</v>
      </c>
      <c r="E45" s="16" t="s">
        <v>62</v>
      </c>
      <c r="F45" s="7">
        <f t="shared" si="0"/>
        <v>-949.03111418972901</v>
      </c>
      <c r="G45" s="7">
        <f t="shared" si="1"/>
        <v>-41.157074976699917</v>
      </c>
      <c r="H45" s="1" t="s">
        <v>65</v>
      </c>
      <c r="I45" s="24">
        <v>-195.07249773756399</v>
      </c>
      <c r="J45" s="7">
        <f t="shared" si="2"/>
        <v>-8.4597999952106697</v>
      </c>
      <c r="L45" s="2">
        <v>2</v>
      </c>
      <c r="M45" s="2">
        <v>3</v>
      </c>
      <c r="N45" s="7">
        <f t="shared" si="3"/>
        <v>-9.4513749862785765</v>
      </c>
      <c r="O45" s="7">
        <f t="shared" si="4"/>
        <v>-3.1504583287595254</v>
      </c>
    </row>
    <row r="46" spans="1:15" x14ac:dyDescent="0.25">
      <c r="A46" s="1" t="s">
        <v>33</v>
      </c>
      <c r="B46" s="24">
        <v>-4044.3750667783702</v>
      </c>
      <c r="E46" s="16" t="s">
        <v>63</v>
      </c>
      <c r="F46" s="7">
        <f t="shared" si="0"/>
        <v>-1337.45419676283</v>
      </c>
      <c r="G46" s="7">
        <f t="shared" si="1"/>
        <v>-58.001999967163457</v>
      </c>
      <c r="H46" s="1" t="s">
        <v>65</v>
      </c>
      <c r="I46" s="24">
        <v>-195.07249773756399</v>
      </c>
      <c r="J46" s="7">
        <f t="shared" si="2"/>
        <v>-8.4597999952106697</v>
      </c>
      <c r="L46" s="2">
        <v>3</v>
      </c>
      <c r="M46" s="2">
        <v>4</v>
      </c>
      <c r="N46" s="7">
        <f t="shared" si="3"/>
        <v>-12.907799981531451</v>
      </c>
      <c r="O46" s="7">
        <f t="shared" si="4"/>
        <v>-3.2269499953828626</v>
      </c>
    </row>
    <row r="47" spans="1:15" x14ac:dyDescent="0.25">
      <c r="A47" s="1" t="s">
        <v>33</v>
      </c>
      <c r="B47" s="24">
        <v>-4044.3750667783702</v>
      </c>
      <c r="E47" s="16" t="s">
        <v>64</v>
      </c>
      <c r="F47" s="7">
        <f t="shared" si="0"/>
        <v>-386.29302961930898</v>
      </c>
      <c r="G47" s="7">
        <f t="shared" si="1"/>
        <v>-16.752549990515924</v>
      </c>
      <c r="H47" s="1" t="s">
        <v>65</v>
      </c>
      <c r="I47" s="24">
        <v>-195.07249773756399</v>
      </c>
      <c r="J47" s="7">
        <f t="shared" si="2"/>
        <v>-8.4597999952106697</v>
      </c>
      <c r="L47" s="2">
        <v>1</v>
      </c>
      <c r="M47" s="2">
        <v>1</v>
      </c>
      <c r="N47" s="7">
        <f t="shared" si="3"/>
        <v>-3.3640499953052538</v>
      </c>
      <c r="O47" s="7">
        <f t="shared" si="4"/>
        <v>-3.3640499953052538</v>
      </c>
    </row>
    <row r="48" spans="1:15" x14ac:dyDescent="0.25">
      <c r="A48" s="1" t="s">
        <v>33</v>
      </c>
      <c r="B48" s="24">
        <v>-4044.3750667783702</v>
      </c>
      <c r="E48" s="16" t="s">
        <v>66</v>
      </c>
      <c r="F48" s="7">
        <f t="shared" si="0"/>
        <v>-744.46013674454196</v>
      </c>
      <c r="G48" s="7">
        <f t="shared" si="1"/>
        <v>-32.285349981722433</v>
      </c>
      <c r="H48" s="1" t="s">
        <v>67</v>
      </c>
      <c r="I48" s="24">
        <v>-70.034642301351596</v>
      </c>
      <c r="J48" s="7">
        <f t="shared" si="2"/>
        <v>-3.037224998280549</v>
      </c>
      <c r="L48" s="2">
        <v>2</v>
      </c>
      <c r="M48" s="2">
        <v>3</v>
      </c>
      <c r="N48" s="7">
        <f t="shared" si="3"/>
        <v>-11.424799985161332</v>
      </c>
      <c r="O48" s="7">
        <f t="shared" si="4"/>
        <v>-3.8082666617204439</v>
      </c>
    </row>
    <row r="49" spans="1:15" x14ac:dyDescent="0.25">
      <c r="A49" s="1" t="s">
        <v>32</v>
      </c>
      <c r="B49" s="24">
        <v>-400.20553245743298</v>
      </c>
      <c r="E49" s="16" t="s">
        <v>68</v>
      </c>
      <c r="F49" s="7">
        <f t="shared" si="0"/>
        <v>-1441.85215613473</v>
      </c>
      <c r="G49" s="7">
        <f t="shared" si="1"/>
        <v>-62.529474964600439</v>
      </c>
      <c r="H49" s="1" t="s">
        <v>69</v>
      </c>
      <c r="I49" s="24">
        <v>-325.04319840398398</v>
      </c>
      <c r="J49" s="7">
        <f t="shared" si="2"/>
        <v>-14.096299992019691</v>
      </c>
      <c r="L49" s="2">
        <v>2</v>
      </c>
      <c r="M49" s="2">
        <v>3</v>
      </c>
      <c r="N49" s="7">
        <f t="shared" si="3"/>
        <v>-19.550774980561055</v>
      </c>
      <c r="O49" s="7">
        <f t="shared" si="4"/>
        <v>-6.5169249935203517</v>
      </c>
    </row>
    <row r="50" spans="1:15" x14ac:dyDescent="0.25">
      <c r="A50" s="1" t="s">
        <v>36</v>
      </c>
      <c r="B50" s="24">
        <v>-637.35796129517496</v>
      </c>
      <c r="E50" s="16" t="s">
        <v>70</v>
      </c>
      <c r="F50" s="7">
        <f t="shared" si="0"/>
        <v>-479.06187986078999</v>
      </c>
      <c r="G50" s="7">
        <f t="shared" si="1"/>
        <v>-20.775699988238308</v>
      </c>
      <c r="H50" s="1" t="s">
        <v>71</v>
      </c>
      <c r="I50" s="24">
        <v>-106.59488272965299</v>
      </c>
      <c r="J50" s="7">
        <f t="shared" si="2"/>
        <v>-4.6227499973829032</v>
      </c>
      <c r="L50" s="2">
        <v>1</v>
      </c>
      <c r="M50" s="2">
        <v>2</v>
      </c>
      <c r="N50" s="7">
        <f t="shared" si="3"/>
        <v>-6.2955499908554042</v>
      </c>
      <c r="O50" s="7">
        <f t="shared" si="4"/>
        <v>-3.1477749954277021</v>
      </c>
    </row>
    <row r="51" spans="1:15" x14ac:dyDescent="0.25">
      <c r="A51" s="1" t="s">
        <v>36</v>
      </c>
      <c r="B51" s="24">
        <v>-637.35796129517496</v>
      </c>
      <c r="E51" s="16" t="s">
        <v>72</v>
      </c>
      <c r="F51" s="7">
        <f t="shared" si="0"/>
        <v>-736.56366438701195</v>
      </c>
      <c r="G51" s="7">
        <f t="shared" si="1"/>
        <v>-31.942899981916284</v>
      </c>
      <c r="H51" s="1" t="s">
        <v>73</v>
      </c>
      <c r="I51" s="24">
        <v>-229.53266160005501</v>
      </c>
      <c r="J51" s="7">
        <f t="shared" si="2"/>
        <v>-9.9542499943646146</v>
      </c>
      <c r="L51" s="2">
        <v>1</v>
      </c>
      <c r="M51" s="2">
        <v>2</v>
      </c>
      <c r="N51" s="7">
        <f t="shared" si="3"/>
        <v>-12.131249987551668</v>
      </c>
      <c r="O51" s="7">
        <f t="shared" si="4"/>
        <v>-6.0656249937758338</v>
      </c>
    </row>
    <row r="52" spans="1:15" x14ac:dyDescent="0.25">
      <c r="A52" s="1" t="s">
        <v>36</v>
      </c>
      <c r="B52" s="24">
        <v>-637.35796129517496</v>
      </c>
      <c r="E52" s="16" t="s">
        <v>74</v>
      </c>
      <c r="F52" s="7">
        <f t="shared" si="0"/>
        <v>-150.63192608372299</v>
      </c>
      <c r="G52" s="7">
        <f t="shared" si="1"/>
        <v>-6.5325249963017518</v>
      </c>
      <c r="H52" s="1" t="s">
        <v>75</v>
      </c>
      <c r="I52" s="24">
        <v>-7.0029454080354503</v>
      </c>
      <c r="J52" s="7">
        <f t="shared" si="2"/>
        <v>-0.30369999982806756</v>
      </c>
      <c r="L52" s="2">
        <v>1</v>
      </c>
      <c r="M52" s="2">
        <v>1</v>
      </c>
      <c r="N52" s="7">
        <f t="shared" si="3"/>
        <v>-1.3001249964736843</v>
      </c>
      <c r="O52" s="7">
        <f t="shared" si="4"/>
        <v>-1.3001249964736843</v>
      </c>
    </row>
    <row r="53" spans="1:15" x14ac:dyDescent="0.25">
      <c r="A53" s="1" t="s">
        <v>36</v>
      </c>
      <c r="B53" s="24">
        <v>-637.35796129517496</v>
      </c>
      <c r="E53" s="16" t="s">
        <v>76</v>
      </c>
      <c r="F53" s="7">
        <f t="shared" si="0"/>
        <v>-1019.7232193852</v>
      </c>
      <c r="G53" s="7">
        <f t="shared" si="1"/>
        <v>-44.222812474963959</v>
      </c>
      <c r="H53" s="1" t="s">
        <v>77</v>
      </c>
      <c r="I53" s="24">
        <v>-105.564156158237</v>
      </c>
      <c r="J53" s="7">
        <f t="shared" si="2"/>
        <v>-4.5780499974082298</v>
      </c>
      <c r="L53" s="2">
        <v>2</v>
      </c>
      <c r="M53" s="2">
        <v>3</v>
      </c>
      <c r="N53" s="7">
        <f t="shared" si="3"/>
        <v>-20.2806124801475</v>
      </c>
      <c r="O53" s="7">
        <f t="shared" si="4"/>
        <v>-6.7602041600491667</v>
      </c>
    </row>
    <row r="54" spans="1:15" x14ac:dyDescent="0.25">
      <c r="A54" s="1" t="s">
        <v>36</v>
      </c>
      <c r="B54" s="24">
        <v>-637.35796129517496</v>
      </c>
      <c r="E54" s="16" t="s">
        <v>78</v>
      </c>
      <c r="F54" s="7">
        <f t="shared" si="0"/>
        <v>-763.62484863869201</v>
      </c>
      <c r="G54" s="7">
        <f t="shared" si="1"/>
        <v>-33.116474981251898</v>
      </c>
      <c r="H54" s="1" t="s">
        <v>79</v>
      </c>
      <c r="I54" s="24">
        <v>-35.027409358170097</v>
      </c>
      <c r="J54" s="7">
        <f t="shared" si="2"/>
        <v>-1.5190499991400275</v>
      </c>
      <c r="L54" s="2">
        <v>2</v>
      </c>
      <c r="M54" s="2">
        <v>5</v>
      </c>
      <c r="N54" s="7">
        <f t="shared" si="3"/>
        <v>-5.434874982971845</v>
      </c>
      <c r="O54" s="7">
        <f t="shared" si="4"/>
        <v>-1.0869749965943689</v>
      </c>
    </row>
    <row r="55" spans="1:15" x14ac:dyDescent="0.25">
      <c r="A55" s="1" t="s">
        <v>36</v>
      </c>
      <c r="B55" s="24">
        <v>-637.35796129517496</v>
      </c>
      <c r="E55" s="16" t="s">
        <v>80</v>
      </c>
      <c r="F55" s="7">
        <f t="shared" si="0"/>
        <v>-700.471805020945</v>
      </c>
      <c r="G55" s="7">
        <f t="shared" si="1"/>
        <v>-30.377687482802415</v>
      </c>
      <c r="H55" s="1" t="s">
        <v>81</v>
      </c>
      <c r="I55" s="24">
        <v>-63.455401608076201</v>
      </c>
      <c r="J55" s="7">
        <f t="shared" si="2"/>
        <v>-2.751899998442076</v>
      </c>
      <c r="L55" s="2">
        <v>2</v>
      </c>
      <c r="M55" s="2">
        <v>3</v>
      </c>
      <c r="N55" s="7">
        <f t="shared" si="3"/>
        <v>-10.087787485918263</v>
      </c>
      <c r="O55" s="7">
        <f t="shared" si="4"/>
        <v>-3.3625958286394209</v>
      </c>
    </row>
    <row r="56" spans="1:15" x14ac:dyDescent="0.25">
      <c r="A56" s="1" t="s">
        <v>36</v>
      </c>
      <c r="B56" s="24">
        <v>-637.35796129517496</v>
      </c>
      <c r="E56" s="16" t="s">
        <v>84</v>
      </c>
      <c r="F56" s="7">
        <f t="shared" si="0"/>
        <v>-637.62169586252605</v>
      </c>
      <c r="G56" s="7">
        <f t="shared" si="1"/>
        <v>-27.652037484345474</v>
      </c>
      <c r="H56" s="1" t="s">
        <v>83</v>
      </c>
      <c r="I56" s="24">
        <v>-204.38823677229001</v>
      </c>
      <c r="J56" s="7">
        <f t="shared" si="2"/>
        <v>-8.8637999949819513</v>
      </c>
      <c r="L56" s="2">
        <v>1</v>
      </c>
      <c r="M56" s="2">
        <v>3</v>
      </c>
      <c r="N56" s="7">
        <f t="shared" si="3"/>
        <v>-4.0021374893635233</v>
      </c>
      <c r="O56" s="7">
        <f t="shared" si="4"/>
        <v>-1.334045829787841</v>
      </c>
    </row>
    <row r="57" spans="1:15" x14ac:dyDescent="0.25">
      <c r="A57" s="1" t="s">
        <v>37</v>
      </c>
      <c r="B57" s="24">
        <v>-1175.8122892543399</v>
      </c>
      <c r="E57" s="16" t="s">
        <v>82</v>
      </c>
      <c r="F57" s="7">
        <f t="shared" si="0"/>
        <v>-519.16452229208699</v>
      </c>
      <c r="G57" s="7">
        <f t="shared" si="1"/>
        <v>-22.514849987253736</v>
      </c>
      <c r="H57" s="1" t="s">
        <v>83</v>
      </c>
      <c r="I57" s="24">
        <v>-204.38823677229001</v>
      </c>
      <c r="J57" s="7">
        <f t="shared" si="2"/>
        <v>-8.8637999949819513</v>
      </c>
      <c r="L57" s="2">
        <v>1</v>
      </c>
      <c r="M57" s="2">
        <v>2</v>
      </c>
      <c r="N57" s="7">
        <f t="shared" si="3"/>
        <v>-3.793649992271785</v>
      </c>
      <c r="O57" s="7">
        <f t="shared" si="4"/>
        <v>-1.8968249961358925</v>
      </c>
    </row>
    <row r="58" spans="1:15" x14ac:dyDescent="0.25">
      <c r="A58" s="1" t="s">
        <v>37</v>
      </c>
      <c r="B58" s="24">
        <v>-1175.8122892543399</v>
      </c>
      <c r="E58" s="16" t="s">
        <v>88</v>
      </c>
      <c r="F58" s="7">
        <f t="shared" si="0"/>
        <v>-320.876480474343</v>
      </c>
      <c r="G58" s="7">
        <f t="shared" si="1"/>
        <v>-13.915599992121995</v>
      </c>
      <c r="H58" s="1" t="s">
        <v>86</v>
      </c>
      <c r="I58" s="24">
        <v>-25.602141213505899</v>
      </c>
      <c r="J58" s="7">
        <f t="shared" si="2"/>
        <v>-1.1102999993714275</v>
      </c>
      <c r="L58" s="2">
        <v>1</v>
      </c>
      <c r="M58" s="2">
        <v>2</v>
      </c>
      <c r="N58" s="7">
        <f t="shared" si="3"/>
        <v>-2.9478999927505676</v>
      </c>
      <c r="O58" s="7">
        <f t="shared" si="4"/>
        <v>-1.4739499963752838</v>
      </c>
    </row>
    <row r="59" spans="1:15" x14ac:dyDescent="0.25">
      <c r="A59" s="1" t="s">
        <v>38</v>
      </c>
      <c r="B59" s="24">
        <v>-339.09405380202998</v>
      </c>
      <c r="E59" s="16" t="s">
        <v>87</v>
      </c>
      <c r="F59" s="7">
        <f t="shared" si="0"/>
        <v>-398.30894944850701</v>
      </c>
      <c r="G59" s="7">
        <f t="shared" si="1"/>
        <v>-17.273649990220942</v>
      </c>
      <c r="H59" s="1" t="s">
        <v>86</v>
      </c>
      <c r="I59" s="24">
        <v>-25.602141213505899</v>
      </c>
      <c r="J59" s="7">
        <f t="shared" si="2"/>
        <v>-1.1102999993714275</v>
      </c>
      <c r="L59" s="2">
        <v>2</v>
      </c>
      <c r="M59" s="2">
        <v>2</v>
      </c>
      <c r="N59" s="7">
        <f t="shared" si="3"/>
        <v>-5.1956499914780867</v>
      </c>
      <c r="O59" s="7">
        <f t="shared" si="4"/>
        <v>-2.5978249957390434</v>
      </c>
    </row>
    <row r="60" spans="1:15" x14ac:dyDescent="0.25">
      <c r="A60" s="1" t="s">
        <v>40</v>
      </c>
      <c r="B60" s="24">
        <v>-470.268421739769</v>
      </c>
      <c r="E60" s="16" t="s">
        <v>85</v>
      </c>
      <c r="F60" s="7">
        <f t="shared" si="0"/>
        <v>-251.97459975735001</v>
      </c>
      <c r="G60" s="7">
        <f t="shared" si="1"/>
        <v>-10.927499993813631</v>
      </c>
      <c r="H60" s="1" t="s">
        <v>86</v>
      </c>
      <c r="I60" s="24">
        <v>-25.602141213505899</v>
      </c>
      <c r="J60" s="7">
        <f t="shared" si="2"/>
        <v>-1.1102999993714275</v>
      </c>
      <c r="L60" s="2">
        <v>2</v>
      </c>
      <c r="M60" s="2">
        <v>1</v>
      </c>
      <c r="N60" s="7">
        <f t="shared" si="3"/>
        <v>-3.7781999950707759</v>
      </c>
      <c r="O60" s="7">
        <f t="shared" si="4"/>
        <v>-3.7781999950707759</v>
      </c>
    </row>
    <row r="61" spans="1:15" x14ac:dyDescent="0.25">
      <c r="A61" s="1" t="s">
        <v>40</v>
      </c>
      <c r="B61" s="24">
        <v>-470.268421739769</v>
      </c>
      <c r="E61" s="16" t="s">
        <v>89</v>
      </c>
      <c r="F61" s="7">
        <f t="shared" si="0"/>
        <v>-1017.6098840324</v>
      </c>
      <c r="G61" s="7">
        <f t="shared" si="1"/>
        <v>-44.131162475016005</v>
      </c>
      <c r="H61" s="1" t="s">
        <v>90</v>
      </c>
      <c r="I61" s="24">
        <v>-114.092438539409</v>
      </c>
      <c r="J61" s="7">
        <f t="shared" si="2"/>
        <v>-4.947899997198852</v>
      </c>
      <c r="L61" s="2">
        <v>2</v>
      </c>
      <c r="M61" s="2">
        <v>3</v>
      </c>
      <c r="N61" s="7">
        <f t="shared" si="3"/>
        <v>-19.449262480618298</v>
      </c>
      <c r="O61" s="7">
        <f t="shared" si="4"/>
        <v>-6.4830874935394327</v>
      </c>
    </row>
    <row r="62" spans="1:15" x14ac:dyDescent="0.25">
      <c r="A62" s="1" t="s">
        <v>40</v>
      </c>
      <c r="B62" s="24">
        <v>-470.268421739769</v>
      </c>
      <c r="E62" s="16" t="s">
        <v>93</v>
      </c>
      <c r="F62" s="7">
        <f t="shared" si="0"/>
        <v>-467.838028437145</v>
      </c>
      <c r="G62" s="7">
        <f t="shared" si="1"/>
        <v>-20.28894998851391</v>
      </c>
      <c r="H62" s="1" t="s">
        <v>92</v>
      </c>
      <c r="I62" s="24">
        <v>-43.996114055092598</v>
      </c>
      <c r="J62" s="7">
        <f t="shared" si="2"/>
        <v>-1.9079999989198291</v>
      </c>
      <c r="L62" s="2">
        <v>2</v>
      </c>
      <c r="M62" s="2">
        <v>2</v>
      </c>
      <c r="N62" s="7">
        <f t="shared" si="3"/>
        <v>-6.6155499906742516</v>
      </c>
      <c r="O62" s="7">
        <f t="shared" si="4"/>
        <v>-3.3077749953371258</v>
      </c>
    </row>
    <row r="63" spans="1:15" x14ac:dyDescent="0.25">
      <c r="A63" s="1" t="s">
        <v>41</v>
      </c>
      <c r="B63" s="24">
        <v>-1056.73339386775</v>
      </c>
      <c r="E63" s="16" t="s">
        <v>91</v>
      </c>
      <c r="F63" s="7">
        <f t="shared" si="0"/>
        <v>-345.09740196463099</v>
      </c>
      <c r="G63" s="7">
        <f t="shared" si="1"/>
        <v>-14.965999991527342</v>
      </c>
      <c r="H63" s="1" t="s">
        <v>92</v>
      </c>
      <c r="I63" s="24">
        <v>-43.996114055092598</v>
      </c>
      <c r="J63" s="7">
        <f t="shared" si="2"/>
        <v>-1.9079999989198291</v>
      </c>
      <c r="L63" s="2">
        <v>2</v>
      </c>
      <c r="M63" s="2">
        <v>1</v>
      </c>
      <c r="N63" s="7">
        <f t="shared" si="3"/>
        <v>-6.2212999936876843</v>
      </c>
      <c r="O63" s="7">
        <f t="shared" si="4"/>
        <v>-6.2212999936876843</v>
      </c>
    </row>
    <row r="64" spans="1:15" x14ac:dyDescent="0.25">
      <c r="A64" s="1" t="s">
        <v>43</v>
      </c>
      <c r="B64" s="24">
        <v>-3200.8908146768899</v>
      </c>
      <c r="E64" s="16" t="s">
        <v>94</v>
      </c>
      <c r="F64" s="7">
        <f t="shared" si="0"/>
        <v>-1027.2879338334201</v>
      </c>
      <c r="G64" s="7">
        <f t="shared" si="1"/>
        <v>-44.550874974778353</v>
      </c>
      <c r="H64" s="1" t="s">
        <v>95</v>
      </c>
      <c r="I64" s="24">
        <v>-104.36048888691801</v>
      </c>
      <c r="J64" s="7">
        <f t="shared" si="2"/>
        <v>-4.5258499974377635</v>
      </c>
      <c r="L64" s="2">
        <v>2</v>
      </c>
      <c r="M64" s="2">
        <v>3</v>
      </c>
      <c r="N64" s="7">
        <f t="shared" si="3"/>
        <v>-20.713074979902824</v>
      </c>
      <c r="O64" s="7">
        <f t="shared" si="4"/>
        <v>-6.9043583266342745</v>
      </c>
    </row>
    <row r="65" spans="1:15" x14ac:dyDescent="0.25">
      <c r="A65" s="1" t="s">
        <v>43</v>
      </c>
      <c r="B65" s="24">
        <v>-3200.8908146768899</v>
      </c>
      <c r="E65" s="16" t="s">
        <v>96</v>
      </c>
      <c r="F65" s="7">
        <f t="shared" si="0"/>
        <v>-292.16140666259997</v>
      </c>
      <c r="G65" s="7">
        <f t="shared" si="1"/>
        <v>-12.670299992827021</v>
      </c>
      <c r="H65" s="1" t="s">
        <v>97</v>
      </c>
      <c r="I65" s="24">
        <v>-36.993937272390099</v>
      </c>
      <c r="J65" s="7">
        <f t="shared" si="2"/>
        <v>-1.6043333324250784</v>
      </c>
      <c r="L65" s="2">
        <v>1</v>
      </c>
      <c r="M65" s="2">
        <v>1</v>
      </c>
      <c r="N65" s="7">
        <f t="shared" si="3"/>
        <v>-6.1372666604019424</v>
      </c>
      <c r="O65" s="7">
        <f t="shared" si="4"/>
        <v>-6.1372666604019424</v>
      </c>
    </row>
    <row r="66" spans="1:15" x14ac:dyDescent="0.25">
      <c r="A66" s="1" t="s">
        <v>43</v>
      </c>
      <c r="B66" s="24">
        <v>-3200.8908146768899</v>
      </c>
      <c r="E66" s="16" t="s">
        <v>102</v>
      </c>
      <c r="F66" s="7">
        <f t="shared" si="0"/>
        <v>-564.049551544677</v>
      </c>
      <c r="G66" s="7">
        <f t="shared" si="1"/>
        <v>-24.461399986151772</v>
      </c>
      <c r="H66" s="1" t="s">
        <v>101</v>
      </c>
      <c r="I66" s="24">
        <v>-211.20090765395099</v>
      </c>
      <c r="J66" s="7">
        <f t="shared" si="2"/>
        <v>-9.1592482706767839</v>
      </c>
      <c r="L66" s="2">
        <v>1</v>
      </c>
      <c r="M66" s="2">
        <v>2</v>
      </c>
      <c r="N66" s="7">
        <f t="shared" si="3"/>
        <v>-5.4447517154749878</v>
      </c>
      <c r="O66" s="7">
        <f t="shared" si="4"/>
        <v>-2.7223758577374939</v>
      </c>
    </row>
    <row r="67" spans="1:15" x14ac:dyDescent="0.25">
      <c r="A67" s="1" t="s">
        <v>44</v>
      </c>
      <c r="B67" s="24">
        <v>-591.999074524854</v>
      </c>
      <c r="E67" s="16" t="s">
        <v>99</v>
      </c>
      <c r="F67" s="7">
        <f t="shared" ref="F67:F130" si="5">IFERROR(VLOOKUP(E67,$A$2:$B$298,2,FALSE),"")</f>
        <v>-1421.8930699590301</v>
      </c>
      <c r="G67" s="7">
        <f t="shared" ref="G67:G130" si="6">F67/$C$2</f>
        <v>-61.663899965090494</v>
      </c>
      <c r="H67" s="1" t="s">
        <v>101</v>
      </c>
      <c r="I67" s="24">
        <v>-211.20090765395099</v>
      </c>
      <c r="J67" s="7">
        <f t="shared" ref="J67:J130" si="7">I67/$C$2</f>
        <v>-9.1592482706767839</v>
      </c>
      <c r="L67" s="2">
        <v>3</v>
      </c>
      <c r="M67" s="2">
        <v>4</v>
      </c>
      <c r="N67" s="7">
        <f t="shared" ref="N67:N130" si="8">G67-L67*J67-M67*$K$2</f>
        <v>-14.471355153060141</v>
      </c>
      <c r="O67" s="7">
        <f t="shared" ref="O67:O130" si="9">N67/M67</f>
        <v>-3.6178387882650354</v>
      </c>
    </row>
    <row r="68" spans="1:15" x14ac:dyDescent="0.25">
      <c r="A68" s="1" t="s">
        <v>44</v>
      </c>
      <c r="B68" s="24">
        <v>-591.999074524854</v>
      </c>
      <c r="E68" s="16" t="s">
        <v>98</v>
      </c>
      <c r="F68" s="7">
        <f t="shared" si="5"/>
        <v>-997.64171846995896</v>
      </c>
      <c r="G68" s="7">
        <f t="shared" si="6"/>
        <v>-43.265193725506442</v>
      </c>
      <c r="H68" s="1" t="s">
        <v>101</v>
      </c>
      <c r="I68" s="24">
        <v>-211.20090765395099</v>
      </c>
      <c r="J68" s="7">
        <f t="shared" si="7"/>
        <v>-9.1592482706767839</v>
      </c>
      <c r="L68" s="2">
        <v>2</v>
      </c>
      <c r="M68" s="2">
        <v>3</v>
      </c>
      <c r="N68" s="7">
        <f t="shared" si="8"/>
        <v>-10.160597184152873</v>
      </c>
      <c r="O68" s="7">
        <f t="shared" si="9"/>
        <v>-3.386865728050958</v>
      </c>
    </row>
    <row r="69" spans="1:15" x14ac:dyDescent="0.25">
      <c r="A69" s="1" t="s">
        <v>45</v>
      </c>
      <c r="B69" s="24">
        <v>-826.30605238020701</v>
      </c>
      <c r="E69" s="16" t="s">
        <v>100</v>
      </c>
      <c r="F69" s="7">
        <f t="shared" si="5"/>
        <v>-417.264403095776</v>
      </c>
      <c r="G69" s="7">
        <f t="shared" si="6"/>
        <v>-18.095699989755563</v>
      </c>
      <c r="H69" s="1" t="s">
        <v>101</v>
      </c>
      <c r="I69" s="24">
        <v>-211.20090765395099</v>
      </c>
      <c r="J69" s="7">
        <f t="shared" si="7"/>
        <v>-9.1592482706767839</v>
      </c>
      <c r="L69" s="2">
        <v>1</v>
      </c>
      <c r="M69" s="2">
        <v>1</v>
      </c>
      <c r="N69" s="7">
        <f t="shared" si="8"/>
        <v>-4.0077517190787786</v>
      </c>
      <c r="O69" s="7">
        <f t="shared" si="9"/>
        <v>-4.0077517190787786</v>
      </c>
    </row>
    <row r="70" spans="1:15" x14ac:dyDescent="0.25">
      <c r="A70" s="1" t="s">
        <v>47</v>
      </c>
      <c r="B70" s="24">
        <v>-237.915673793309</v>
      </c>
      <c r="E70" s="16" t="s">
        <v>103</v>
      </c>
      <c r="F70" s="7">
        <f t="shared" si="5"/>
        <v>-6078.8973073535799</v>
      </c>
      <c r="G70" s="7">
        <f t="shared" si="6"/>
        <v>-263.62637485075436</v>
      </c>
      <c r="H70" s="1" t="s">
        <v>105</v>
      </c>
      <c r="I70" s="24">
        <v>-250.47116860620099</v>
      </c>
      <c r="J70" s="7">
        <f t="shared" si="7"/>
        <v>-10.862299993850536</v>
      </c>
      <c r="L70" s="2">
        <v>8</v>
      </c>
      <c r="M70" s="2">
        <v>23</v>
      </c>
      <c r="N70" s="7">
        <f t="shared" si="8"/>
        <v>-63.367874899950081</v>
      </c>
      <c r="O70" s="7">
        <f t="shared" si="9"/>
        <v>-2.7551249956500037</v>
      </c>
    </row>
    <row r="71" spans="1:15" x14ac:dyDescent="0.25">
      <c r="A71" s="1" t="s">
        <v>47</v>
      </c>
      <c r="B71" s="24">
        <v>-237.915673793309</v>
      </c>
      <c r="E71" s="16" t="s">
        <v>106</v>
      </c>
      <c r="F71" s="7">
        <f t="shared" si="5"/>
        <v>-778.27811414139705</v>
      </c>
      <c r="G71" s="7">
        <f t="shared" si="6"/>
        <v>-33.751949980892171</v>
      </c>
      <c r="H71" s="1" t="s">
        <v>105</v>
      </c>
      <c r="I71" s="24">
        <v>-250.47116860620099</v>
      </c>
      <c r="J71" s="7">
        <f t="shared" si="7"/>
        <v>-10.862299993850536</v>
      </c>
      <c r="L71" s="2">
        <v>1</v>
      </c>
      <c r="M71" s="2">
        <v>3</v>
      </c>
      <c r="N71" s="7">
        <f t="shared" si="8"/>
        <v>-8.1035499870416352</v>
      </c>
      <c r="O71" s="7">
        <f t="shared" si="9"/>
        <v>-2.7011833290138783</v>
      </c>
    </row>
    <row r="72" spans="1:15" x14ac:dyDescent="0.25">
      <c r="A72" s="1" t="s">
        <v>47</v>
      </c>
      <c r="B72" s="24">
        <v>-237.915673793309</v>
      </c>
      <c r="E72" s="16" t="s">
        <v>104</v>
      </c>
      <c r="F72" s="7">
        <f t="shared" si="5"/>
        <v>-626.82760207813601</v>
      </c>
      <c r="G72" s="7">
        <f t="shared" si="6"/>
        <v>-27.183924984610449</v>
      </c>
      <c r="H72" s="1" t="s">
        <v>105</v>
      </c>
      <c r="I72" s="24">
        <v>-250.47116860620099</v>
      </c>
      <c r="J72" s="7">
        <f t="shared" si="7"/>
        <v>-10.862299993850536</v>
      </c>
      <c r="L72" s="2">
        <v>1</v>
      </c>
      <c r="M72" s="2">
        <v>2</v>
      </c>
      <c r="N72" s="7">
        <f t="shared" si="8"/>
        <v>-6.4642249907599147</v>
      </c>
      <c r="O72" s="7">
        <f t="shared" si="9"/>
        <v>-3.2321124953799574</v>
      </c>
    </row>
    <row r="73" spans="1:15" x14ac:dyDescent="0.25">
      <c r="A73" s="1" t="s">
        <v>49</v>
      </c>
      <c r="B73" s="24">
        <v>-382.42953438349599</v>
      </c>
      <c r="E73" s="16" t="s">
        <v>109</v>
      </c>
      <c r="F73" s="7">
        <f t="shared" si="5"/>
        <v>-409.19460572567698</v>
      </c>
      <c r="G73" s="7">
        <f t="shared" si="6"/>
        <v>-17.745733323286984</v>
      </c>
      <c r="H73" s="1" t="s">
        <v>108</v>
      </c>
      <c r="I73" s="24">
        <v>-30.266928358865101</v>
      </c>
      <c r="J73" s="7">
        <f t="shared" si="7"/>
        <v>-1.3125999992569028</v>
      </c>
      <c r="L73" s="2">
        <v>2</v>
      </c>
      <c r="M73" s="2">
        <v>2</v>
      </c>
      <c r="N73" s="7">
        <f t="shared" si="8"/>
        <v>-5.2631333247731789</v>
      </c>
      <c r="O73" s="7">
        <f t="shared" si="9"/>
        <v>-2.6315666623865894</v>
      </c>
    </row>
    <row r="74" spans="1:15" x14ac:dyDescent="0.25">
      <c r="A74" s="1" t="s">
        <v>49</v>
      </c>
      <c r="B74" s="24">
        <v>-382.42953438349599</v>
      </c>
      <c r="E74" s="16" t="s">
        <v>110</v>
      </c>
      <c r="F74" s="7">
        <f t="shared" si="5"/>
        <v>-320.613610610492</v>
      </c>
      <c r="G74" s="7">
        <f t="shared" si="6"/>
        <v>-13.904199992128458</v>
      </c>
      <c r="H74" s="1" t="s">
        <v>108</v>
      </c>
      <c r="I74" s="24">
        <v>-30.266928358865101</v>
      </c>
      <c r="J74" s="7">
        <f t="shared" si="7"/>
        <v>-1.3125999992569028</v>
      </c>
      <c r="L74" s="2">
        <v>1</v>
      </c>
      <c r="M74" s="2">
        <v>2</v>
      </c>
      <c r="N74" s="7">
        <f t="shared" si="8"/>
        <v>-2.7341999928715541</v>
      </c>
      <c r="O74" s="7">
        <f t="shared" si="9"/>
        <v>-1.3670999964357771</v>
      </c>
    </row>
    <row r="75" spans="1:15" x14ac:dyDescent="0.25">
      <c r="A75" s="1" t="s">
        <v>49</v>
      </c>
      <c r="B75" s="24">
        <v>-382.42953438349599</v>
      </c>
      <c r="E75" s="16" t="s">
        <v>107</v>
      </c>
      <c r="F75" s="7">
        <f t="shared" si="5"/>
        <v>-274.95034820834297</v>
      </c>
      <c r="G75" s="7">
        <f t="shared" si="6"/>
        <v>-11.923899993249549</v>
      </c>
      <c r="H75" s="1" t="s">
        <v>108</v>
      </c>
      <c r="I75" s="24">
        <v>-30.266928358865101</v>
      </c>
      <c r="J75" s="7">
        <f t="shared" si="7"/>
        <v>-1.3125999992569028</v>
      </c>
      <c r="L75" s="2">
        <v>2</v>
      </c>
      <c r="M75" s="2">
        <v>1</v>
      </c>
      <c r="N75" s="7">
        <f t="shared" si="8"/>
        <v>-4.3699999947357435</v>
      </c>
      <c r="O75" s="7">
        <f t="shared" si="9"/>
        <v>-4.3699999947357435</v>
      </c>
    </row>
    <row r="76" spans="1:15" x14ac:dyDescent="0.25">
      <c r="A76" s="1" t="s">
        <v>49</v>
      </c>
      <c r="B76" s="24">
        <v>-382.42953438349599</v>
      </c>
      <c r="E76" s="16" t="s">
        <v>111</v>
      </c>
      <c r="F76" s="7">
        <f t="shared" si="5"/>
        <v>-1534.0658667295199</v>
      </c>
      <c r="G76" s="7">
        <f t="shared" si="6"/>
        <v>-66.528549962336228</v>
      </c>
      <c r="H76" s="1" t="s">
        <v>114</v>
      </c>
      <c r="I76" s="24">
        <v>-233.19554562398201</v>
      </c>
      <c r="J76" s="7">
        <f t="shared" si="7"/>
        <v>-10.113099994274714</v>
      </c>
      <c r="L76" s="2">
        <v>2</v>
      </c>
      <c r="M76" s="2">
        <v>5</v>
      </c>
      <c r="N76" s="7">
        <f t="shared" si="8"/>
        <v>-21.658849973786804</v>
      </c>
      <c r="O76" s="7">
        <f t="shared" si="9"/>
        <v>-4.3317699947573605</v>
      </c>
    </row>
    <row r="77" spans="1:15" x14ac:dyDescent="0.25">
      <c r="A77" s="1" t="s">
        <v>48</v>
      </c>
      <c r="B77" s="24">
        <v>-261.99824272367601</v>
      </c>
      <c r="E77" s="16" t="s">
        <v>112</v>
      </c>
      <c r="F77" s="7">
        <f t="shared" si="5"/>
        <v>-662.30811607005</v>
      </c>
      <c r="G77" s="7">
        <f t="shared" si="6"/>
        <v>-28.722624983739369</v>
      </c>
      <c r="H77" s="1" t="s">
        <v>114</v>
      </c>
      <c r="I77" s="24">
        <v>-233.19554562398201</v>
      </c>
      <c r="J77" s="7">
        <f t="shared" si="7"/>
        <v>-10.113099994274714</v>
      </c>
      <c r="L77" s="2">
        <v>1</v>
      </c>
      <c r="M77" s="2">
        <v>2</v>
      </c>
      <c r="N77" s="7">
        <f t="shared" si="8"/>
        <v>-8.7521249894646527</v>
      </c>
      <c r="O77" s="7">
        <f t="shared" si="9"/>
        <v>-4.3760624947323263</v>
      </c>
    </row>
    <row r="78" spans="1:15" x14ac:dyDescent="0.25">
      <c r="A78" s="1" t="s">
        <v>48</v>
      </c>
      <c r="B78" s="24">
        <v>-261.99824272367601</v>
      </c>
      <c r="E78" s="16" t="s">
        <v>113</v>
      </c>
      <c r="F78" s="7">
        <f t="shared" si="5"/>
        <v>-452.820242370313</v>
      </c>
      <c r="G78" s="7">
        <f t="shared" si="6"/>
        <v>-19.637666655549257</v>
      </c>
      <c r="H78" s="1" t="s">
        <v>114</v>
      </c>
      <c r="I78" s="24">
        <v>-233.19554562398201</v>
      </c>
      <c r="J78" s="7">
        <f t="shared" si="7"/>
        <v>-10.113099994274714</v>
      </c>
      <c r="L78" s="2">
        <v>1</v>
      </c>
      <c r="M78" s="2">
        <v>1</v>
      </c>
      <c r="N78" s="7">
        <f t="shared" si="8"/>
        <v>-4.5958666612745427</v>
      </c>
      <c r="O78" s="7">
        <f t="shared" si="9"/>
        <v>-4.5958666612745427</v>
      </c>
    </row>
    <row r="79" spans="1:15" x14ac:dyDescent="0.25">
      <c r="A79" s="1" t="s">
        <v>50</v>
      </c>
      <c r="B79" s="24">
        <v>-315.38849559745</v>
      </c>
      <c r="E79" s="16" t="s">
        <v>115</v>
      </c>
      <c r="F79" s="7">
        <f t="shared" si="5"/>
        <v>-999.21331708032005</v>
      </c>
      <c r="G79" s="7">
        <f t="shared" si="6"/>
        <v>-43.333349975467897</v>
      </c>
      <c r="H79" s="1" t="s">
        <v>116</v>
      </c>
      <c r="I79" s="24">
        <v>-109.877297213795</v>
      </c>
      <c r="J79" s="7">
        <f t="shared" si="7"/>
        <v>-4.7650999973023271</v>
      </c>
      <c r="L79" s="2">
        <v>2</v>
      </c>
      <c r="M79" s="2">
        <v>3</v>
      </c>
      <c r="N79" s="7">
        <f t="shared" si="8"/>
        <v>-19.017049980863238</v>
      </c>
      <c r="O79" s="7">
        <f t="shared" si="9"/>
        <v>-6.3390166602877462</v>
      </c>
    </row>
    <row r="80" spans="1:15" x14ac:dyDescent="0.25">
      <c r="A80" s="1" t="s">
        <v>50</v>
      </c>
      <c r="B80" s="24">
        <v>-315.38849559745</v>
      </c>
      <c r="E80" s="16" t="s">
        <v>117</v>
      </c>
      <c r="F80" s="7">
        <f t="shared" si="5"/>
        <v>-987.859183662747</v>
      </c>
      <c r="G80" s="7">
        <f t="shared" si="6"/>
        <v>-42.840949975746618</v>
      </c>
      <c r="H80" s="1" t="s">
        <v>119</v>
      </c>
      <c r="I80" s="24">
        <v>-133.30499736053201</v>
      </c>
      <c r="J80" s="7">
        <f t="shared" si="7"/>
        <v>-5.7810999967271446</v>
      </c>
      <c r="L80" s="2">
        <v>3</v>
      </c>
      <c r="M80" s="2">
        <v>4</v>
      </c>
      <c r="N80" s="7">
        <f t="shared" si="8"/>
        <v>-5.782849985565182</v>
      </c>
      <c r="O80" s="7">
        <f t="shared" si="9"/>
        <v>-1.4457124963912955</v>
      </c>
    </row>
    <row r="81" spans="1:15" x14ac:dyDescent="0.25">
      <c r="A81" s="1" t="s">
        <v>50</v>
      </c>
      <c r="B81" s="24">
        <v>-315.38849559745</v>
      </c>
      <c r="E81" s="16" t="s">
        <v>118</v>
      </c>
      <c r="F81" s="7">
        <f t="shared" si="5"/>
        <v>-290.10571820976298</v>
      </c>
      <c r="G81" s="7">
        <f t="shared" si="6"/>
        <v>-12.581149992877457</v>
      </c>
      <c r="H81" s="1" t="s">
        <v>119</v>
      </c>
      <c r="I81" s="24">
        <v>-133.30499736053201</v>
      </c>
      <c r="J81" s="7">
        <f t="shared" si="7"/>
        <v>-5.7810999967271446</v>
      </c>
      <c r="L81" s="2">
        <v>1</v>
      </c>
      <c r="M81" s="2">
        <v>1</v>
      </c>
      <c r="N81" s="7">
        <f t="shared" si="8"/>
        <v>-1.8713499961503119</v>
      </c>
      <c r="O81" s="7">
        <f t="shared" si="9"/>
        <v>-1.8713499961503119</v>
      </c>
    </row>
    <row r="82" spans="1:15" x14ac:dyDescent="0.25">
      <c r="A82" s="1" t="s">
        <v>50</v>
      </c>
      <c r="B82" s="24">
        <v>-315.38849559745</v>
      </c>
      <c r="E82" s="16" t="s">
        <v>120</v>
      </c>
      <c r="F82" s="7">
        <f t="shared" si="5"/>
        <v>-775.53066288895195</v>
      </c>
      <c r="G82" s="7">
        <f t="shared" si="6"/>
        <v>-33.632799980959597</v>
      </c>
      <c r="H82" s="1" t="s">
        <v>121</v>
      </c>
      <c r="I82" s="24">
        <v>-298.39995417706803</v>
      </c>
      <c r="J82" s="7">
        <f t="shared" si="7"/>
        <v>-12.940849992673849</v>
      </c>
      <c r="L82" s="2">
        <v>1</v>
      </c>
      <c r="M82" s="2">
        <v>2</v>
      </c>
      <c r="N82" s="7">
        <f t="shared" si="8"/>
        <v>-10.834549988285749</v>
      </c>
      <c r="O82" s="7">
        <f t="shared" si="9"/>
        <v>-5.4172749941428746</v>
      </c>
    </row>
    <row r="83" spans="1:15" x14ac:dyDescent="0.25">
      <c r="A83" s="1" t="s">
        <v>50</v>
      </c>
      <c r="B83" s="24">
        <v>-315.38849559745</v>
      </c>
      <c r="E83" s="16" t="s">
        <v>124</v>
      </c>
      <c r="F83" s="7">
        <f t="shared" si="5"/>
        <v>-892.34288216882203</v>
      </c>
      <c r="G83" s="7">
        <f t="shared" si="6"/>
        <v>-38.698649978091716</v>
      </c>
      <c r="H83" s="1" t="s">
        <v>123</v>
      </c>
      <c r="I83" s="24">
        <v>-258.71467530153501</v>
      </c>
      <c r="J83" s="7">
        <f t="shared" si="7"/>
        <v>-11.219799993648184</v>
      </c>
      <c r="L83" s="2">
        <v>1</v>
      </c>
      <c r="M83" s="2">
        <v>4</v>
      </c>
      <c r="N83" s="7">
        <f t="shared" si="8"/>
        <v>-7.7640499844435311</v>
      </c>
      <c r="O83" s="7">
        <f t="shared" si="9"/>
        <v>-1.9410124961108828</v>
      </c>
    </row>
    <row r="84" spans="1:15" x14ac:dyDescent="0.25">
      <c r="A84" s="1" t="s">
        <v>51</v>
      </c>
      <c r="B84" s="24">
        <v>-347.76875930911899</v>
      </c>
      <c r="E84" s="16" t="s">
        <v>122</v>
      </c>
      <c r="F84" s="7">
        <f t="shared" si="5"/>
        <v>-580.50658854736002</v>
      </c>
      <c r="G84" s="7">
        <f t="shared" si="6"/>
        <v>-25.175099985747718</v>
      </c>
      <c r="H84" s="1" t="s">
        <v>123</v>
      </c>
      <c r="I84" s="24">
        <v>-258.71467530153501</v>
      </c>
      <c r="J84" s="7">
        <f t="shared" si="7"/>
        <v>-11.219799993648184</v>
      </c>
      <c r="L84" s="2">
        <v>1</v>
      </c>
      <c r="M84" s="2">
        <v>2</v>
      </c>
      <c r="N84" s="7">
        <f t="shared" si="8"/>
        <v>-4.0978999920995332</v>
      </c>
      <c r="O84" s="7">
        <f t="shared" si="9"/>
        <v>-2.0489499960497666</v>
      </c>
    </row>
    <row r="85" spans="1:15" x14ac:dyDescent="0.25">
      <c r="A85" s="1" t="s">
        <v>53</v>
      </c>
      <c r="B85" s="24">
        <v>-627.65397038916899</v>
      </c>
      <c r="E85" s="16" t="s">
        <v>125</v>
      </c>
      <c r="F85" s="7">
        <f t="shared" si="5"/>
        <v>-1215.04446349613</v>
      </c>
      <c r="G85" s="7">
        <f t="shared" si="6"/>
        <v>-52.693399970168819</v>
      </c>
      <c r="H85" s="1" t="s">
        <v>126</v>
      </c>
      <c r="I85" s="24">
        <v>-124.74316997376</v>
      </c>
      <c r="J85" s="7">
        <f t="shared" si="7"/>
        <v>-5.4097952350325862</v>
      </c>
      <c r="L85" s="2">
        <v>2</v>
      </c>
      <c r="M85" s="2">
        <v>5</v>
      </c>
      <c r="N85" s="7">
        <f t="shared" si="8"/>
        <v>-17.230309500103647</v>
      </c>
      <c r="O85" s="7">
        <f t="shared" si="9"/>
        <v>-3.4460619000207293</v>
      </c>
    </row>
    <row r="86" spans="1:15" x14ac:dyDescent="0.25">
      <c r="A86" s="1" t="s">
        <v>53</v>
      </c>
      <c r="B86" s="24">
        <v>-627.65397038916899</v>
      </c>
      <c r="E86" s="16" t="s">
        <v>129</v>
      </c>
      <c r="F86" s="7">
        <f t="shared" si="5"/>
        <v>-847.41865302425401</v>
      </c>
      <c r="G86" s="7">
        <f t="shared" si="6"/>
        <v>-36.750399979194633</v>
      </c>
      <c r="H86" s="1" t="s">
        <v>128</v>
      </c>
      <c r="I86" s="24">
        <v>-219.45713642375901</v>
      </c>
      <c r="J86" s="7">
        <f t="shared" si="7"/>
        <v>-9.5172999946119834</v>
      </c>
      <c r="L86" s="2">
        <v>1</v>
      </c>
      <c r="M86" s="2">
        <v>3</v>
      </c>
      <c r="N86" s="7">
        <f t="shared" si="8"/>
        <v>-12.44699998458265</v>
      </c>
      <c r="O86" s="7">
        <f t="shared" si="9"/>
        <v>-4.1489999948608833</v>
      </c>
    </row>
    <row r="87" spans="1:15" x14ac:dyDescent="0.25">
      <c r="A87" s="1" t="s">
        <v>53</v>
      </c>
      <c r="B87" s="24">
        <v>-627.65397038916899</v>
      </c>
      <c r="E87" s="16" t="s">
        <v>127</v>
      </c>
      <c r="F87" s="7">
        <f t="shared" si="5"/>
        <v>-727.10496104036702</v>
      </c>
      <c r="G87" s="7">
        <f t="shared" si="6"/>
        <v>-31.532699982148522</v>
      </c>
      <c r="H87" s="1" t="s">
        <v>128</v>
      </c>
      <c r="I87" s="24">
        <v>-219.45713642375901</v>
      </c>
      <c r="J87" s="7">
        <f t="shared" si="7"/>
        <v>-9.5172999946119834</v>
      </c>
      <c r="L87" s="2">
        <v>1</v>
      </c>
      <c r="M87" s="2">
        <v>2</v>
      </c>
      <c r="N87" s="7">
        <f t="shared" si="8"/>
        <v>-12.15799998753654</v>
      </c>
      <c r="O87" s="7">
        <f t="shared" si="9"/>
        <v>-6.0789999937682699</v>
      </c>
    </row>
    <row r="88" spans="1:15" x14ac:dyDescent="0.25">
      <c r="A88" s="1" t="s">
        <v>54</v>
      </c>
      <c r="B88" s="24">
        <v>-252.29972827316601</v>
      </c>
      <c r="E88" s="16" t="s">
        <v>133</v>
      </c>
      <c r="F88" s="7">
        <f t="shared" si="5"/>
        <v>-404.37109744907502</v>
      </c>
      <c r="G88" s="7">
        <f t="shared" si="6"/>
        <v>-17.536549990072103</v>
      </c>
      <c r="H88" s="1" t="s">
        <v>132</v>
      </c>
      <c r="I88" s="24">
        <v>-85.665599227502497</v>
      </c>
      <c r="J88" s="7">
        <f t="shared" si="7"/>
        <v>-3.7150999978967865</v>
      </c>
      <c r="L88" s="2">
        <v>1</v>
      </c>
      <c r="M88" s="2">
        <v>2</v>
      </c>
      <c r="N88" s="7">
        <f t="shared" si="8"/>
        <v>-3.9640499921753172</v>
      </c>
      <c r="O88" s="7">
        <f t="shared" si="9"/>
        <v>-1.9820249960876586</v>
      </c>
    </row>
    <row r="89" spans="1:15" x14ac:dyDescent="0.25">
      <c r="A89" s="1" t="s">
        <v>54</v>
      </c>
      <c r="B89" s="24">
        <v>-252.29972827316601</v>
      </c>
      <c r="E89" s="16" t="s">
        <v>130</v>
      </c>
      <c r="F89" s="7">
        <f t="shared" si="5"/>
        <v>-948.04189338628896</v>
      </c>
      <c r="G89" s="7">
        <f t="shared" si="6"/>
        <v>-41.1141749767242</v>
      </c>
      <c r="H89" s="1" t="s">
        <v>132</v>
      </c>
      <c r="I89" s="24">
        <v>-85.665599227502497</v>
      </c>
      <c r="J89" s="7">
        <f t="shared" si="7"/>
        <v>-3.7150999978967865</v>
      </c>
      <c r="L89" s="2">
        <v>3</v>
      </c>
      <c r="M89" s="2">
        <v>4</v>
      </c>
      <c r="N89" s="7">
        <f t="shared" si="8"/>
        <v>-10.254074983033842</v>
      </c>
      <c r="O89" s="7">
        <f t="shared" si="9"/>
        <v>-2.5635187457584605</v>
      </c>
    </row>
    <row r="90" spans="1:15" x14ac:dyDescent="0.25">
      <c r="A90" s="1" t="s">
        <v>55</v>
      </c>
      <c r="B90" s="24">
        <v>-1018.07394157714</v>
      </c>
      <c r="E90" s="16" t="s">
        <v>131</v>
      </c>
      <c r="F90" s="7">
        <f t="shared" si="5"/>
        <v>-267.79218852214598</v>
      </c>
      <c r="G90" s="7">
        <f t="shared" si="6"/>
        <v>-11.613468743425319</v>
      </c>
      <c r="H90" s="1" t="s">
        <v>132</v>
      </c>
      <c r="I90" s="24">
        <v>-85.665599227502497</v>
      </c>
      <c r="J90" s="7">
        <f t="shared" si="7"/>
        <v>-3.7150999978967865</v>
      </c>
      <c r="L90" s="2">
        <v>1</v>
      </c>
      <c r="M90" s="2">
        <v>1</v>
      </c>
      <c r="N90" s="7">
        <f t="shared" si="8"/>
        <v>-2.9696687455285327</v>
      </c>
      <c r="O90" s="7">
        <f t="shared" si="9"/>
        <v>-2.9696687455285327</v>
      </c>
    </row>
    <row r="91" spans="1:15" x14ac:dyDescent="0.25">
      <c r="A91" s="1" t="s">
        <v>57</v>
      </c>
      <c r="B91" s="24">
        <v>-1021.71809035857</v>
      </c>
      <c r="E91" s="16" t="s">
        <v>136</v>
      </c>
      <c r="F91" s="7">
        <f t="shared" si="5"/>
        <v>-398.32393764249798</v>
      </c>
      <c r="G91" s="7">
        <f t="shared" si="6"/>
        <v>-17.274299990220548</v>
      </c>
      <c r="H91" s="1" t="s">
        <v>135</v>
      </c>
      <c r="I91" s="24">
        <v>-119.50432950834499</v>
      </c>
      <c r="J91" s="7">
        <f t="shared" si="7"/>
        <v>-5.1825999970659735</v>
      </c>
      <c r="L91" s="2">
        <v>1</v>
      </c>
      <c r="M91" s="2">
        <v>2</v>
      </c>
      <c r="N91" s="7">
        <f t="shared" si="8"/>
        <v>-2.2342999931545737</v>
      </c>
      <c r="O91" s="7">
        <f t="shared" si="9"/>
        <v>-1.1171499965772869</v>
      </c>
    </row>
    <row r="92" spans="1:15" x14ac:dyDescent="0.25">
      <c r="A92" s="1" t="s">
        <v>59</v>
      </c>
      <c r="B92" s="24">
        <v>-1182.8558757268499</v>
      </c>
      <c r="E92" s="16" t="s">
        <v>134</v>
      </c>
      <c r="F92" s="7">
        <f t="shared" si="5"/>
        <v>-270.14259675106501</v>
      </c>
      <c r="G92" s="7">
        <f t="shared" si="6"/>
        <v>-11.715399993367598</v>
      </c>
      <c r="H92" s="1" t="s">
        <v>135</v>
      </c>
      <c r="I92" s="24">
        <v>-119.50432950834499</v>
      </c>
      <c r="J92" s="7">
        <f t="shared" si="7"/>
        <v>-5.1825999970659735</v>
      </c>
      <c r="L92" s="2">
        <v>1</v>
      </c>
      <c r="M92" s="2">
        <v>1</v>
      </c>
      <c r="N92" s="7">
        <f t="shared" si="8"/>
        <v>-1.604099996301624</v>
      </c>
      <c r="O92" s="7">
        <f t="shared" si="9"/>
        <v>-1.604099996301624</v>
      </c>
    </row>
    <row r="93" spans="1:15" x14ac:dyDescent="0.25">
      <c r="A93" s="1" t="s">
        <v>59</v>
      </c>
      <c r="B93" s="24">
        <v>-1182.8558757268499</v>
      </c>
      <c r="E93" s="16" t="s">
        <v>137</v>
      </c>
      <c r="F93" s="7">
        <f t="shared" si="5"/>
        <v>-1004.68890787372</v>
      </c>
      <c r="G93" s="7">
        <f t="shared" si="6"/>
        <v>-43.570812475333454</v>
      </c>
      <c r="H93" s="1" t="s">
        <v>138</v>
      </c>
      <c r="I93" s="24">
        <v>-109.447251340039</v>
      </c>
      <c r="J93" s="7">
        <f t="shared" si="7"/>
        <v>-4.7464499973129088</v>
      </c>
      <c r="L93" s="2">
        <v>2</v>
      </c>
      <c r="M93" s="2">
        <v>3</v>
      </c>
      <c r="N93" s="7">
        <f t="shared" si="8"/>
        <v>-19.291812480707637</v>
      </c>
      <c r="O93" s="7">
        <f t="shared" si="9"/>
        <v>-6.4306041602358794</v>
      </c>
    </row>
    <row r="94" spans="1:15" x14ac:dyDescent="0.25">
      <c r="A94" s="1" t="s">
        <v>60</v>
      </c>
      <c r="B94" s="24">
        <v>-495.76333971933502</v>
      </c>
      <c r="E94" s="16" t="s">
        <v>139</v>
      </c>
      <c r="F94" s="7">
        <f t="shared" si="5"/>
        <v>-994.44101846652097</v>
      </c>
      <c r="G94" s="7">
        <f t="shared" si="6"/>
        <v>-43.126387475585027</v>
      </c>
      <c r="H94" s="1" t="s">
        <v>140</v>
      </c>
      <c r="I94" s="24">
        <v>-110.315413653547</v>
      </c>
      <c r="J94" s="7">
        <f t="shared" si="7"/>
        <v>-4.7840999972915714</v>
      </c>
      <c r="L94" s="2">
        <v>2</v>
      </c>
      <c r="M94" s="2">
        <v>3</v>
      </c>
      <c r="N94" s="7">
        <f t="shared" si="8"/>
        <v>-18.772087481001879</v>
      </c>
      <c r="O94" s="7">
        <f t="shared" si="9"/>
        <v>-6.2573624936672934</v>
      </c>
    </row>
    <row r="95" spans="1:15" x14ac:dyDescent="0.25">
      <c r="A95" s="1" t="s">
        <v>62</v>
      </c>
      <c r="B95" s="24">
        <v>-949.03111418972901</v>
      </c>
      <c r="E95" s="16" t="s">
        <v>143</v>
      </c>
      <c r="F95" s="7">
        <f t="shared" si="5"/>
        <v>-432.318314553253</v>
      </c>
      <c r="G95" s="7">
        <f t="shared" si="6"/>
        <v>-18.748549989385943</v>
      </c>
      <c r="H95" s="1" t="s">
        <v>142</v>
      </c>
      <c r="I95" s="24">
        <v>-139.66229748893301</v>
      </c>
      <c r="J95" s="7">
        <f t="shared" si="7"/>
        <v>-6.0567999965710646</v>
      </c>
      <c r="L95" s="2">
        <v>1</v>
      </c>
      <c r="M95" s="2">
        <v>2</v>
      </c>
      <c r="N95" s="7">
        <f t="shared" si="8"/>
        <v>-2.834349992814877</v>
      </c>
      <c r="O95" s="7">
        <f t="shared" si="9"/>
        <v>-1.4171749964074385</v>
      </c>
    </row>
    <row r="96" spans="1:15" x14ac:dyDescent="0.25">
      <c r="A96" s="1" t="s">
        <v>62</v>
      </c>
      <c r="B96" s="24">
        <v>-949.03111418972901</v>
      </c>
      <c r="E96" s="16" t="s">
        <v>141</v>
      </c>
      <c r="F96" s="7">
        <f t="shared" si="5"/>
        <v>-1010.67697960783</v>
      </c>
      <c r="G96" s="7">
        <f t="shared" si="6"/>
        <v>-43.830499975186441</v>
      </c>
      <c r="H96" s="1" t="s">
        <v>142</v>
      </c>
      <c r="I96" s="24">
        <v>-139.66229748893301</v>
      </c>
      <c r="J96" s="7">
        <f t="shared" si="7"/>
        <v>-6.0567999965710646</v>
      </c>
      <c r="L96" s="2">
        <v>3</v>
      </c>
      <c r="M96" s="2">
        <v>4</v>
      </c>
      <c r="N96" s="7">
        <f t="shared" si="8"/>
        <v>-5.9452999854732482</v>
      </c>
      <c r="O96" s="7">
        <f t="shared" si="9"/>
        <v>-1.4863249963683121</v>
      </c>
    </row>
    <row r="97" spans="1:15" x14ac:dyDescent="0.25">
      <c r="A97" s="1" t="s">
        <v>62</v>
      </c>
      <c r="B97" s="24">
        <v>-949.03111418972901</v>
      </c>
      <c r="E97" s="16" t="s">
        <v>146</v>
      </c>
      <c r="F97" s="7">
        <f t="shared" si="5"/>
        <v>-808.74450077414895</v>
      </c>
      <c r="G97" s="7">
        <f t="shared" si="6"/>
        <v>-35.07319998014416</v>
      </c>
      <c r="H97" s="1" t="s">
        <v>145</v>
      </c>
      <c r="I97" s="24">
        <v>-330.47281579465999</v>
      </c>
      <c r="J97" s="7">
        <f t="shared" si="7"/>
        <v>-14.33176874188638</v>
      </c>
      <c r="L97" s="2">
        <v>1</v>
      </c>
      <c r="M97" s="2">
        <v>2</v>
      </c>
      <c r="N97" s="7">
        <f t="shared" si="8"/>
        <v>-10.884031238257782</v>
      </c>
      <c r="O97" s="7">
        <f t="shared" si="9"/>
        <v>-5.4420156191288909</v>
      </c>
    </row>
    <row r="98" spans="1:15" x14ac:dyDescent="0.25">
      <c r="A98" s="1" t="s">
        <v>63</v>
      </c>
      <c r="B98" s="24">
        <v>-1337.45419676283</v>
      </c>
      <c r="E98" s="16" t="s">
        <v>144</v>
      </c>
      <c r="F98" s="7">
        <f t="shared" si="5"/>
        <v>-1400.3847233467</v>
      </c>
      <c r="G98" s="7">
        <f t="shared" si="6"/>
        <v>-60.731137465618275</v>
      </c>
      <c r="H98" s="1" t="s">
        <v>145</v>
      </c>
      <c r="I98" s="24">
        <v>-330.47281579465999</v>
      </c>
      <c r="J98" s="7">
        <f t="shared" si="7"/>
        <v>-14.33176874188638</v>
      </c>
      <c r="L98" s="2">
        <v>2</v>
      </c>
      <c r="M98" s="2">
        <v>3</v>
      </c>
      <c r="N98" s="7">
        <f t="shared" si="8"/>
        <v>-17.281499981845517</v>
      </c>
      <c r="O98" s="7">
        <f t="shared" si="9"/>
        <v>-5.760499993948506</v>
      </c>
    </row>
    <row r="99" spans="1:15" x14ac:dyDescent="0.25">
      <c r="A99" s="1" t="s">
        <v>63</v>
      </c>
      <c r="B99" s="24">
        <v>-1337.45419676283</v>
      </c>
      <c r="E99" s="16" t="s">
        <v>150</v>
      </c>
      <c r="F99" s="7">
        <f t="shared" si="5"/>
        <v>-386.56397004915601</v>
      </c>
      <c r="G99" s="7">
        <f t="shared" si="6"/>
        <v>-16.76429999050929</v>
      </c>
      <c r="H99" s="1" t="s">
        <v>149</v>
      </c>
      <c r="I99" s="24">
        <v>-23.439229526730401</v>
      </c>
      <c r="J99" s="7">
        <f t="shared" si="7"/>
        <v>-1.0164999994245312</v>
      </c>
      <c r="L99" s="2">
        <v>2</v>
      </c>
      <c r="M99" s="2">
        <v>2</v>
      </c>
      <c r="N99" s="7">
        <f t="shared" si="8"/>
        <v>-4.8738999916602275</v>
      </c>
      <c r="O99" s="7">
        <f t="shared" si="9"/>
        <v>-2.4369499958301137</v>
      </c>
    </row>
    <row r="100" spans="1:15" x14ac:dyDescent="0.25">
      <c r="A100" s="1" t="s">
        <v>64</v>
      </c>
      <c r="B100" s="24">
        <v>-386.29302961930898</v>
      </c>
      <c r="E100" s="16" t="s">
        <v>151</v>
      </c>
      <c r="F100" s="7">
        <f t="shared" si="5"/>
        <v>-316.85733860861899</v>
      </c>
      <c r="G100" s="7">
        <f t="shared" si="6"/>
        <v>-13.7412999922207</v>
      </c>
      <c r="H100" s="1" t="s">
        <v>149</v>
      </c>
      <c r="I100" s="24">
        <v>-23.439229526730401</v>
      </c>
      <c r="J100" s="7">
        <f t="shared" si="7"/>
        <v>-1.0164999994245312</v>
      </c>
      <c r="L100" s="2">
        <v>1</v>
      </c>
      <c r="M100" s="2">
        <v>2</v>
      </c>
      <c r="N100" s="7">
        <f t="shared" si="8"/>
        <v>-2.8673999927961678</v>
      </c>
      <c r="O100" s="7">
        <f t="shared" si="9"/>
        <v>-1.4336999963980839</v>
      </c>
    </row>
    <row r="101" spans="1:15" x14ac:dyDescent="0.25">
      <c r="A101" s="1" t="s">
        <v>66</v>
      </c>
      <c r="B101" s="24">
        <v>-744.46013674454196</v>
      </c>
      <c r="E101" s="16" t="s">
        <v>147</v>
      </c>
      <c r="F101" s="7">
        <f t="shared" si="5"/>
        <v>-238.03788522124</v>
      </c>
      <c r="G101" s="7">
        <f t="shared" si="6"/>
        <v>-10.3230999941558</v>
      </c>
      <c r="H101" s="1" t="s">
        <v>149</v>
      </c>
      <c r="I101" s="24">
        <v>-23.439229526730401</v>
      </c>
      <c r="J101" s="7">
        <f t="shared" si="7"/>
        <v>-1.0164999994245312</v>
      </c>
      <c r="L101" s="2">
        <v>2</v>
      </c>
      <c r="M101" s="2">
        <v>1</v>
      </c>
      <c r="N101" s="7">
        <f t="shared" si="8"/>
        <v>-3.3613999953067379</v>
      </c>
      <c r="O101" s="7">
        <f t="shared" si="9"/>
        <v>-3.3613999953067379</v>
      </c>
    </row>
    <row r="102" spans="1:15" x14ac:dyDescent="0.25">
      <c r="A102" s="1" t="s">
        <v>68</v>
      </c>
      <c r="B102" s="24">
        <v>-1441.85215613473</v>
      </c>
      <c r="E102" s="16" t="s">
        <v>148</v>
      </c>
      <c r="F102" s="7">
        <f t="shared" si="5"/>
        <v>-599.07465502684795</v>
      </c>
      <c r="G102" s="7">
        <f t="shared" si="6"/>
        <v>-25.980349985291834</v>
      </c>
      <c r="H102" s="1" t="s">
        <v>149</v>
      </c>
      <c r="I102" s="24">
        <v>-23.439229526730401</v>
      </c>
      <c r="J102" s="7">
        <f t="shared" si="7"/>
        <v>-1.0164999994245312</v>
      </c>
      <c r="L102" s="2">
        <v>9</v>
      </c>
      <c r="M102" s="2">
        <v>2</v>
      </c>
      <c r="N102" s="7">
        <f t="shared" si="8"/>
        <v>-6.9744499904710526</v>
      </c>
      <c r="O102" s="7">
        <f t="shared" si="9"/>
        <v>-3.4872249952355263</v>
      </c>
    </row>
    <row r="103" spans="1:15" x14ac:dyDescent="0.25">
      <c r="A103" s="1" t="s">
        <v>70</v>
      </c>
      <c r="B103" s="24">
        <v>-479.06187986078999</v>
      </c>
      <c r="E103" s="16" t="s">
        <v>152</v>
      </c>
      <c r="F103" s="7">
        <f t="shared" si="5"/>
        <v>-1795.538081491</v>
      </c>
      <c r="G103" s="7">
        <f t="shared" si="6"/>
        <v>-77.867937455916973</v>
      </c>
      <c r="H103" s="1" t="s">
        <v>154</v>
      </c>
      <c r="I103" s="24">
        <v>-286.93975046355598</v>
      </c>
      <c r="J103" s="7">
        <f t="shared" si="7"/>
        <v>-12.443849992955215</v>
      </c>
      <c r="L103" s="2">
        <v>2</v>
      </c>
      <c r="M103" s="2">
        <v>7</v>
      </c>
      <c r="N103" s="7">
        <f t="shared" si="8"/>
        <v>-18.479337470006541</v>
      </c>
      <c r="O103" s="7">
        <f t="shared" si="9"/>
        <v>-2.6399053528580771</v>
      </c>
    </row>
    <row r="104" spans="1:15" x14ac:dyDescent="0.25">
      <c r="A104" s="1" t="s">
        <v>72</v>
      </c>
      <c r="B104" s="24">
        <v>-736.56366438701195</v>
      </c>
      <c r="E104" s="16" t="s">
        <v>153</v>
      </c>
      <c r="F104" s="7">
        <f t="shared" si="5"/>
        <v>-827.09927372375796</v>
      </c>
      <c r="G104" s="7">
        <f t="shared" si="6"/>
        <v>-35.869199979693526</v>
      </c>
      <c r="H104" s="1" t="s">
        <v>154</v>
      </c>
      <c r="I104" s="24">
        <v>-286.93975046355598</v>
      </c>
      <c r="J104" s="7">
        <f t="shared" si="7"/>
        <v>-12.443849992955215</v>
      </c>
      <c r="L104" s="2">
        <v>1</v>
      </c>
      <c r="M104" s="2">
        <v>3</v>
      </c>
      <c r="N104" s="7">
        <f t="shared" si="8"/>
        <v>-8.6392499867383101</v>
      </c>
      <c r="O104" s="7">
        <f t="shared" si="9"/>
        <v>-2.8797499955794366</v>
      </c>
    </row>
    <row r="105" spans="1:15" x14ac:dyDescent="0.25">
      <c r="A105" s="1" t="s">
        <v>74</v>
      </c>
      <c r="B105" s="24">
        <v>-150.63192608372299</v>
      </c>
      <c r="E105" s="16" t="s">
        <v>155</v>
      </c>
      <c r="F105" s="7">
        <f t="shared" si="5"/>
        <v>-482.72706976071601</v>
      </c>
      <c r="G105" s="7">
        <f t="shared" si="6"/>
        <v>-20.934649988148365</v>
      </c>
      <c r="H105" s="1" t="s">
        <v>156</v>
      </c>
      <c r="I105" s="24">
        <v>-169.64329722395999</v>
      </c>
      <c r="J105" s="7">
        <f t="shared" si="7"/>
        <v>-7.3569999958349879</v>
      </c>
      <c r="L105" s="2">
        <v>1</v>
      </c>
      <c r="M105" s="2">
        <v>2</v>
      </c>
      <c r="N105" s="7">
        <f t="shared" si="8"/>
        <v>-3.7202499923133772</v>
      </c>
      <c r="O105" s="7">
        <f t="shared" si="9"/>
        <v>-1.8601249961566886</v>
      </c>
    </row>
    <row r="106" spans="1:15" x14ac:dyDescent="0.25">
      <c r="A106" s="1" t="s">
        <v>76</v>
      </c>
      <c r="B106" s="24">
        <v>-1019.7232193852</v>
      </c>
      <c r="E106" s="16" t="s">
        <v>159</v>
      </c>
      <c r="F106" s="7">
        <f t="shared" si="5"/>
        <v>-807.66131552376203</v>
      </c>
      <c r="G106" s="7">
        <f t="shared" si="6"/>
        <v>-35.026224980170745</v>
      </c>
      <c r="H106" s="1" t="s">
        <v>158</v>
      </c>
      <c r="I106" s="24">
        <v>-213.90112820490501</v>
      </c>
      <c r="J106" s="7">
        <f t="shared" si="7"/>
        <v>-9.2763499947484167</v>
      </c>
      <c r="L106" s="2">
        <v>1</v>
      </c>
      <c r="M106" s="2">
        <v>4</v>
      </c>
      <c r="N106" s="7">
        <f t="shared" si="8"/>
        <v>-6.0350749854223302</v>
      </c>
      <c r="O106" s="7">
        <f t="shared" si="9"/>
        <v>-1.5087687463555826</v>
      </c>
    </row>
    <row r="107" spans="1:15" x14ac:dyDescent="0.25">
      <c r="A107" s="1" t="s">
        <v>78</v>
      </c>
      <c r="B107" s="24">
        <v>-763.62484863869201</v>
      </c>
      <c r="E107" s="16" t="s">
        <v>157</v>
      </c>
      <c r="F107" s="7">
        <f t="shared" si="5"/>
        <v>-543.17215025249595</v>
      </c>
      <c r="G107" s="7">
        <f t="shared" si="6"/>
        <v>-23.555999986664329</v>
      </c>
      <c r="H107" s="1" t="s">
        <v>158</v>
      </c>
      <c r="I107" s="24">
        <v>-213.90112820490501</v>
      </c>
      <c r="J107" s="7">
        <f t="shared" si="7"/>
        <v>-9.2763499947484167</v>
      </c>
      <c r="L107" s="2">
        <v>1</v>
      </c>
      <c r="M107" s="2">
        <v>2</v>
      </c>
      <c r="N107" s="7">
        <f t="shared" si="8"/>
        <v>-4.4222499919159119</v>
      </c>
      <c r="O107" s="7">
        <f t="shared" si="9"/>
        <v>-2.211124995957956</v>
      </c>
    </row>
    <row r="108" spans="1:15" x14ac:dyDescent="0.25">
      <c r="A108" s="1" t="s">
        <v>80</v>
      </c>
      <c r="B108" s="24">
        <v>-700.471805020945</v>
      </c>
      <c r="E108" s="16" t="s">
        <v>162</v>
      </c>
      <c r="F108" s="7">
        <f t="shared" si="5"/>
        <v>-1044.3854278947399</v>
      </c>
      <c r="G108" s="7">
        <f t="shared" si="6"/>
        <v>-45.292349974358551</v>
      </c>
      <c r="H108" s="1" t="s">
        <v>161</v>
      </c>
      <c r="I108" s="24">
        <v>-95.180796536115693</v>
      </c>
      <c r="J108" s="7">
        <f t="shared" si="7"/>
        <v>-4.127749997663174</v>
      </c>
      <c r="L108" s="2">
        <v>2</v>
      </c>
      <c r="M108" s="2">
        <v>5</v>
      </c>
      <c r="N108" s="7">
        <f t="shared" si="8"/>
        <v>-12.393349979032205</v>
      </c>
      <c r="O108" s="7">
        <f t="shared" si="9"/>
        <v>-2.4786699958064409</v>
      </c>
    </row>
    <row r="109" spans="1:15" x14ac:dyDescent="0.25">
      <c r="A109" s="1" t="s">
        <v>82</v>
      </c>
      <c r="B109" s="24">
        <v>-519.16452229208699</v>
      </c>
      <c r="E109" s="16" t="s">
        <v>163</v>
      </c>
      <c r="F109" s="7">
        <f t="shared" si="5"/>
        <v>-451.079786382132</v>
      </c>
      <c r="G109" s="7">
        <f t="shared" si="6"/>
        <v>-19.562187488925336</v>
      </c>
      <c r="H109" s="1" t="s">
        <v>161</v>
      </c>
      <c r="I109" s="24">
        <v>-95.180796536115693</v>
      </c>
      <c r="J109" s="7">
        <f t="shared" si="7"/>
        <v>-4.127749997663174</v>
      </c>
      <c r="L109" s="2">
        <v>1</v>
      </c>
      <c r="M109" s="2">
        <v>2</v>
      </c>
      <c r="N109" s="7">
        <f t="shared" si="8"/>
        <v>-5.5770374912621623</v>
      </c>
      <c r="O109" s="7">
        <f t="shared" si="9"/>
        <v>-2.7885187456310812</v>
      </c>
    </row>
    <row r="110" spans="1:15" x14ac:dyDescent="0.25">
      <c r="A110" s="1" t="s">
        <v>84</v>
      </c>
      <c r="B110" s="24">
        <v>-637.62169586252605</v>
      </c>
      <c r="E110" s="16" t="s">
        <v>160</v>
      </c>
      <c r="F110" s="7">
        <f t="shared" si="5"/>
        <v>-735.45799684563804</v>
      </c>
      <c r="G110" s="7">
        <f t="shared" si="6"/>
        <v>-31.894949981943437</v>
      </c>
      <c r="H110" s="1" t="s">
        <v>161</v>
      </c>
      <c r="I110" s="24">
        <v>-95.180796536115693</v>
      </c>
      <c r="J110" s="7">
        <f t="shared" si="7"/>
        <v>-4.127749997663174</v>
      </c>
      <c r="L110" s="2">
        <v>2</v>
      </c>
      <c r="M110" s="2">
        <v>3</v>
      </c>
      <c r="N110" s="7">
        <f t="shared" si="8"/>
        <v>-8.8533499866170864</v>
      </c>
      <c r="O110" s="7">
        <f t="shared" si="9"/>
        <v>-2.9511166622056955</v>
      </c>
    </row>
    <row r="111" spans="1:15" x14ac:dyDescent="0.25">
      <c r="A111" s="1" t="s">
        <v>84</v>
      </c>
      <c r="B111" s="24">
        <v>-637.62169586252605</v>
      </c>
      <c r="E111" s="16" t="s">
        <v>164</v>
      </c>
      <c r="F111" s="7">
        <f t="shared" si="5"/>
        <v>-1092.9238294327599</v>
      </c>
      <c r="G111" s="7">
        <f t="shared" si="6"/>
        <v>-47.397337473166814</v>
      </c>
      <c r="H111" s="1" t="s">
        <v>165</v>
      </c>
      <c r="I111" s="24">
        <v>-146.08185626929901</v>
      </c>
      <c r="J111" s="7">
        <f t="shared" si="7"/>
        <v>-6.3351999964134675</v>
      </c>
      <c r="L111" s="2">
        <v>2</v>
      </c>
      <c r="M111" s="2">
        <v>3</v>
      </c>
      <c r="N111" s="7">
        <f t="shared" si="8"/>
        <v>-19.940837480339876</v>
      </c>
      <c r="O111" s="7">
        <f t="shared" si="9"/>
        <v>-6.6469458267799588</v>
      </c>
    </row>
    <row r="112" spans="1:15" x14ac:dyDescent="0.25">
      <c r="A112" s="1" t="s">
        <v>85</v>
      </c>
      <c r="B112" s="24">
        <v>-251.97459975735001</v>
      </c>
      <c r="E112" s="16" t="s">
        <v>166</v>
      </c>
      <c r="F112" s="7">
        <f t="shared" si="5"/>
        <v>-897.056669179153</v>
      </c>
      <c r="G112" s="7">
        <f t="shared" si="6"/>
        <v>-38.903074977975962</v>
      </c>
      <c r="H112" s="1" t="s">
        <v>168</v>
      </c>
      <c r="I112" s="24">
        <v>-80.463542974447506</v>
      </c>
      <c r="J112" s="7">
        <f t="shared" si="7"/>
        <v>-3.4894999980245038</v>
      </c>
      <c r="L112" s="2">
        <v>2</v>
      </c>
      <c r="M112" s="2">
        <v>5</v>
      </c>
      <c r="N112" s="7">
        <f t="shared" si="8"/>
        <v>-7.2805749819269536</v>
      </c>
      <c r="O112" s="7">
        <f t="shared" si="9"/>
        <v>-1.4561149963853908</v>
      </c>
    </row>
    <row r="113" spans="1:15" x14ac:dyDescent="0.25">
      <c r="A113" s="1" t="s">
        <v>87</v>
      </c>
      <c r="B113" s="24">
        <v>-398.30894944850701</v>
      </c>
      <c r="E113" s="16" t="s">
        <v>167</v>
      </c>
      <c r="F113" s="7">
        <f t="shared" si="5"/>
        <v>-388.82026971387899</v>
      </c>
      <c r="G113" s="7">
        <f t="shared" si="6"/>
        <v>-16.862149990453911</v>
      </c>
      <c r="H113" s="1" t="s">
        <v>168</v>
      </c>
      <c r="I113" s="24">
        <v>-80.463542974447506</v>
      </c>
      <c r="J113" s="7">
        <f t="shared" si="7"/>
        <v>-3.4894999980245038</v>
      </c>
      <c r="L113" s="2">
        <v>1</v>
      </c>
      <c r="M113" s="2">
        <v>2</v>
      </c>
      <c r="N113" s="7">
        <f t="shared" si="8"/>
        <v>-3.5152499924294069</v>
      </c>
      <c r="O113" s="7">
        <f t="shared" si="9"/>
        <v>-1.7576249962147035</v>
      </c>
    </row>
    <row r="114" spans="1:15" x14ac:dyDescent="0.25">
      <c r="A114" s="1" t="s">
        <v>87</v>
      </c>
      <c r="B114" s="24">
        <v>-398.30894944850701</v>
      </c>
      <c r="E114" s="16" t="s">
        <v>169</v>
      </c>
      <c r="F114" s="7">
        <f t="shared" si="5"/>
        <v>-579.94078422417999</v>
      </c>
      <c r="G114" s="7">
        <f t="shared" si="6"/>
        <v>-25.150562485761593</v>
      </c>
      <c r="H114" s="1" t="s">
        <v>170</v>
      </c>
      <c r="I114" s="24">
        <v>-125.101843495176</v>
      </c>
      <c r="J114" s="7">
        <f t="shared" si="7"/>
        <v>-5.425349996928543</v>
      </c>
      <c r="L114" s="2">
        <v>1</v>
      </c>
      <c r="M114" s="2">
        <v>2</v>
      </c>
      <c r="N114" s="7">
        <f t="shared" si="8"/>
        <v>-9.8678124888330512</v>
      </c>
      <c r="O114" s="7">
        <f t="shared" si="9"/>
        <v>-4.9339062444165256</v>
      </c>
    </row>
    <row r="115" spans="1:15" x14ac:dyDescent="0.25">
      <c r="A115" s="1" t="s">
        <v>88</v>
      </c>
      <c r="B115" s="24">
        <v>-320.876480474343</v>
      </c>
      <c r="E115" s="16" t="s">
        <v>171</v>
      </c>
      <c r="F115" s="7">
        <f t="shared" si="5"/>
        <v>-1006.19868018386</v>
      </c>
      <c r="G115" s="7">
        <f t="shared" si="6"/>
        <v>-43.636287475296157</v>
      </c>
      <c r="H115" s="1" t="s">
        <v>172</v>
      </c>
      <c r="I115" s="24">
        <v>-108.753182664432</v>
      </c>
      <c r="J115" s="7">
        <f t="shared" si="7"/>
        <v>-4.7163499973299521</v>
      </c>
      <c r="L115" s="2">
        <v>2</v>
      </c>
      <c r="M115" s="2">
        <v>3</v>
      </c>
      <c r="N115" s="7">
        <f t="shared" si="8"/>
        <v>-19.41748748063625</v>
      </c>
      <c r="O115" s="7">
        <f t="shared" si="9"/>
        <v>-6.4724958268787498</v>
      </c>
    </row>
    <row r="116" spans="1:15" x14ac:dyDescent="0.25">
      <c r="A116" s="1" t="s">
        <v>88</v>
      </c>
      <c r="B116" s="24">
        <v>-320.876480474343</v>
      </c>
      <c r="E116" s="16" t="s">
        <v>173</v>
      </c>
      <c r="F116" s="7">
        <f t="shared" si="5"/>
        <v>-1595.8206847885599</v>
      </c>
      <c r="G116" s="7">
        <f t="shared" si="6"/>
        <v>-69.206699960820089</v>
      </c>
      <c r="H116" s="1" t="s">
        <v>175</v>
      </c>
      <c r="I116" s="24">
        <v>-92.451792291660695</v>
      </c>
      <c r="J116" s="7">
        <f t="shared" si="7"/>
        <v>-4.0093999977301769</v>
      </c>
      <c r="L116" s="2">
        <v>5</v>
      </c>
      <c r="M116" s="2">
        <v>6</v>
      </c>
      <c r="N116" s="7">
        <f t="shared" si="8"/>
        <v>-19.587499972169205</v>
      </c>
      <c r="O116" s="7">
        <f t="shared" si="9"/>
        <v>-3.2645833286948673</v>
      </c>
    </row>
    <row r="117" spans="1:15" x14ac:dyDescent="0.25">
      <c r="A117" s="1" t="s">
        <v>88</v>
      </c>
      <c r="B117" s="24">
        <v>-320.876480474343</v>
      </c>
      <c r="E117" s="16" t="s">
        <v>176</v>
      </c>
      <c r="F117" s="7">
        <f t="shared" si="5"/>
        <v>-467.05518353558801</v>
      </c>
      <c r="G117" s="7">
        <f t="shared" si="6"/>
        <v>-20.254999988533122</v>
      </c>
      <c r="H117" s="1" t="s">
        <v>175</v>
      </c>
      <c r="I117" s="24">
        <v>-92.451792291660695</v>
      </c>
      <c r="J117" s="7">
        <f t="shared" si="7"/>
        <v>-4.0093999977301769</v>
      </c>
      <c r="L117" s="2">
        <v>1</v>
      </c>
      <c r="M117" s="2">
        <v>2</v>
      </c>
      <c r="N117" s="7">
        <f t="shared" si="8"/>
        <v>-6.3881999908029439</v>
      </c>
      <c r="O117" s="7">
        <f t="shared" si="9"/>
        <v>-3.1940999954014719</v>
      </c>
    </row>
    <row r="118" spans="1:15" x14ac:dyDescent="0.25">
      <c r="A118" s="1" t="s">
        <v>89</v>
      </c>
      <c r="B118" s="24">
        <v>-1017.6098840324</v>
      </c>
      <c r="E118" s="16" t="s">
        <v>174</v>
      </c>
      <c r="F118" s="7">
        <f t="shared" si="5"/>
        <v>-282.08472854830399</v>
      </c>
      <c r="G118" s="7">
        <f t="shared" si="6"/>
        <v>-12.23329999307439</v>
      </c>
      <c r="H118" s="1" t="s">
        <v>175</v>
      </c>
      <c r="I118" s="24">
        <v>-92.451792291660695</v>
      </c>
      <c r="J118" s="7">
        <f t="shared" si="7"/>
        <v>-4.0093999977301769</v>
      </c>
      <c r="L118" s="2">
        <v>1</v>
      </c>
      <c r="M118" s="2">
        <v>1</v>
      </c>
      <c r="N118" s="7">
        <f t="shared" si="8"/>
        <v>-3.2951999953442117</v>
      </c>
      <c r="O118" s="7">
        <f t="shared" si="9"/>
        <v>-3.2951999953442117</v>
      </c>
    </row>
    <row r="119" spans="1:15" x14ac:dyDescent="0.25">
      <c r="A119" s="1" t="s">
        <v>91</v>
      </c>
      <c r="B119" s="24">
        <v>-345.09740196463099</v>
      </c>
      <c r="E119" s="16" t="s">
        <v>179</v>
      </c>
      <c r="F119" s="7">
        <f t="shared" si="5"/>
        <v>-419.12985677871899</v>
      </c>
      <c r="G119" s="7">
        <f t="shared" si="6"/>
        <v>-18.176599989709725</v>
      </c>
      <c r="H119" s="1" t="s">
        <v>178</v>
      </c>
      <c r="I119" s="24">
        <v>-38.877069337990697</v>
      </c>
      <c r="J119" s="7">
        <f t="shared" si="7"/>
        <v>-1.6859999990455123</v>
      </c>
      <c r="L119" s="2">
        <v>1</v>
      </c>
      <c r="M119" s="2">
        <v>2</v>
      </c>
      <c r="N119" s="7">
        <f t="shared" si="8"/>
        <v>-6.6331999906642114</v>
      </c>
      <c r="O119" s="7">
        <f t="shared" si="9"/>
        <v>-3.3165999953321057</v>
      </c>
    </row>
    <row r="120" spans="1:15" x14ac:dyDescent="0.25">
      <c r="A120" s="1" t="s">
        <v>93</v>
      </c>
      <c r="B120" s="24">
        <v>-467.838028437145</v>
      </c>
      <c r="E120" s="16" t="s">
        <v>177</v>
      </c>
      <c r="F120" s="7">
        <f t="shared" si="5"/>
        <v>-295.31123327681598</v>
      </c>
      <c r="G120" s="7">
        <f t="shared" si="6"/>
        <v>-12.806899992749653</v>
      </c>
      <c r="H120" s="1" t="s">
        <v>178</v>
      </c>
      <c r="I120" s="24">
        <v>-38.877069337990697</v>
      </c>
      <c r="J120" s="7">
        <f t="shared" si="7"/>
        <v>-1.6859999990455123</v>
      </c>
      <c r="L120" s="2">
        <v>1</v>
      </c>
      <c r="M120" s="2">
        <v>1</v>
      </c>
      <c r="N120" s="7">
        <f t="shared" si="8"/>
        <v>-6.1921999937041408</v>
      </c>
      <c r="O120" s="7">
        <f t="shared" si="9"/>
        <v>-6.1921999937041408</v>
      </c>
    </row>
    <row r="121" spans="1:15" x14ac:dyDescent="0.25">
      <c r="A121" s="1" t="s">
        <v>93</v>
      </c>
      <c r="B121" s="24">
        <v>-467.838028437145</v>
      </c>
      <c r="E121" s="16" t="s">
        <v>180</v>
      </c>
      <c r="F121" s="7">
        <f t="shared" si="5"/>
        <v>-1657.31032710775</v>
      </c>
      <c r="G121" s="7">
        <f t="shared" si="6"/>
        <v>-71.873349959310474</v>
      </c>
      <c r="H121" s="1" t="s">
        <v>181</v>
      </c>
      <c r="I121" s="24">
        <v>-273.37312902523598</v>
      </c>
      <c r="J121" s="7">
        <f t="shared" si="7"/>
        <v>-11.855499993288277</v>
      </c>
      <c r="L121" s="2">
        <v>2</v>
      </c>
      <c r="M121" s="2">
        <v>5</v>
      </c>
      <c r="N121" s="7">
        <f t="shared" si="8"/>
        <v>-23.518849972733921</v>
      </c>
      <c r="O121" s="7">
        <f t="shared" si="9"/>
        <v>-4.7037699945467839</v>
      </c>
    </row>
    <row r="122" spans="1:15" x14ac:dyDescent="0.25">
      <c r="A122" s="1" t="s">
        <v>94</v>
      </c>
      <c r="B122" s="24">
        <v>-1027.2879338334201</v>
      </c>
      <c r="E122" s="16" t="s">
        <v>182</v>
      </c>
      <c r="F122" s="7">
        <f t="shared" si="5"/>
        <v>-1016.33386990162</v>
      </c>
      <c r="G122" s="7">
        <f t="shared" si="6"/>
        <v>-44.075824975047226</v>
      </c>
      <c r="H122" s="1" t="s">
        <v>183</v>
      </c>
      <c r="I122" s="24">
        <v>-106.75514111156301</v>
      </c>
      <c r="J122" s="7">
        <f t="shared" si="7"/>
        <v>-4.6296999973790012</v>
      </c>
      <c r="L122" s="2">
        <v>2</v>
      </c>
      <c r="M122" s="2">
        <v>3</v>
      </c>
      <c r="N122" s="7">
        <f t="shared" si="8"/>
        <v>-20.030324980289226</v>
      </c>
      <c r="O122" s="7">
        <f t="shared" si="9"/>
        <v>-6.676774993429742</v>
      </c>
    </row>
    <row r="123" spans="1:15" x14ac:dyDescent="0.25">
      <c r="A123" s="1" t="s">
        <v>96</v>
      </c>
      <c r="B123" s="24">
        <v>-292.16140666259997</v>
      </c>
      <c r="E123" s="16" t="s">
        <v>184</v>
      </c>
      <c r="F123" s="7">
        <f t="shared" si="5"/>
        <v>-1651.6223074879699</v>
      </c>
      <c r="G123" s="7">
        <f t="shared" si="6"/>
        <v>-71.626674959450114</v>
      </c>
      <c r="H123" s="1" t="s">
        <v>186</v>
      </c>
      <c r="I123" s="24">
        <v>-238.85416532477799</v>
      </c>
      <c r="J123" s="7">
        <f t="shared" si="7"/>
        <v>-10.358499994135764</v>
      </c>
      <c r="L123" s="2">
        <v>2</v>
      </c>
      <c r="M123" s="2">
        <v>7</v>
      </c>
      <c r="N123" s="7">
        <f t="shared" si="8"/>
        <v>-16.408774971178588</v>
      </c>
      <c r="O123" s="7">
        <f t="shared" si="9"/>
        <v>-2.3441107101683696</v>
      </c>
    </row>
    <row r="124" spans="1:15" x14ac:dyDescent="0.25">
      <c r="A124" s="1" t="s">
        <v>98</v>
      </c>
      <c r="B124" s="24">
        <v>-997.64171846995896</v>
      </c>
      <c r="E124" s="16" t="s">
        <v>185</v>
      </c>
      <c r="F124" s="7">
        <f t="shared" si="5"/>
        <v>-597.898081798514</v>
      </c>
      <c r="G124" s="7">
        <f t="shared" si="6"/>
        <v>-25.929324985320719</v>
      </c>
      <c r="H124" s="1" t="s">
        <v>186</v>
      </c>
      <c r="I124" s="24">
        <v>-238.85416532477799</v>
      </c>
      <c r="J124" s="7">
        <f t="shared" si="7"/>
        <v>-10.358499994135764</v>
      </c>
      <c r="L124" s="2">
        <v>1</v>
      </c>
      <c r="M124" s="2">
        <v>2</v>
      </c>
      <c r="N124" s="7">
        <f t="shared" si="8"/>
        <v>-5.7134249911849544</v>
      </c>
      <c r="O124" s="7">
        <f t="shared" si="9"/>
        <v>-2.8567124955924772</v>
      </c>
    </row>
    <row r="125" spans="1:15" x14ac:dyDescent="0.25">
      <c r="A125" s="1" t="s">
        <v>98</v>
      </c>
      <c r="B125" s="24">
        <v>-997.64171846995896</v>
      </c>
      <c r="E125" s="16" t="s">
        <v>187</v>
      </c>
      <c r="F125" s="7">
        <f t="shared" si="5"/>
        <v>-945.41031240277903</v>
      </c>
      <c r="G125" s="7">
        <f t="shared" si="6"/>
        <v>-41.000049976788823</v>
      </c>
      <c r="H125" s="1" t="s">
        <v>189</v>
      </c>
      <c r="I125" s="24">
        <v>-72.459847382978595</v>
      </c>
      <c r="J125" s="7">
        <f t="shared" si="7"/>
        <v>-3.1423999982210056</v>
      </c>
      <c r="L125" s="2">
        <v>2</v>
      </c>
      <c r="M125" s="2">
        <v>5</v>
      </c>
      <c r="N125" s="7">
        <f t="shared" si="8"/>
        <v>-10.071749980346812</v>
      </c>
      <c r="O125" s="7">
        <f t="shared" si="9"/>
        <v>-2.0143499960693623</v>
      </c>
    </row>
    <row r="126" spans="1:15" x14ac:dyDescent="0.25">
      <c r="A126" s="1" t="s">
        <v>98</v>
      </c>
      <c r="B126" s="24">
        <v>-997.64171846995896</v>
      </c>
      <c r="E126" s="16" t="s">
        <v>190</v>
      </c>
      <c r="F126" s="7">
        <f t="shared" si="5"/>
        <v>-539.24178461272095</v>
      </c>
      <c r="G126" s="7">
        <f t="shared" si="6"/>
        <v>-23.385549986760822</v>
      </c>
      <c r="H126" s="1" t="s">
        <v>189</v>
      </c>
      <c r="I126" s="24">
        <v>-72.459847382978595</v>
      </c>
      <c r="J126" s="7">
        <f t="shared" si="7"/>
        <v>-3.1423999982210056</v>
      </c>
      <c r="L126" s="2">
        <v>1</v>
      </c>
      <c r="M126" s="2">
        <v>3</v>
      </c>
      <c r="N126" s="7">
        <f t="shared" si="8"/>
        <v>-5.4570499885398149</v>
      </c>
      <c r="O126" s="7">
        <f t="shared" si="9"/>
        <v>-1.8190166628466049</v>
      </c>
    </row>
    <row r="127" spans="1:15" x14ac:dyDescent="0.25">
      <c r="A127" s="1" t="s">
        <v>99</v>
      </c>
      <c r="B127" s="24">
        <v>-1421.8930699590301</v>
      </c>
      <c r="E127" s="16" t="s">
        <v>188</v>
      </c>
      <c r="F127" s="7">
        <f t="shared" si="5"/>
        <v>-404.484085373011</v>
      </c>
      <c r="G127" s="7">
        <f t="shared" si="6"/>
        <v>-17.541449990069328</v>
      </c>
      <c r="H127" s="1" t="s">
        <v>189</v>
      </c>
      <c r="I127" s="24">
        <v>-72.459847382978595</v>
      </c>
      <c r="J127" s="7">
        <f t="shared" si="7"/>
        <v>-3.1423999982210056</v>
      </c>
      <c r="L127" s="2">
        <v>1</v>
      </c>
      <c r="M127" s="2">
        <v>2</v>
      </c>
      <c r="N127" s="7">
        <f t="shared" si="8"/>
        <v>-4.5416499918483222</v>
      </c>
      <c r="O127" s="7">
        <f t="shared" si="9"/>
        <v>-2.2708249959241611</v>
      </c>
    </row>
    <row r="128" spans="1:15" x14ac:dyDescent="0.25">
      <c r="A128" s="1" t="s">
        <v>99</v>
      </c>
      <c r="B128" s="24">
        <v>-1421.8930699590301</v>
      </c>
      <c r="E128" s="16" t="s">
        <v>191</v>
      </c>
      <c r="F128" s="7">
        <f t="shared" si="5"/>
        <v>-701.97091265459596</v>
      </c>
      <c r="G128" s="7">
        <f t="shared" si="6"/>
        <v>-30.442699982765596</v>
      </c>
      <c r="H128" s="1" t="s">
        <v>192</v>
      </c>
      <c r="I128" s="24">
        <v>-170.890776139254</v>
      </c>
      <c r="J128" s="7">
        <f t="shared" si="7"/>
        <v>-7.4110999958043715</v>
      </c>
      <c r="L128" s="2">
        <v>1</v>
      </c>
      <c r="M128" s="2">
        <v>2</v>
      </c>
      <c r="N128" s="7">
        <f t="shared" si="8"/>
        <v>-13.174199986961225</v>
      </c>
      <c r="O128" s="7">
        <f t="shared" si="9"/>
        <v>-6.5870999934806127</v>
      </c>
    </row>
    <row r="129" spans="1:15" x14ac:dyDescent="0.25">
      <c r="A129" s="1" t="s">
        <v>100</v>
      </c>
      <c r="B129" s="24">
        <v>-417.264403095776</v>
      </c>
      <c r="E129" s="16" t="s">
        <v>200</v>
      </c>
      <c r="F129" s="7">
        <f t="shared" si="5"/>
        <v>-653.13188253324495</v>
      </c>
      <c r="G129" s="7">
        <f t="shared" si="6"/>
        <v>-28.324674983964663</v>
      </c>
      <c r="H129" s="1" t="s">
        <v>196</v>
      </c>
      <c r="I129" s="24">
        <v>-182.09810211824299</v>
      </c>
      <c r="J129" s="7">
        <f t="shared" si="7"/>
        <v>-7.8971333288625667</v>
      </c>
      <c r="L129" s="2">
        <v>1</v>
      </c>
      <c r="M129" s="2">
        <v>2</v>
      </c>
      <c r="N129" s="7">
        <f t="shared" si="8"/>
        <v>-10.570141655102097</v>
      </c>
      <c r="O129" s="7">
        <f t="shared" si="9"/>
        <v>-5.2850708275510483</v>
      </c>
    </row>
    <row r="130" spans="1:15" x14ac:dyDescent="0.25">
      <c r="A130" s="1" t="s">
        <v>102</v>
      </c>
      <c r="B130" s="24">
        <v>-564.049551544677</v>
      </c>
      <c r="E130" s="16" t="s">
        <v>198</v>
      </c>
      <c r="F130" s="7">
        <f t="shared" si="5"/>
        <v>-430.60005262155897</v>
      </c>
      <c r="G130" s="7">
        <f t="shared" si="6"/>
        <v>-18.674033322761456</v>
      </c>
      <c r="H130" s="1" t="s">
        <v>196</v>
      </c>
      <c r="I130" s="24">
        <v>-182.09810211824299</v>
      </c>
      <c r="J130" s="7">
        <f t="shared" si="7"/>
        <v>-7.8971333288625667</v>
      </c>
      <c r="L130" s="2">
        <v>1</v>
      </c>
      <c r="M130" s="2">
        <v>1</v>
      </c>
      <c r="N130" s="7">
        <f t="shared" si="8"/>
        <v>-5.8481999938988904</v>
      </c>
      <c r="O130" s="7">
        <f t="shared" si="9"/>
        <v>-5.8481999938988904</v>
      </c>
    </row>
    <row r="131" spans="1:15" x14ac:dyDescent="0.25">
      <c r="A131" s="1" t="s">
        <v>102</v>
      </c>
      <c r="B131" s="24">
        <v>-564.049551544677</v>
      </c>
      <c r="E131" s="16" t="s">
        <v>193</v>
      </c>
      <c r="F131" s="7">
        <f t="shared" ref="F131:F155" si="10">IFERROR(VLOOKUP(E131,$A$2:$B$298,2,FALSE),"")</f>
        <v>-619.34906974537</v>
      </c>
      <c r="G131" s="7">
        <f t="shared" ref="G131:G155" si="11">F131/$C$2</f>
        <v>-26.859599984794066</v>
      </c>
      <c r="H131" s="1" t="s">
        <v>196</v>
      </c>
      <c r="I131" s="24">
        <v>-182.09810211824299</v>
      </c>
      <c r="J131" s="7">
        <f t="shared" ref="J131:J155" si="12">I131/$C$2</f>
        <v>-7.8971333288625667</v>
      </c>
      <c r="L131" s="2">
        <v>2</v>
      </c>
      <c r="M131" s="2">
        <v>1</v>
      </c>
      <c r="N131" s="7">
        <f t="shared" ref="N131:N155" si="13">G131-L131*J131-M131*$K$2</f>
        <v>-6.1366333270689326</v>
      </c>
      <c r="O131" s="7">
        <f t="shared" ref="O131:O155" si="14">N131/M131</f>
        <v>-6.1366333270689326</v>
      </c>
    </row>
    <row r="132" spans="1:15" x14ac:dyDescent="0.25">
      <c r="A132" s="1" t="s">
        <v>102</v>
      </c>
      <c r="B132" s="24">
        <v>-564.049551544677</v>
      </c>
      <c r="E132" s="16" t="s">
        <v>195</v>
      </c>
      <c r="F132" s="7">
        <f t="shared" si="10"/>
        <v>-805.45343925501197</v>
      </c>
      <c r="G132" s="7">
        <f t="shared" si="11"/>
        <v>-34.930474980224957</v>
      </c>
      <c r="H132" s="1" t="s">
        <v>196</v>
      </c>
      <c r="I132" s="24">
        <v>-182.09810211824299</v>
      </c>
      <c r="J132" s="7">
        <f t="shared" si="12"/>
        <v>-7.8971333288625667</v>
      </c>
      <c r="L132" s="2">
        <v>3</v>
      </c>
      <c r="M132" s="2">
        <v>1</v>
      </c>
      <c r="N132" s="7">
        <f t="shared" si="13"/>
        <v>-6.3103749936372564</v>
      </c>
      <c r="O132" s="7">
        <f t="shared" si="14"/>
        <v>-6.3103749936372564</v>
      </c>
    </row>
    <row r="133" spans="1:15" x14ac:dyDescent="0.25">
      <c r="A133" s="1" t="s">
        <v>102</v>
      </c>
      <c r="B133" s="24">
        <v>-564.049551544677</v>
      </c>
      <c r="E133" s="16" t="s">
        <v>199</v>
      </c>
      <c r="F133" s="7">
        <f t="shared" si="10"/>
        <v>-1742.7222799753999</v>
      </c>
      <c r="G133" s="7">
        <f t="shared" si="11"/>
        <v>-75.577449957213659</v>
      </c>
      <c r="H133" s="1" t="s">
        <v>196</v>
      </c>
      <c r="I133" s="24">
        <v>-182.09810211824299</v>
      </c>
      <c r="J133" s="7">
        <f t="shared" si="12"/>
        <v>-7.8971333288625667</v>
      </c>
      <c r="L133" s="2">
        <v>3</v>
      </c>
      <c r="M133" s="2">
        <v>5</v>
      </c>
      <c r="N133" s="7">
        <f t="shared" si="13"/>
        <v>-27.242549970625962</v>
      </c>
      <c r="O133" s="7">
        <f t="shared" si="14"/>
        <v>-5.4485099941251924</v>
      </c>
    </row>
    <row r="134" spans="1:15" x14ac:dyDescent="0.25">
      <c r="A134" s="1" t="s">
        <v>103</v>
      </c>
      <c r="B134" s="24">
        <v>-6078.8973073535799</v>
      </c>
      <c r="E134" s="16" t="s">
        <v>197</v>
      </c>
      <c r="F134" s="7">
        <f t="shared" si="10"/>
        <v>-1088.2627893358999</v>
      </c>
      <c r="G134" s="7">
        <f t="shared" si="11"/>
        <v>-47.195199973281305</v>
      </c>
      <c r="H134" s="1" t="s">
        <v>196</v>
      </c>
      <c r="I134" s="24">
        <v>-182.09810211824299</v>
      </c>
      <c r="J134" s="7">
        <f t="shared" si="12"/>
        <v>-7.8971333288625667</v>
      </c>
      <c r="L134" s="2">
        <v>2</v>
      </c>
      <c r="M134" s="2">
        <v>3</v>
      </c>
      <c r="N134" s="7">
        <f t="shared" si="13"/>
        <v>-16.614833315556172</v>
      </c>
      <c r="O134" s="7">
        <f t="shared" si="14"/>
        <v>-5.5382777718520577</v>
      </c>
    </row>
    <row r="135" spans="1:15" x14ac:dyDescent="0.25">
      <c r="A135" s="1" t="s">
        <v>103</v>
      </c>
      <c r="B135" s="24">
        <v>-6078.8973073535799</v>
      </c>
      <c r="E135" s="16" t="s">
        <v>194</v>
      </c>
      <c r="F135" s="7">
        <f t="shared" si="10"/>
        <v>-1354.6894669150699</v>
      </c>
      <c r="G135" s="7">
        <f t="shared" si="11"/>
        <v>-58.749449966740187</v>
      </c>
      <c r="H135" s="1" t="s">
        <v>196</v>
      </c>
      <c r="I135" s="24">
        <v>-182.09810211824299</v>
      </c>
      <c r="J135" s="7">
        <f t="shared" si="12"/>
        <v>-7.8971333288625667</v>
      </c>
      <c r="L135" s="2">
        <v>6</v>
      </c>
      <c r="M135" s="2">
        <v>1</v>
      </c>
      <c r="N135" s="7">
        <f t="shared" si="13"/>
        <v>-6.4379499935647848</v>
      </c>
      <c r="O135" s="7">
        <f t="shared" si="14"/>
        <v>-6.4379499935647848</v>
      </c>
    </row>
    <row r="136" spans="1:15" x14ac:dyDescent="0.25">
      <c r="A136" s="1" t="s">
        <v>104</v>
      </c>
      <c r="B136" s="24">
        <v>-626.82760207813601</v>
      </c>
      <c r="E136" s="16" t="s">
        <v>204</v>
      </c>
      <c r="F136" s="7">
        <f t="shared" si="10"/>
        <v>-712.47187195265099</v>
      </c>
      <c r="G136" s="7">
        <f t="shared" si="11"/>
        <v>-30.898099982507777</v>
      </c>
      <c r="H136" s="1" t="s">
        <v>202</v>
      </c>
      <c r="I136" s="24">
        <v>-54.584696641098198</v>
      </c>
      <c r="J136" s="7">
        <f t="shared" si="12"/>
        <v>-2.3671999986598671</v>
      </c>
      <c r="L136" s="2">
        <v>4</v>
      </c>
      <c r="M136" s="2">
        <v>3</v>
      </c>
      <c r="N136" s="7">
        <f t="shared" si="13"/>
        <v>-6.6431999878683072</v>
      </c>
      <c r="O136" s="7">
        <f t="shared" si="14"/>
        <v>-2.2143999959561023</v>
      </c>
    </row>
    <row r="137" spans="1:15" x14ac:dyDescent="0.25">
      <c r="A137" s="1" t="s">
        <v>106</v>
      </c>
      <c r="B137" s="24">
        <v>-778.27811414139705</v>
      </c>
      <c r="E137" s="16" t="s">
        <v>203</v>
      </c>
      <c r="F137" s="7">
        <f t="shared" si="10"/>
        <v>-579.75112592328799</v>
      </c>
      <c r="G137" s="7">
        <f t="shared" si="11"/>
        <v>-25.142337485766276</v>
      </c>
      <c r="H137" s="1" t="s">
        <v>202</v>
      </c>
      <c r="I137" s="24">
        <v>-54.584696641098198</v>
      </c>
      <c r="J137" s="7">
        <f t="shared" si="12"/>
        <v>-2.3671999986598671</v>
      </c>
      <c r="L137" s="2">
        <v>2</v>
      </c>
      <c r="M137" s="2">
        <v>3</v>
      </c>
      <c r="N137" s="7">
        <f t="shared" si="13"/>
        <v>-5.6218374884465412</v>
      </c>
      <c r="O137" s="7">
        <f t="shared" si="14"/>
        <v>-1.8739458294821805</v>
      </c>
    </row>
    <row r="138" spans="1:15" x14ac:dyDescent="0.25">
      <c r="A138" s="1" t="s">
        <v>106</v>
      </c>
      <c r="B138" s="24">
        <v>-778.27811414139705</v>
      </c>
      <c r="E138" s="16" t="s">
        <v>201</v>
      </c>
      <c r="F138" s="7">
        <f t="shared" si="10"/>
        <v>-279.93219330352298</v>
      </c>
      <c r="G138" s="7">
        <f t="shared" si="11"/>
        <v>-12.139949993127253</v>
      </c>
      <c r="H138" s="1" t="s">
        <v>202</v>
      </c>
      <c r="I138" s="24">
        <v>-54.584696641098198</v>
      </c>
      <c r="J138" s="7">
        <f t="shared" si="12"/>
        <v>-2.3671999986598671</v>
      </c>
      <c r="L138" s="2">
        <v>2</v>
      </c>
      <c r="M138" s="2">
        <v>1</v>
      </c>
      <c r="N138" s="7">
        <f t="shared" si="13"/>
        <v>-2.4768499958075187</v>
      </c>
      <c r="O138" s="7">
        <f t="shared" si="14"/>
        <v>-2.4768499958075187</v>
      </c>
    </row>
    <row r="139" spans="1:15" x14ac:dyDescent="0.25">
      <c r="A139" s="1" t="s">
        <v>106</v>
      </c>
      <c r="B139" s="24">
        <v>-778.27811414139705</v>
      </c>
      <c r="E139" s="16" t="s">
        <v>205</v>
      </c>
      <c r="F139" s="7">
        <f t="shared" si="10"/>
        <v>-1021.57282017066</v>
      </c>
      <c r="G139" s="7">
        <f t="shared" si="11"/>
        <v>-44.303024974918856</v>
      </c>
      <c r="H139" s="1" t="s">
        <v>206</v>
      </c>
      <c r="I139" s="24">
        <v>-103.26173897354001</v>
      </c>
      <c r="J139" s="7">
        <f t="shared" si="12"/>
        <v>-4.4781999974647384</v>
      </c>
      <c r="L139" s="2">
        <v>2</v>
      </c>
      <c r="M139" s="2">
        <v>3</v>
      </c>
      <c r="N139" s="7">
        <f t="shared" si="13"/>
        <v>-20.560524979989378</v>
      </c>
      <c r="O139" s="7">
        <f t="shared" si="14"/>
        <v>-6.8535083266631256</v>
      </c>
    </row>
    <row r="140" spans="1:15" x14ac:dyDescent="0.25">
      <c r="A140" s="1" t="s">
        <v>107</v>
      </c>
      <c r="B140" s="24">
        <v>-274.95034820834297</v>
      </c>
      <c r="E140" s="16" t="s">
        <v>210</v>
      </c>
      <c r="F140" s="7">
        <f t="shared" si="10"/>
        <v>-936.67911293372197</v>
      </c>
      <c r="G140" s="7">
        <f t="shared" si="11"/>
        <v>-40.621399977003186</v>
      </c>
      <c r="H140" s="1" t="s">
        <v>209</v>
      </c>
      <c r="I140" s="24">
        <v>-260.57090548048399</v>
      </c>
      <c r="J140" s="7">
        <f t="shared" si="12"/>
        <v>-11.300299993602604</v>
      </c>
      <c r="L140" s="2">
        <v>1</v>
      </c>
      <c r="M140" s="2">
        <v>3</v>
      </c>
      <c r="N140" s="7">
        <f t="shared" si="13"/>
        <v>-14.534999983400581</v>
      </c>
      <c r="O140" s="7">
        <f t="shared" si="14"/>
        <v>-4.8449999944668605</v>
      </c>
    </row>
    <row r="141" spans="1:15" x14ac:dyDescent="0.25">
      <c r="A141" s="1" t="s">
        <v>109</v>
      </c>
      <c r="B141" s="24">
        <v>-409.19460572567698</v>
      </c>
      <c r="E141" s="16" t="s">
        <v>207</v>
      </c>
      <c r="F141" s="7">
        <f t="shared" si="10"/>
        <v>-2635.29206034249</v>
      </c>
      <c r="G141" s="7">
        <f t="shared" si="11"/>
        <v>-114.28593993529965</v>
      </c>
      <c r="H141" s="1" t="s">
        <v>209</v>
      </c>
      <c r="I141" s="24">
        <v>-260.57090548048399</v>
      </c>
      <c r="J141" s="7">
        <f t="shared" si="12"/>
        <v>-11.300299993602604</v>
      </c>
      <c r="L141" s="2">
        <v>3</v>
      </c>
      <c r="M141" s="2">
        <v>8</v>
      </c>
      <c r="N141" s="7">
        <f t="shared" si="13"/>
        <v>-40.955439954491844</v>
      </c>
      <c r="O141" s="7">
        <f t="shared" si="14"/>
        <v>-5.1194299943114805</v>
      </c>
    </row>
    <row r="142" spans="1:15" x14ac:dyDescent="0.25">
      <c r="A142" s="1" t="s">
        <v>109</v>
      </c>
      <c r="B142" s="24">
        <v>-409.19460572567698</v>
      </c>
      <c r="E142" s="16" t="s">
        <v>208</v>
      </c>
      <c r="F142" s="7">
        <f t="shared" si="10"/>
        <v>-749.25549411832696</v>
      </c>
      <c r="G142" s="7">
        <f t="shared" si="11"/>
        <v>-32.49331248160469</v>
      </c>
      <c r="H142" s="1" t="s">
        <v>209</v>
      </c>
      <c r="I142" s="24">
        <v>-260.57090548048399</v>
      </c>
      <c r="J142" s="7">
        <f t="shared" si="12"/>
        <v>-11.300299993602604</v>
      </c>
      <c r="L142" s="2">
        <v>1</v>
      </c>
      <c r="M142" s="2">
        <v>2</v>
      </c>
      <c r="N142" s="7">
        <f t="shared" si="13"/>
        <v>-11.335612488002086</v>
      </c>
      <c r="O142" s="7">
        <f t="shared" si="14"/>
        <v>-5.667806244001043</v>
      </c>
    </row>
    <row r="143" spans="1:15" x14ac:dyDescent="0.25">
      <c r="A143" s="1" t="s">
        <v>110</v>
      </c>
      <c r="B143" s="24">
        <v>-320.613610610492</v>
      </c>
      <c r="E143" s="16" t="s">
        <v>215</v>
      </c>
      <c r="F143" s="7">
        <f t="shared" si="10"/>
        <v>-1972.1546359695101</v>
      </c>
      <c r="G143" s="7">
        <f t="shared" si="11"/>
        <v>-85.527349951580661</v>
      </c>
      <c r="H143" s="1" t="s">
        <v>212</v>
      </c>
      <c r="I143" s="24">
        <v>-209.525728497382</v>
      </c>
      <c r="J143" s="7">
        <f t="shared" si="12"/>
        <v>-9.0865999948558382</v>
      </c>
      <c r="L143" s="2">
        <v>3</v>
      </c>
      <c r="M143" s="2">
        <v>7</v>
      </c>
      <c r="N143" s="7">
        <f t="shared" si="13"/>
        <v>-23.766649967013144</v>
      </c>
      <c r="O143" s="7">
        <f t="shared" si="14"/>
        <v>-3.3952357095733063</v>
      </c>
    </row>
    <row r="144" spans="1:15" x14ac:dyDescent="0.25">
      <c r="A144" s="1" t="s">
        <v>110</v>
      </c>
      <c r="B144" s="24">
        <v>-320.613610610492</v>
      </c>
      <c r="E144" s="16" t="s">
        <v>214</v>
      </c>
      <c r="F144" s="7">
        <f t="shared" si="10"/>
        <v>-1662.64843004473</v>
      </c>
      <c r="G144" s="7">
        <f t="shared" si="11"/>
        <v>-72.104849959179504</v>
      </c>
      <c r="H144" s="1" t="s">
        <v>212</v>
      </c>
      <c r="I144" s="24">
        <v>-209.525728497382</v>
      </c>
      <c r="J144" s="7">
        <f t="shared" si="12"/>
        <v>-9.0865999948558382</v>
      </c>
      <c r="L144" s="2">
        <v>3</v>
      </c>
      <c r="M144" s="2">
        <v>5</v>
      </c>
      <c r="N144" s="7">
        <f t="shared" si="13"/>
        <v>-20.201549974611989</v>
      </c>
      <c r="O144" s="7">
        <f t="shared" si="14"/>
        <v>-4.0403099949223975</v>
      </c>
    </row>
    <row r="145" spans="1:15" x14ac:dyDescent="0.25">
      <c r="A145" s="1" t="s">
        <v>110</v>
      </c>
      <c r="B145" s="24">
        <v>-320.613610610492</v>
      </c>
      <c r="E145" s="16" t="s">
        <v>213</v>
      </c>
      <c r="F145" s="7">
        <f t="shared" si="10"/>
        <v>-1359.5191241943401</v>
      </c>
      <c r="G145" s="7">
        <f t="shared" si="11"/>
        <v>-58.9588999666218</v>
      </c>
      <c r="H145" s="1" t="s">
        <v>212</v>
      </c>
      <c r="I145" s="24">
        <v>-209.525728497382</v>
      </c>
      <c r="J145" s="7">
        <f t="shared" si="12"/>
        <v>-9.0865999948558382</v>
      </c>
      <c r="L145" s="2">
        <v>2</v>
      </c>
      <c r="M145" s="2">
        <v>5</v>
      </c>
      <c r="N145" s="7">
        <f t="shared" si="13"/>
        <v>-16.142199976910124</v>
      </c>
      <c r="O145" s="7">
        <f t="shared" si="14"/>
        <v>-3.2284399953820246</v>
      </c>
    </row>
    <row r="146" spans="1:15" x14ac:dyDescent="0.25">
      <c r="A146" s="1" t="s">
        <v>111</v>
      </c>
      <c r="B146" s="24">
        <v>-1534.0658667295199</v>
      </c>
      <c r="E146" s="16" t="s">
        <v>216</v>
      </c>
      <c r="F146" s="7">
        <f t="shared" si="10"/>
        <v>-608.99107475923404</v>
      </c>
      <c r="G146" s="7">
        <f t="shared" si="11"/>
        <v>-26.410399985048375</v>
      </c>
      <c r="H146" s="1" t="s">
        <v>212</v>
      </c>
      <c r="I146" s="24">
        <v>-209.525728497382</v>
      </c>
      <c r="J146" s="7">
        <f t="shared" si="12"/>
        <v>-9.0865999948558382</v>
      </c>
      <c r="L146" s="2">
        <v>1</v>
      </c>
      <c r="M146" s="2">
        <v>2</v>
      </c>
      <c r="N146" s="7">
        <f t="shared" si="13"/>
        <v>-7.4663999901925369</v>
      </c>
      <c r="O146" s="7">
        <f t="shared" si="14"/>
        <v>-3.7331999950962684</v>
      </c>
    </row>
    <row r="147" spans="1:15" x14ac:dyDescent="0.25">
      <c r="A147" s="1" t="s">
        <v>111</v>
      </c>
      <c r="B147" s="24">
        <v>-1534.0658667295199</v>
      </c>
      <c r="E147" s="16" t="s">
        <v>211</v>
      </c>
      <c r="F147" s="7">
        <f t="shared" si="10"/>
        <v>-1052.2369356703</v>
      </c>
      <c r="G147" s="7">
        <f t="shared" si="11"/>
        <v>-45.632849974166</v>
      </c>
      <c r="H147" s="1" t="s">
        <v>212</v>
      </c>
      <c r="I147" s="24">
        <v>-209.525728497382</v>
      </c>
      <c r="J147" s="7">
        <f t="shared" si="12"/>
        <v>-9.0865999948558382</v>
      </c>
      <c r="L147" s="2">
        <v>2</v>
      </c>
      <c r="M147" s="2">
        <v>3</v>
      </c>
      <c r="N147" s="7">
        <f t="shared" si="13"/>
        <v>-12.673549984454322</v>
      </c>
      <c r="O147" s="7">
        <f t="shared" si="14"/>
        <v>-4.224516661484774</v>
      </c>
    </row>
    <row r="148" spans="1:15" x14ac:dyDescent="0.25">
      <c r="A148" s="1" t="s">
        <v>111</v>
      </c>
      <c r="B148" s="24">
        <v>-1534.0658667295199</v>
      </c>
      <c r="E148" s="16" t="s">
        <v>217</v>
      </c>
      <c r="F148" s="7">
        <f t="shared" si="10"/>
        <v>-14279.469168060001</v>
      </c>
      <c r="G148" s="7">
        <f t="shared" si="11"/>
        <v>-619.26439964941744</v>
      </c>
      <c r="H148" s="1" t="s">
        <v>219</v>
      </c>
      <c r="I148" s="24">
        <v>-298.83230592682298</v>
      </c>
      <c r="J148" s="7">
        <f t="shared" si="12"/>
        <v>-12.959599992663222</v>
      </c>
      <c r="L148" s="2">
        <v>18</v>
      </c>
      <c r="M148" s="2">
        <v>49</v>
      </c>
      <c r="N148" s="7">
        <f t="shared" si="13"/>
        <v>-144.48529978147945</v>
      </c>
      <c r="O148" s="7">
        <f t="shared" si="14"/>
        <v>-2.9486795873771317</v>
      </c>
    </row>
    <row r="149" spans="1:15" x14ac:dyDescent="0.25">
      <c r="A149" s="1" t="s">
        <v>113</v>
      </c>
      <c r="B149" s="24">
        <v>-452.820242370313</v>
      </c>
      <c r="E149" s="16" t="s">
        <v>220</v>
      </c>
      <c r="F149" s="7">
        <f t="shared" si="10"/>
        <v>-841.67241003550703</v>
      </c>
      <c r="G149" s="7">
        <f t="shared" si="11"/>
        <v>-36.501199979335709</v>
      </c>
      <c r="H149" s="1" t="s">
        <v>219</v>
      </c>
      <c r="I149" s="24">
        <v>-298.83230592682298</v>
      </c>
      <c r="J149" s="7">
        <f t="shared" si="12"/>
        <v>-12.959599992663222</v>
      </c>
      <c r="L149" s="2">
        <v>1</v>
      </c>
      <c r="M149" s="2">
        <v>3</v>
      </c>
      <c r="N149" s="7">
        <f t="shared" si="13"/>
        <v>-8.7554999866724863</v>
      </c>
      <c r="O149" s="7">
        <f t="shared" si="14"/>
        <v>-2.9184999955574953</v>
      </c>
    </row>
    <row r="150" spans="1:15" x14ac:dyDescent="0.25">
      <c r="A150" s="1" t="s">
        <v>112</v>
      </c>
      <c r="B150" s="24">
        <v>-662.30811607005</v>
      </c>
      <c r="E150" s="16" t="s">
        <v>218</v>
      </c>
      <c r="F150" s="7">
        <f t="shared" si="10"/>
        <v>-667.01440898338603</v>
      </c>
      <c r="G150" s="7">
        <f t="shared" si="11"/>
        <v>-28.926724983623838</v>
      </c>
      <c r="H150" s="1" t="s">
        <v>219</v>
      </c>
      <c r="I150" s="24">
        <v>-298.83230592682298</v>
      </c>
      <c r="J150" s="7">
        <f t="shared" si="12"/>
        <v>-12.959599992663222</v>
      </c>
      <c r="L150" s="2">
        <v>1</v>
      </c>
      <c r="M150" s="2">
        <v>2</v>
      </c>
      <c r="N150" s="7">
        <f t="shared" si="13"/>
        <v>-6.1097249909606166</v>
      </c>
      <c r="O150" s="7">
        <f t="shared" si="14"/>
        <v>-3.0548624954803083</v>
      </c>
    </row>
    <row r="151" spans="1:15" x14ac:dyDescent="0.25">
      <c r="A151" s="1" t="s">
        <v>112</v>
      </c>
      <c r="B151" s="24">
        <v>-662.30811607005</v>
      </c>
      <c r="E151" s="16" t="s">
        <v>221</v>
      </c>
      <c r="F151" s="7">
        <f t="shared" si="10"/>
        <v>-1099.2825707336599</v>
      </c>
      <c r="G151" s="7">
        <f t="shared" si="11"/>
        <v>-47.673099973010686</v>
      </c>
      <c r="H151" s="1" t="s">
        <v>222</v>
      </c>
      <c r="I151" s="24">
        <v>-149.130224339573</v>
      </c>
      <c r="J151" s="7">
        <f t="shared" si="12"/>
        <v>-6.4673999963386155</v>
      </c>
      <c r="L151" s="2">
        <v>2</v>
      </c>
      <c r="M151" s="2">
        <v>3</v>
      </c>
      <c r="N151" s="7">
        <f t="shared" si="13"/>
        <v>-19.95219998033345</v>
      </c>
      <c r="O151" s="7">
        <f t="shared" si="14"/>
        <v>-6.650733326777817</v>
      </c>
    </row>
    <row r="152" spans="1:15" x14ac:dyDescent="0.25">
      <c r="A152" s="1" t="s">
        <v>115</v>
      </c>
      <c r="B152" s="24">
        <v>-999.21331708032005</v>
      </c>
      <c r="E152" s="16" t="s">
        <v>223</v>
      </c>
      <c r="F152" s="7">
        <f t="shared" si="10"/>
        <v>-317.33234906435001</v>
      </c>
      <c r="G152" s="7">
        <f t="shared" si="11"/>
        <v>-13.761899992209036</v>
      </c>
      <c r="H152" s="1" t="s">
        <v>224</v>
      </c>
      <c r="I152" s="24">
        <v>-35.252232268042803</v>
      </c>
      <c r="J152" s="7">
        <f t="shared" si="12"/>
        <v>-1.5287999991345069</v>
      </c>
      <c r="L152" s="2">
        <v>1</v>
      </c>
      <c r="M152" s="2">
        <v>1</v>
      </c>
      <c r="N152" s="7">
        <f t="shared" si="13"/>
        <v>-7.3043999930745285</v>
      </c>
      <c r="O152" s="7">
        <f t="shared" si="14"/>
        <v>-7.3043999930745285</v>
      </c>
    </row>
    <row r="153" spans="1:15" x14ac:dyDescent="0.25">
      <c r="A153" s="1" t="s">
        <v>117</v>
      </c>
      <c r="B153" s="24">
        <v>-987.859183662747</v>
      </c>
      <c r="E153" s="16" t="s">
        <v>225</v>
      </c>
      <c r="F153" s="7">
        <f t="shared" si="10"/>
        <v>-226.042718276031</v>
      </c>
      <c r="G153" s="7">
        <f t="shared" si="11"/>
        <v>-9.8028999944503088</v>
      </c>
      <c r="H153" s="1" t="s">
        <v>226</v>
      </c>
      <c r="I153" s="24">
        <v>-29.350342649384</v>
      </c>
      <c r="J153" s="7">
        <f t="shared" si="12"/>
        <v>-1.2728499992794062</v>
      </c>
      <c r="L153" s="2">
        <v>1</v>
      </c>
      <c r="M153" s="2">
        <v>1</v>
      </c>
      <c r="N153" s="7">
        <f t="shared" si="13"/>
        <v>-3.601349995170902</v>
      </c>
      <c r="O153" s="7">
        <f t="shared" si="14"/>
        <v>-3.601349995170902</v>
      </c>
    </row>
    <row r="154" spans="1:15" x14ac:dyDescent="0.25">
      <c r="A154" s="1" t="s">
        <v>117</v>
      </c>
      <c r="B154" s="24">
        <v>-987.859183662747</v>
      </c>
      <c r="E154" s="16" t="s">
        <v>229</v>
      </c>
      <c r="F154" s="7">
        <f t="shared" si="10"/>
        <v>-689.87716951044297</v>
      </c>
      <c r="G154" s="7">
        <f t="shared" si="11"/>
        <v>-29.918224983062533</v>
      </c>
      <c r="H154" s="1" t="s">
        <v>228</v>
      </c>
      <c r="I154" s="24">
        <v>-197.09475098841901</v>
      </c>
      <c r="J154" s="7">
        <f t="shared" si="12"/>
        <v>-8.5474999951610151</v>
      </c>
      <c r="L154" s="2">
        <v>1</v>
      </c>
      <c r="M154" s="2">
        <v>2</v>
      </c>
      <c r="N154" s="7">
        <f t="shared" si="13"/>
        <v>-11.513324987901518</v>
      </c>
      <c r="O154" s="7">
        <f t="shared" si="14"/>
        <v>-5.7566624939507589</v>
      </c>
    </row>
    <row r="155" spans="1:15" x14ac:dyDescent="0.25">
      <c r="A155" s="1" t="s">
        <v>118</v>
      </c>
      <c r="B155" s="24">
        <v>-290.10571820976298</v>
      </c>
      <c r="E155" s="16" t="s">
        <v>227</v>
      </c>
      <c r="F155" s="7">
        <f t="shared" si="10"/>
        <v>-848.24473310078702</v>
      </c>
      <c r="G155" s="7">
        <f t="shared" si="11"/>
        <v>-36.786224979174378</v>
      </c>
      <c r="H155" s="1" t="s">
        <v>228</v>
      </c>
      <c r="I155" s="24">
        <v>-197.09475098841901</v>
      </c>
      <c r="J155" s="7">
        <f t="shared" si="12"/>
        <v>-8.5474999951610151</v>
      </c>
      <c r="L155" s="2">
        <v>3</v>
      </c>
      <c r="M155" s="2">
        <v>1</v>
      </c>
      <c r="N155" s="7">
        <f t="shared" si="13"/>
        <v>-6.2150249936913324</v>
      </c>
      <c r="O155" s="7">
        <f t="shared" si="14"/>
        <v>-6.2150249936913324</v>
      </c>
    </row>
    <row r="156" spans="1:15" x14ac:dyDescent="0.25">
      <c r="A156" s="1" t="s">
        <v>120</v>
      </c>
      <c r="B156" s="24">
        <v>-775.53066288895195</v>
      </c>
      <c r="E156" s="16"/>
    </row>
    <row r="157" spans="1:15" x14ac:dyDescent="0.25">
      <c r="A157" s="1" t="s">
        <v>122</v>
      </c>
      <c r="B157" s="24">
        <v>-580.50658854736002</v>
      </c>
      <c r="E157" s="16"/>
    </row>
    <row r="158" spans="1:15" x14ac:dyDescent="0.25">
      <c r="A158" s="1" t="s">
        <v>124</v>
      </c>
      <c r="B158" s="24">
        <v>-892.34288216882203</v>
      </c>
      <c r="E158" s="16"/>
    </row>
    <row r="159" spans="1:15" x14ac:dyDescent="0.25">
      <c r="A159" s="1" t="s">
        <v>124</v>
      </c>
      <c r="B159" s="24">
        <v>-892.34288216882203</v>
      </c>
      <c r="E159" s="16"/>
    </row>
    <row r="160" spans="1:15" x14ac:dyDescent="0.25">
      <c r="A160" s="1" t="s">
        <v>125</v>
      </c>
      <c r="B160" s="24">
        <v>-1215.04446349613</v>
      </c>
      <c r="E160" s="16"/>
    </row>
    <row r="161" spans="1:5" x14ac:dyDescent="0.25">
      <c r="A161" s="1" t="s">
        <v>127</v>
      </c>
      <c r="B161" s="24">
        <v>-727.10496104036702</v>
      </c>
      <c r="E161" s="16"/>
    </row>
    <row r="162" spans="1:5" x14ac:dyDescent="0.25">
      <c r="A162" s="1" t="s">
        <v>129</v>
      </c>
      <c r="B162" s="24">
        <v>-847.41865302425401</v>
      </c>
      <c r="E162" s="16"/>
    </row>
    <row r="163" spans="1:5" x14ac:dyDescent="0.25">
      <c r="A163" s="1" t="s">
        <v>129</v>
      </c>
      <c r="B163" s="24">
        <v>-847.41865302425401</v>
      </c>
      <c r="E163" s="16"/>
    </row>
    <row r="164" spans="1:5" x14ac:dyDescent="0.25">
      <c r="A164" s="1" t="s">
        <v>130</v>
      </c>
      <c r="B164" s="24">
        <v>-948.04189338628896</v>
      </c>
      <c r="E164" s="16"/>
    </row>
    <row r="165" spans="1:5" x14ac:dyDescent="0.25">
      <c r="A165" s="1" t="s">
        <v>130</v>
      </c>
      <c r="B165" s="24">
        <v>-948.04189338628896</v>
      </c>
      <c r="E165" s="16"/>
    </row>
    <row r="166" spans="1:5" x14ac:dyDescent="0.25">
      <c r="A166" s="1" t="s">
        <v>131</v>
      </c>
      <c r="B166" s="24">
        <v>-267.79218852214598</v>
      </c>
      <c r="E166" s="16"/>
    </row>
    <row r="167" spans="1:5" x14ac:dyDescent="0.25">
      <c r="A167" s="1" t="s">
        <v>133</v>
      </c>
      <c r="B167" s="24">
        <v>-404.37109744907502</v>
      </c>
      <c r="E167" s="16"/>
    </row>
    <row r="168" spans="1:5" x14ac:dyDescent="0.25">
      <c r="A168" s="1" t="s">
        <v>133</v>
      </c>
      <c r="B168" s="24">
        <v>-404.37109744907502</v>
      </c>
      <c r="E168" s="16"/>
    </row>
    <row r="169" spans="1:5" x14ac:dyDescent="0.25">
      <c r="A169" s="1" t="s">
        <v>133</v>
      </c>
      <c r="B169" s="24">
        <v>-404.37109744907502</v>
      </c>
      <c r="E169" s="16"/>
    </row>
    <row r="170" spans="1:5" x14ac:dyDescent="0.25">
      <c r="A170" s="1" t="s">
        <v>134</v>
      </c>
      <c r="B170" s="24">
        <v>-270.14259675106501</v>
      </c>
      <c r="E170" s="16"/>
    </row>
    <row r="171" spans="1:5" x14ac:dyDescent="0.25">
      <c r="A171" s="1" t="s">
        <v>136</v>
      </c>
      <c r="B171" s="24">
        <v>-398.32393764249798</v>
      </c>
      <c r="E171" s="16"/>
    </row>
    <row r="172" spans="1:5" x14ac:dyDescent="0.25">
      <c r="A172" s="1" t="s">
        <v>136</v>
      </c>
      <c r="B172" s="24">
        <v>-398.32393764249798</v>
      </c>
      <c r="E172" s="16"/>
    </row>
    <row r="173" spans="1:5" x14ac:dyDescent="0.25">
      <c r="A173" s="1" t="s">
        <v>137</v>
      </c>
      <c r="B173" s="24">
        <v>-1004.68890787372</v>
      </c>
      <c r="E173" s="16"/>
    </row>
    <row r="174" spans="1:5" x14ac:dyDescent="0.25">
      <c r="A174" s="1" t="s">
        <v>139</v>
      </c>
      <c r="B174" s="24">
        <v>-994.44101846652097</v>
      </c>
      <c r="E174" s="16"/>
    </row>
    <row r="175" spans="1:5" x14ac:dyDescent="0.25">
      <c r="A175" s="1" t="s">
        <v>141</v>
      </c>
      <c r="B175" s="24">
        <v>-1010.67697960783</v>
      </c>
      <c r="E175" s="16"/>
    </row>
    <row r="176" spans="1:5" x14ac:dyDescent="0.25">
      <c r="A176" s="1" t="s">
        <v>143</v>
      </c>
      <c r="B176" s="24">
        <v>-432.318314553253</v>
      </c>
      <c r="E176" s="16"/>
    </row>
    <row r="177" spans="1:5" x14ac:dyDescent="0.25">
      <c r="A177" s="1" t="s">
        <v>143</v>
      </c>
      <c r="B177" s="24">
        <v>-432.318314553253</v>
      </c>
      <c r="E177" s="16"/>
    </row>
    <row r="178" spans="1:5" x14ac:dyDescent="0.25">
      <c r="A178" s="1" t="s">
        <v>144</v>
      </c>
      <c r="B178" s="24">
        <v>-1400.3847233467</v>
      </c>
      <c r="E178" s="16"/>
    </row>
    <row r="179" spans="1:5" x14ac:dyDescent="0.25">
      <c r="A179" s="1" t="s">
        <v>146</v>
      </c>
      <c r="B179" s="24">
        <v>-808.74450077414895</v>
      </c>
      <c r="E179" s="16"/>
    </row>
    <row r="180" spans="1:5" x14ac:dyDescent="0.25">
      <c r="A180" s="1" t="s">
        <v>146</v>
      </c>
      <c r="B180" s="24">
        <v>-808.74450077414895</v>
      </c>
      <c r="E180" s="16"/>
    </row>
    <row r="181" spans="1:5" x14ac:dyDescent="0.25">
      <c r="A181" s="1" t="s">
        <v>147</v>
      </c>
      <c r="B181" s="24">
        <v>-238.03788522124</v>
      </c>
      <c r="E181" s="16"/>
    </row>
    <row r="182" spans="1:5" x14ac:dyDescent="0.25">
      <c r="A182" s="1" t="s">
        <v>147</v>
      </c>
      <c r="B182" s="24">
        <v>-238.03788522124</v>
      </c>
      <c r="E182" s="16"/>
    </row>
    <row r="183" spans="1:5" x14ac:dyDescent="0.25">
      <c r="A183" s="1" t="s">
        <v>150</v>
      </c>
      <c r="B183" s="24">
        <v>-386.56397004915601</v>
      </c>
      <c r="E183" s="16"/>
    </row>
    <row r="184" spans="1:5" x14ac:dyDescent="0.25">
      <c r="A184" s="1" t="s">
        <v>150</v>
      </c>
      <c r="B184" s="24">
        <v>-386.56397004915601</v>
      </c>
      <c r="E184" s="16"/>
    </row>
    <row r="185" spans="1:5" x14ac:dyDescent="0.25">
      <c r="A185" s="1" t="s">
        <v>150</v>
      </c>
      <c r="B185" s="24">
        <v>-386.56397004915601</v>
      </c>
      <c r="E185" s="16"/>
    </row>
    <row r="186" spans="1:5" x14ac:dyDescent="0.25">
      <c r="A186" s="1" t="s">
        <v>148</v>
      </c>
      <c r="B186" s="24">
        <v>-599.07465502684795</v>
      </c>
      <c r="E186" s="16"/>
    </row>
    <row r="187" spans="1:5" x14ac:dyDescent="0.25">
      <c r="A187" s="1" t="s">
        <v>151</v>
      </c>
      <c r="B187" s="24">
        <v>-316.85733860861899</v>
      </c>
      <c r="E187" s="16"/>
    </row>
    <row r="188" spans="1:5" x14ac:dyDescent="0.25">
      <c r="A188" s="1" t="s">
        <v>151</v>
      </c>
      <c r="B188" s="24">
        <v>-316.85733860861899</v>
      </c>
      <c r="E188" s="16"/>
    </row>
    <row r="189" spans="1:5" x14ac:dyDescent="0.25">
      <c r="A189" s="1" t="s">
        <v>151</v>
      </c>
      <c r="B189" s="24">
        <v>-316.85733860861899</v>
      </c>
      <c r="E189" s="16"/>
    </row>
    <row r="190" spans="1:5" x14ac:dyDescent="0.25">
      <c r="A190" s="1" t="s">
        <v>151</v>
      </c>
      <c r="B190" s="24">
        <v>-316.85733860861899</v>
      </c>
      <c r="E190" s="16"/>
    </row>
    <row r="191" spans="1:5" x14ac:dyDescent="0.25">
      <c r="A191" s="1" t="s">
        <v>152</v>
      </c>
      <c r="B191" s="24">
        <v>-1795.538081491</v>
      </c>
      <c r="E191" s="16"/>
    </row>
    <row r="192" spans="1:5" x14ac:dyDescent="0.25">
      <c r="A192" s="1" t="s">
        <v>152</v>
      </c>
      <c r="B192" s="24">
        <v>-1795.538081491</v>
      </c>
      <c r="E192" s="16"/>
    </row>
    <row r="193" spans="1:5" x14ac:dyDescent="0.25">
      <c r="A193" s="1" t="s">
        <v>153</v>
      </c>
      <c r="B193" s="24">
        <v>-827.09927372375796</v>
      </c>
      <c r="E193" s="16"/>
    </row>
    <row r="194" spans="1:5" x14ac:dyDescent="0.25">
      <c r="A194" s="1" t="s">
        <v>155</v>
      </c>
      <c r="B194" s="24">
        <v>-482.72706976071601</v>
      </c>
      <c r="E194" s="16"/>
    </row>
    <row r="195" spans="1:5" x14ac:dyDescent="0.25">
      <c r="A195" s="1" t="s">
        <v>157</v>
      </c>
      <c r="B195" s="24">
        <v>-543.17215025249595</v>
      </c>
      <c r="E195" s="16"/>
    </row>
    <row r="196" spans="1:5" x14ac:dyDescent="0.25">
      <c r="A196" s="1" t="s">
        <v>159</v>
      </c>
      <c r="B196" s="24">
        <v>-807.66131552376203</v>
      </c>
      <c r="E196" s="16"/>
    </row>
    <row r="197" spans="1:5" x14ac:dyDescent="0.25">
      <c r="A197" s="1" t="s">
        <v>159</v>
      </c>
      <c r="B197" s="24">
        <v>-807.66131552376203</v>
      </c>
      <c r="E197" s="16"/>
    </row>
    <row r="198" spans="1:5" x14ac:dyDescent="0.25">
      <c r="A198" s="1" t="s">
        <v>160</v>
      </c>
      <c r="B198" s="24">
        <v>-735.45799684563804</v>
      </c>
      <c r="E198" s="16"/>
    </row>
    <row r="199" spans="1:5" x14ac:dyDescent="0.25">
      <c r="A199" s="1" t="s">
        <v>162</v>
      </c>
      <c r="B199" s="24">
        <v>-1044.3854278947399</v>
      </c>
      <c r="E199" s="16"/>
    </row>
    <row r="200" spans="1:5" x14ac:dyDescent="0.25">
      <c r="A200" s="1" t="s">
        <v>162</v>
      </c>
      <c r="B200" s="24">
        <v>-1044.3854278947399</v>
      </c>
      <c r="E200" s="16"/>
    </row>
    <row r="201" spans="1:5" x14ac:dyDescent="0.25">
      <c r="A201" s="1" t="s">
        <v>162</v>
      </c>
      <c r="B201" s="24">
        <v>-1044.3854278947399</v>
      </c>
      <c r="E201" s="16"/>
    </row>
    <row r="202" spans="1:5" x14ac:dyDescent="0.25">
      <c r="A202" s="1" t="s">
        <v>163</v>
      </c>
      <c r="B202" s="24">
        <v>-451.079786382132</v>
      </c>
      <c r="E202" s="16"/>
    </row>
    <row r="203" spans="1:5" x14ac:dyDescent="0.25">
      <c r="A203" s="1" t="s">
        <v>163</v>
      </c>
      <c r="B203" s="24">
        <v>-451.079786382132</v>
      </c>
      <c r="E203" s="16"/>
    </row>
    <row r="204" spans="1:5" x14ac:dyDescent="0.25">
      <c r="A204" s="1" t="s">
        <v>164</v>
      </c>
      <c r="B204" s="24">
        <v>-1092.9238294327599</v>
      </c>
      <c r="E204" s="16"/>
    </row>
    <row r="205" spans="1:5" x14ac:dyDescent="0.25">
      <c r="A205" s="1" t="s">
        <v>166</v>
      </c>
      <c r="B205" s="24">
        <v>-897.056669179153</v>
      </c>
      <c r="E205" s="16"/>
    </row>
    <row r="206" spans="1:5" x14ac:dyDescent="0.25">
      <c r="A206" s="1" t="s">
        <v>166</v>
      </c>
      <c r="B206" s="24">
        <v>-897.056669179153</v>
      </c>
      <c r="E206" s="16"/>
    </row>
    <row r="207" spans="1:5" x14ac:dyDescent="0.25">
      <c r="A207" s="1" t="s">
        <v>167</v>
      </c>
      <c r="B207" s="24">
        <v>-388.82026971387899</v>
      </c>
      <c r="E207" s="16"/>
    </row>
    <row r="208" spans="1:5" x14ac:dyDescent="0.25">
      <c r="A208" s="1" t="s">
        <v>169</v>
      </c>
      <c r="B208" s="24">
        <v>-579.94078422417999</v>
      </c>
      <c r="E208" s="16"/>
    </row>
    <row r="209" spans="1:5" x14ac:dyDescent="0.25">
      <c r="A209" s="1" t="s">
        <v>171</v>
      </c>
      <c r="B209" s="24">
        <v>-1006.19868018386</v>
      </c>
      <c r="E209" s="16"/>
    </row>
    <row r="210" spans="1:5" x14ac:dyDescent="0.25">
      <c r="A210" s="1" t="s">
        <v>173</v>
      </c>
      <c r="B210" s="24">
        <v>-1595.8206847885599</v>
      </c>
      <c r="E210" s="16"/>
    </row>
    <row r="211" spans="1:5" x14ac:dyDescent="0.25">
      <c r="A211" s="1" t="s">
        <v>173</v>
      </c>
      <c r="B211" s="24">
        <v>-1595.8206847885599</v>
      </c>
      <c r="E211" s="16"/>
    </row>
    <row r="212" spans="1:5" x14ac:dyDescent="0.25">
      <c r="A212" s="1" t="s">
        <v>174</v>
      </c>
      <c r="B212" s="24">
        <v>-282.08472854830399</v>
      </c>
      <c r="E212" s="16"/>
    </row>
    <row r="213" spans="1:5" x14ac:dyDescent="0.25">
      <c r="A213" s="1" t="s">
        <v>176</v>
      </c>
      <c r="B213" s="24">
        <v>-467.05518353558801</v>
      </c>
      <c r="E213" s="16"/>
    </row>
    <row r="214" spans="1:5" x14ac:dyDescent="0.25">
      <c r="A214" s="1" t="s">
        <v>176</v>
      </c>
      <c r="B214" s="24">
        <v>-467.05518353558801</v>
      </c>
      <c r="E214" s="16"/>
    </row>
    <row r="215" spans="1:5" x14ac:dyDescent="0.25">
      <c r="A215" s="1" t="s">
        <v>176</v>
      </c>
      <c r="B215" s="24">
        <v>-467.05518353558801</v>
      </c>
      <c r="E215" s="16"/>
    </row>
    <row r="216" spans="1:5" x14ac:dyDescent="0.25">
      <c r="A216" s="1" t="s">
        <v>177</v>
      </c>
      <c r="B216" s="24">
        <v>-295.31123327681598</v>
      </c>
      <c r="E216" s="16"/>
    </row>
    <row r="217" spans="1:5" x14ac:dyDescent="0.25">
      <c r="A217" s="1" t="s">
        <v>179</v>
      </c>
      <c r="B217" s="24">
        <v>-419.12985677871899</v>
      </c>
      <c r="E217" s="16"/>
    </row>
    <row r="218" spans="1:5" x14ac:dyDescent="0.25">
      <c r="A218" s="1" t="s">
        <v>179</v>
      </c>
      <c r="B218" s="24">
        <v>-419.12985677871899</v>
      </c>
      <c r="E218" s="16"/>
    </row>
    <row r="219" spans="1:5" x14ac:dyDescent="0.25">
      <c r="A219" s="1" t="s">
        <v>180</v>
      </c>
      <c r="B219" s="24">
        <v>-1657.31032710775</v>
      </c>
      <c r="E219" s="16"/>
    </row>
    <row r="220" spans="1:5" x14ac:dyDescent="0.25">
      <c r="A220" s="1" t="s">
        <v>182</v>
      </c>
      <c r="B220" s="24">
        <v>-1016.33386990162</v>
      </c>
      <c r="E220" s="16"/>
    </row>
    <row r="221" spans="1:5" x14ac:dyDescent="0.25">
      <c r="A221" s="1" t="s">
        <v>184</v>
      </c>
      <c r="B221" s="24">
        <v>-1651.6223074879699</v>
      </c>
      <c r="E221" s="16"/>
    </row>
    <row r="222" spans="1:5" x14ac:dyDescent="0.25">
      <c r="A222" s="1" t="s">
        <v>184</v>
      </c>
      <c r="B222" s="24">
        <v>-1651.6223074879699</v>
      </c>
      <c r="E222" s="16"/>
    </row>
    <row r="223" spans="1:5" x14ac:dyDescent="0.25">
      <c r="A223" s="1" t="s">
        <v>185</v>
      </c>
      <c r="B223" s="24">
        <v>-597.898081798514</v>
      </c>
      <c r="E223" s="16"/>
    </row>
    <row r="224" spans="1:5" x14ac:dyDescent="0.25">
      <c r="A224" s="1" t="s">
        <v>187</v>
      </c>
      <c r="B224" s="24">
        <v>-945.41031240277903</v>
      </c>
      <c r="E224" s="16"/>
    </row>
    <row r="225" spans="1:5" x14ac:dyDescent="0.25">
      <c r="A225" s="1" t="s">
        <v>187</v>
      </c>
      <c r="B225" s="24">
        <v>-945.41031240277903</v>
      </c>
      <c r="E225" s="16"/>
    </row>
    <row r="226" spans="1:5" x14ac:dyDescent="0.25">
      <c r="A226" s="1" t="s">
        <v>188</v>
      </c>
      <c r="B226" s="24">
        <v>-404.484085373011</v>
      </c>
      <c r="E226" s="16"/>
    </row>
    <row r="227" spans="1:5" x14ac:dyDescent="0.25">
      <c r="A227" s="1" t="s">
        <v>190</v>
      </c>
      <c r="B227" s="24">
        <v>-539.24178461272095</v>
      </c>
      <c r="E227" s="16"/>
    </row>
    <row r="228" spans="1:5" x14ac:dyDescent="0.25">
      <c r="A228" s="1" t="s">
        <v>190</v>
      </c>
      <c r="B228" s="24">
        <v>-539.24178461272095</v>
      </c>
      <c r="E228" s="16"/>
    </row>
    <row r="229" spans="1:5" x14ac:dyDescent="0.25">
      <c r="A229" s="1" t="s">
        <v>190</v>
      </c>
      <c r="B229" s="24">
        <v>-539.24178461272095</v>
      </c>
      <c r="E229" s="16"/>
    </row>
    <row r="230" spans="1:5" x14ac:dyDescent="0.25">
      <c r="A230" s="1" t="s">
        <v>191</v>
      </c>
      <c r="B230" s="24">
        <v>-701.97091265459596</v>
      </c>
      <c r="E230" s="16"/>
    </row>
    <row r="231" spans="1:5" x14ac:dyDescent="0.25">
      <c r="A231" s="1" t="s">
        <v>193</v>
      </c>
      <c r="B231" s="24">
        <v>-619.34906974537</v>
      </c>
      <c r="E231" s="16"/>
    </row>
    <row r="232" spans="1:5" x14ac:dyDescent="0.25">
      <c r="A232" s="1" t="s">
        <v>193</v>
      </c>
      <c r="B232" s="24">
        <v>-619.34906974537</v>
      </c>
      <c r="E232" s="16"/>
    </row>
    <row r="233" spans="1:5" x14ac:dyDescent="0.25">
      <c r="A233" s="1" t="s">
        <v>193</v>
      </c>
      <c r="B233" s="24">
        <v>-619.34906974537</v>
      </c>
      <c r="E233" s="16"/>
    </row>
    <row r="234" spans="1:5" x14ac:dyDescent="0.25">
      <c r="A234" s="1" t="s">
        <v>197</v>
      </c>
      <c r="B234" s="24">
        <v>-1088.2627893358999</v>
      </c>
      <c r="E234" s="16"/>
    </row>
    <row r="235" spans="1:5" x14ac:dyDescent="0.25">
      <c r="A235" s="1" t="s">
        <v>197</v>
      </c>
      <c r="B235" s="24">
        <v>-1088.2627893358999</v>
      </c>
      <c r="E235" s="16"/>
    </row>
    <row r="236" spans="1:5" x14ac:dyDescent="0.25">
      <c r="A236" s="1" t="s">
        <v>197</v>
      </c>
      <c r="B236" s="24">
        <v>-1088.2627893358999</v>
      </c>
      <c r="E236" s="16"/>
    </row>
    <row r="237" spans="1:5" x14ac:dyDescent="0.25">
      <c r="A237" s="1" t="s">
        <v>197</v>
      </c>
      <c r="B237" s="24">
        <v>-1088.2627893358999</v>
      </c>
      <c r="E237" s="16"/>
    </row>
    <row r="238" spans="1:5" x14ac:dyDescent="0.25">
      <c r="A238" s="1" t="s">
        <v>197</v>
      </c>
      <c r="B238" s="24">
        <v>-1088.2627893358999</v>
      </c>
      <c r="E238" s="16"/>
    </row>
    <row r="239" spans="1:5" x14ac:dyDescent="0.25">
      <c r="A239" s="1" t="s">
        <v>195</v>
      </c>
      <c r="B239" s="24">
        <v>-805.45343925501197</v>
      </c>
      <c r="E239" s="16"/>
    </row>
    <row r="240" spans="1:5" x14ac:dyDescent="0.25">
      <c r="A240" s="1" t="s">
        <v>195</v>
      </c>
      <c r="B240" s="24">
        <v>-805.45343925501197</v>
      </c>
      <c r="E240" s="16"/>
    </row>
    <row r="241" spans="1:5" x14ac:dyDescent="0.25">
      <c r="A241" s="1" t="s">
        <v>199</v>
      </c>
      <c r="B241" s="24">
        <v>-1742.7222799753999</v>
      </c>
      <c r="E241" s="16"/>
    </row>
    <row r="242" spans="1:5" x14ac:dyDescent="0.25">
      <c r="A242" s="1" t="s">
        <v>199</v>
      </c>
      <c r="B242" s="24">
        <v>-1742.7222799753999</v>
      </c>
      <c r="E242" s="16"/>
    </row>
    <row r="243" spans="1:5" x14ac:dyDescent="0.25">
      <c r="A243" s="1" t="s">
        <v>199</v>
      </c>
      <c r="B243" s="24">
        <v>-1742.7222799753999</v>
      </c>
      <c r="E243" s="16"/>
    </row>
    <row r="244" spans="1:5" x14ac:dyDescent="0.25">
      <c r="A244" s="1" t="s">
        <v>199</v>
      </c>
      <c r="B244" s="24">
        <v>-1742.7222799753999</v>
      </c>
      <c r="E244" s="16"/>
    </row>
    <row r="245" spans="1:5" x14ac:dyDescent="0.25">
      <c r="A245" s="1" t="s">
        <v>199</v>
      </c>
      <c r="B245" s="24">
        <v>-1742.7222799753999</v>
      </c>
      <c r="E245" s="16"/>
    </row>
    <row r="246" spans="1:5" x14ac:dyDescent="0.25">
      <c r="A246" s="1" t="s">
        <v>199</v>
      </c>
      <c r="B246" s="24">
        <v>-1742.7222799753999</v>
      </c>
      <c r="E246" s="16"/>
    </row>
    <row r="247" spans="1:5" x14ac:dyDescent="0.25">
      <c r="A247" s="1" t="s">
        <v>194</v>
      </c>
      <c r="B247" s="24">
        <v>-1354.6894669150699</v>
      </c>
      <c r="E247" s="16"/>
    </row>
    <row r="248" spans="1:5" x14ac:dyDescent="0.25">
      <c r="A248" s="1" t="s">
        <v>198</v>
      </c>
      <c r="B248" s="24">
        <v>-430.60005262155897</v>
      </c>
      <c r="E248" s="16"/>
    </row>
    <row r="249" spans="1:5" x14ac:dyDescent="0.25">
      <c r="A249" s="1" t="s">
        <v>198</v>
      </c>
      <c r="B249" s="24">
        <v>-430.60005262155897</v>
      </c>
      <c r="E249" s="16"/>
    </row>
    <row r="250" spans="1:5" x14ac:dyDescent="0.25">
      <c r="A250" s="1" t="s">
        <v>198</v>
      </c>
      <c r="B250" s="24">
        <v>-430.60005262155897</v>
      </c>
      <c r="E250" s="16"/>
    </row>
    <row r="251" spans="1:5" x14ac:dyDescent="0.25">
      <c r="A251" s="1" t="s">
        <v>198</v>
      </c>
      <c r="B251" s="24">
        <v>-430.60005262155897</v>
      </c>
      <c r="E251" s="16"/>
    </row>
    <row r="252" spans="1:5" x14ac:dyDescent="0.25">
      <c r="A252" s="1" t="s">
        <v>200</v>
      </c>
      <c r="B252" s="24">
        <v>-653.13188253324495</v>
      </c>
      <c r="E252" s="16"/>
    </row>
    <row r="253" spans="1:5" x14ac:dyDescent="0.25">
      <c r="A253" s="1" t="s">
        <v>200</v>
      </c>
      <c r="B253" s="24">
        <v>-653.13188253324495</v>
      </c>
      <c r="E253" s="16"/>
    </row>
    <row r="254" spans="1:5" x14ac:dyDescent="0.25">
      <c r="A254" s="1" t="s">
        <v>200</v>
      </c>
      <c r="B254" s="24">
        <v>-653.13188253324495</v>
      </c>
      <c r="E254" s="16"/>
    </row>
    <row r="255" spans="1:5" x14ac:dyDescent="0.25">
      <c r="A255" s="1" t="s">
        <v>200</v>
      </c>
      <c r="B255" s="24">
        <v>-653.13188253324495</v>
      </c>
      <c r="E255" s="16"/>
    </row>
    <row r="256" spans="1:5" x14ac:dyDescent="0.25">
      <c r="A256" s="1" t="s">
        <v>200</v>
      </c>
      <c r="B256" s="24">
        <v>-653.13188253324495</v>
      </c>
      <c r="E256" s="16"/>
    </row>
    <row r="257" spans="1:5" x14ac:dyDescent="0.25">
      <c r="A257" s="1" t="s">
        <v>200</v>
      </c>
      <c r="B257" s="24">
        <v>-653.13188253324495</v>
      </c>
      <c r="E257" s="16"/>
    </row>
    <row r="258" spans="1:5" x14ac:dyDescent="0.25">
      <c r="A258" s="1" t="s">
        <v>200</v>
      </c>
      <c r="B258" s="24">
        <v>-653.13188253324495</v>
      </c>
      <c r="E258" s="16"/>
    </row>
    <row r="259" spans="1:5" x14ac:dyDescent="0.25">
      <c r="A259" s="1" t="s">
        <v>201</v>
      </c>
      <c r="B259" s="24">
        <v>-279.93219330352298</v>
      </c>
      <c r="E259" s="16"/>
    </row>
    <row r="260" spans="1:5" x14ac:dyDescent="0.25">
      <c r="A260" s="1" t="s">
        <v>203</v>
      </c>
      <c r="B260" s="24">
        <v>-579.75112592328799</v>
      </c>
      <c r="E260" s="16"/>
    </row>
    <row r="261" spans="1:5" x14ac:dyDescent="0.25">
      <c r="A261" s="1" t="s">
        <v>203</v>
      </c>
      <c r="B261" s="24">
        <v>-579.75112592328799</v>
      </c>
      <c r="E261" s="16"/>
    </row>
    <row r="262" spans="1:5" x14ac:dyDescent="0.25">
      <c r="A262" s="1" t="s">
        <v>203</v>
      </c>
      <c r="B262" s="24">
        <v>-579.75112592328799</v>
      </c>
      <c r="E262" s="16"/>
    </row>
    <row r="263" spans="1:5" x14ac:dyDescent="0.25">
      <c r="A263" s="1" t="s">
        <v>204</v>
      </c>
      <c r="B263" s="24">
        <v>-712.47187195265099</v>
      </c>
      <c r="E263" s="16"/>
    </row>
    <row r="264" spans="1:5" x14ac:dyDescent="0.25">
      <c r="A264" s="1" t="s">
        <v>204</v>
      </c>
      <c r="B264" s="24">
        <v>-712.47187195265099</v>
      </c>
      <c r="E264" s="16"/>
    </row>
    <row r="265" spans="1:5" x14ac:dyDescent="0.25">
      <c r="A265" s="1" t="s">
        <v>205</v>
      </c>
      <c r="B265" s="24">
        <v>-1021.57282017066</v>
      </c>
      <c r="E265" s="16"/>
    </row>
    <row r="266" spans="1:5" x14ac:dyDescent="0.25">
      <c r="A266" s="1" t="s">
        <v>207</v>
      </c>
      <c r="B266" s="24">
        <v>-2635.29206034249</v>
      </c>
      <c r="E266" s="16"/>
    </row>
    <row r="267" spans="1:5" x14ac:dyDescent="0.25">
      <c r="A267" s="1" t="s">
        <v>207</v>
      </c>
      <c r="B267" s="24">
        <v>-2635.29206034249</v>
      </c>
      <c r="E267" s="16"/>
    </row>
    <row r="268" spans="1:5" x14ac:dyDescent="0.25">
      <c r="A268" s="1" t="s">
        <v>208</v>
      </c>
      <c r="B268" s="24">
        <v>-749.25549411832696</v>
      </c>
      <c r="E268" s="16"/>
    </row>
    <row r="269" spans="1:5" x14ac:dyDescent="0.25">
      <c r="A269" s="1" t="s">
        <v>210</v>
      </c>
      <c r="B269" s="24">
        <v>-936.67911293372197</v>
      </c>
      <c r="E269" s="16"/>
    </row>
    <row r="270" spans="1:5" x14ac:dyDescent="0.25">
      <c r="A270" s="1" t="s">
        <v>210</v>
      </c>
      <c r="B270" s="24">
        <v>-936.67911293372197</v>
      </c>
      <c r="E270" s="16"/>
    </row>
    <row r="271" spans="1:5" x14ac:dyDescent="0.25">
      <c r="A271" s="1" t="s">
        <v>210</v>
      </c>
      <c r="B271" s="24">
        <v>-936.67911293372197</v>
      </c>
      <c r="E271" s="16"/>
    </row>
    <row r="272" spans="1:5" x14ac:dyDescent="0.25">
      <c r="A272" s="1" t="s">
        <v>211</v>
      </c>
      <c r="B272" s="24">
        <v>-1052.2369356703</v>
      </c>
      <c r="E272" s="16"/>
    </row>
    <row r="273" spans="1:5" x14ac:dyDescent="0.25">
      <c r="A273" s="1" t="s">
        <v>213</v>
      </c>
      <c r="B273" s="24">
        <v>-1359.5191241943401</v>
      </c>
      <c r="E273" s="16"/>
    </row>
    <row r="274" spans="1:5" x14ac:dyDescent="0.25">
      <c r="A274" s="1" t="s">
        <v>213</v>
      </c>
      <c r="B274" s="24">
        <v>-1359.5191241943401</v>
      </c>
      <c r="E274" s="16"/>
    </row>
    <row r="275" spans="1:5" x14ac:dyDescent="0.25">
      <c r="A275" s="1" t="s">
        <v>213</v>
      </c>
      <c r="B275" s="24">
        <v>-1359.5191241943401</v>
      </c>
      <c r="E275" s="16"/>
    </row>
    <row r="276" spans="1:5" x14ac:dyDescent="0.25">
      <c r="A276" s="1" t="s">
        <v>213</v>
      </c>
      <c r="B276" s="24">
        <v>-1359.5191241943401</v>
      </c>
      <c r="E276" s="16"/>
    </row>
    <row r="277" spans="1:5" x14ac:dyDescent="0.25">
      <c r="A277" s="1" t="s">
        <v>213</v>
      </c>
      <c r="B277" s="24">
        <v>-1359.5191241943401</v>
      </c>
      <c r="E277" s="16"/>
    </row>
    <row r="278" spans="1:5" x14ac:dyDescent="0.25">
      <c r="A278" s="1" t="s">
        <v>214</v>
      </c>
      <c r="B278" s="24">
        <v>-1662.64843004473</v>
      </c>
      <c r="E278" s="16"/>
    </row>
    <row r="279" spans="1:5" x14ac:dyDescent="0.25">
      <c r="A279" s="1" t="s">
        <v>214</v>
      </c>
      <c r="B279" s="24">
        <v>-1662.64843004473</v>
      </c>
      <c r="E279" s="16"/>
    </row>
    <row r="280" spans="1:5" x14ac:dyDescent="0.25">
      <c r="A280" s="1" t="s">
        <v>215</v>
      </c>
      <c r="B280" s="24">
        <v>-1972.1546359695101</v>
      </c>
      <c r="E280" s="16"/>
    </row>
    <row r="281" spans="1:5" x14ac:dyDescent="0.25">
      <c r="A281" s="1" t="s">
        <v>215</v>
      </c>
      <c r="B281" s="24">
        <v>-1972.1546359695101</v>
      </c>
      <c r="E281" s="16"/>
    </row>
    <row r="282" spans="1:5" x14ac:dyDescent="0.25">
      <c r="A282" s="1" t="s">
        <v>215</v>
      </c>
      <c r="B282" s="24">
        <v>-1972.1546359695101</v>
      </c>
      <c r="E282" s="16"/>
    </row>
    <row r="283" spans="1:5" x14ac:dyDescent="0.25">
      <c r="A283" s="1" t="s">
        <v>215</v>
      </c>
      <c r="B283" s="24">
        <v>-1972.1546359695101</v>
      </c>
      <c r="E283" s="16"/>
    </row>
    <row r="284" spans="1:5" x14ac:dyDescent="0.25">
      <c r="A284" s="1" t="s">
        <v>216</v>
      </c>
      <c r="B284" s="24">
        <v>-608.99107475923404</v>
      </c>
      <c r="E284" s="16"/>
    </row>
    <row r="285" spans="1:5" x14ac:dyDescent="0.25">
      <c r="A285" s="1" t="s">
        <v>216</v>
      </c>
      <c r="B285" s="24">
        <v>-608.99107475923404</v>
      </c>
      <c r="E285" s="16"/>
    </row>
    <row r="286" spans="1:5" x14ac:dyDescent="0.25">
      <c r="A286" s="1" t="s">
        <v>216</v>
      </c>
      <c r="B286" s="24">
        <v>-608.99107475923404</v>
      </c>
      <c r="E286" s="16"/>
    </row>
    <row r="287" spans="1:5" x14ac:dyDescent="0.25">
      <c r="A287" s="1" t="s">
        <v>217</v>
      </c>
      <c r="B287" s="24">
        <v>-14279.469168060001</v>
      </c>
      <c r="E287" s="16"/>
    </row>
    <row r="288" spans="1:5" x14ac:dyDescent="0.25">
      <c r="A288" s="1" t="s">
        <v>217</v>
      </c>
      <c r="B288" s="24">
        <v>-14279.469168060001</v>
      </c>
      <c r="E288" s="16"/>
    </row>
    <row r="289" spans="1:5" x14ac:dyDescent="0.25">
      <c r="A289" s="1" t="s">
        <v>218</v>
      </c>
      <c r="B289" s="24">
        <v>-667.01440898338603</v>
      </c>
      <c r="E289" s="16"/>
    </row>
    <row r="290" spans="1:5" x14ac:dyDescent="0.25">
      <c r="A290" s="1" t="s">
        <v>220</v>
      </c>
      <c r="B290" s="24">
        <v>-841.67241003550703</v>
      </c>
      <c r="E290" s="16"/>
    </row>
    <row r="291" spans="1:5" x14ac:dyDescent="0.25">
      <c r="A291" s="1" t="s">
        <v>220</v>
      </c>
      <c r="B291" s="24">
        <v>-841.67241003550703</v>
      </c>
      <c r="E291" s="16"/>
    </row>
    <row r="292" spans="1:5" x14ac:dyDescent="0.25">
      <c r="A292" s="1" t="s">
        <v>220</v>
      </c>
      <c r="B292" s="24">
        <v>-841.67241003550703</v>
      </c>
      <c r="E292" s="16"/>
    </row>
    <row r="293" spans="1:5" x14ac:dyDescent="0.25">
      <c r="A293" s="1" t="s">
        <v>221</v>
      </c>
      <c r="B293" s="24">
        <v>-1099.2825707336599</v>
      </c>
      <c r="E293" s="16"/>
    </row>
    <row r="294" spans="1:5" x14ac:dyDescent="0.25">
      <c r="A294" s="1" t="s">
        <v>223</v>
      </c>
      <c r="B294" s="24">
        <v>-317.33234906435001</v>
      </c>
      <c r="E294" s="16"/>
    </row>
    <row r="295" spans="1:5" x14ac:dyDescent="0.25">
      <c r="A295" s="1" t="s">
        <v>225</v>
      </c>
      <c r="B295" s="24">
        <v>-226.042718276031</v>
      </c>
      <c r="E295" s="16"/>
    </row>
    <row r="296" spans="1:5" x14ac:dyDescent="0.25">
      <c r="A296" s="1" t="s">
        <v>227</v>
      </c>
      <c r="B296" s="24">
        <v>-848.24473310078702</v>
      </c>
      <c r="E296" s="16"/>
    </row>
    <row r="297" spans="1:5" x14ac:dyDescent="0.25">
      <c r="A297" s="1" t="s">
        <v>229</v>
      </c>
      <c r="B297" s="24">
        <v>-689.87716951044297</v>
      </c>
      <c r="E297" s="16"/>
    </row>
    <row r="298" spans="1:5" x14ac:dyDescent="0.25">
      <c r="A298" s="1" t="s">
        <v>229</v>
      </c>
      <c r="B298" s="24">
        <v>-689.87716951044297</v>
      </c>
      <c r="E298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0254-5CEC-4CFA-8812-D61E5E995C32}">
  <dimension ref="A1:F41"/>
  <sheetViews>
    <sheetView topLeftCell="A10" workbookViewId="0">
      <selection activeCell="C32" sqref="C32"/>
    </sheetView>
  </sheetViews>
  <sheetFormatPr defaultRowHeight="15" x14ac:dyDescent="0.25"/>
  <cols>
    <col min="1" max="1" width="9.140625" style="45"/>
    <col min="2" max="2" width="40" style="45" customWidth="1"/>
    <col min="3" max="3" width="32.28515625" style="44" customWidth="1"/>
    <col min="4" max="4" width="41.42578125" style="43" customWidth="1"/>
    <col min="5" max="5" width="45.5703125" style="43" customWidth="1"/>
    <col min="6" max="6" width="54" style="43" customWidth="1"/>
    <col min="7" max="11" width="9.140625" style="45"/>
    <col min="12" max="12" width="24.140625" style="45" customWidth="1"/>
    <col min="13" max="16384" width="9.140625" style="45"/>
  </cols>
  <sheetData>
    <row r="1" spans="1:6" ht="15.75" thickBot="1" x14ac:dyDescent="0.3">
      <c r="A1" s="51" t="s">
        <v>569</v>
      </c>
      <c r="B1" s="52" t="s">
        <v>570</v>
      </c>
      <c r="C1" s="53" t="s">
        <v>571</v>
      </c>
      <c r="D1" s="100" t="s">
        <v>590</v>
      </c>
      <c r="E1" s="47" t="s">
        <v>593</v>
      </c>
      <c r="F1" s="46" t="s">
        <v>600</v>
      </c>
    </row>
    <row r="2" spans="1:6" x14ac:dyDescent="0.25">
      <c r="A2" s="163" t="s">
        <v>460</v>
      </c>
      <c r="B2" s="165" t="s">
        <v>337</v>
      </c>
      <c r="C2" s="167">
        <v>3.3904109706261301E-2</v>
      </c>
      <c r="D2" s="127">
        <v>3.0308439874054298</v>
      </c>
      <c r="E2" s="145" t="s">
        <v>326</v>
      </c>
      <c r="F2" s="172" t="s">
        <v>595</v>
      </c>
    </row>
    <row r="3" spans="1:6" ht="15.75" thickBot="1" x14ac:dyDescent="0.3">
      <c r="A3" s="164"/>
      <c r="B3" s="166"/>
      <c r="C3" s="168"/>
      <c r="D3" s="129">
        <v>3.3239820074054398</v>
      </c>
      <c r="E3" s="146"/>
      <c r="F3" s="172"/>
    </row>
    <row r="4" spans="1:6" x14ac:dyDescent="0.25">
      <c r="A4" s="163" t="s">
        <v>468</v>
      </c>
      <c r="B4" s="125">
        <v>100</v>
      </c>
      <c r="C4" s="126">
        <v>6.3377620032820797E-2</v>
      </c>
      <c r="D4" s="130">
        <v>1.91862856740539</v>
      </c>
      <c r="E4" s="145" t="s">
        <v>326</v>
      </c>
      <c r="F4" s="172" t="s">
        <v>594</v>
      </c>
    </row>
    <row r="5" spans="1:6" x14ac:dyDescent="0.25">
      <c r="A5" s="169"/>
      <c r="B5" s="131" t="s">
        <v>576</v>
      </c>
      <c r="C5" s="132">
        <v>0.32205517697242098</v>
      </c>
      <c r="D5" s="133">
        <v>2.5098057874054498</v>
      </c>
      <c r="E5" s="147"/>
      <c r="F5" s="172"/>
    </row>
    <row r="6" spans="1:6" ht="15.75" thickBot="1" x14ac:dyDescent="0.3">
      <c r="A6" s="164"/>
      <c r="B6" s="111" t="s">
        <v>577</v>
      </c>
      <c r="C6" s="112">
        <v>0.269542600903181</v>
      </c>
      <c r="D6" s="129">
        <v>-1.12009968259455</v>
      </c>
      <c r="E6" s="146"/>
      <c r="F6" s="172"/>
    </row>
    <row r="7" spans="1:6" x14ac:dyDescent="0.25">
      <c r="A7" s="170" t="s">
        <v>469</v>
      </c>
      <c r="B7" s="54" t="s">
        <v>578</v>
      </c>
      <c r="C7" s="55">
        <v>5.5445421405581598E-2</v>
      </c>
      <c r="D7" s="56">
        <v>2.3577677274054101</v>
      </c>
      <c r="E7" s="148" t="s">
        <v>601</v>
      </c>
      <c r="F7" s="172"/>
    </row>
    <row r="8" spans="1:6" ht="41.25" customHeight="1" thickBot="1" x14ac:dyDescent="0.3">
      <c r="A8" s="171"/>
      <c r="B8" s="57" t="s">
        <v>579</v>
      </c>
      <c r="C8" s="58">
        <v>0.244539410765303</v>
      </c>
      <c r="D8" s="59">
        <v>-3.8362542594540999E-2</v>
      </c>
      <c r="E8" s="149"/>
      <c r="F8" s="172"/>
    </row>
    <row r="9" spans="1:6" x14ac:dyDescent="0.25">
      <c r="A9" s="141" t="s">
        <v>470</v>
      </c>
      <c r="B9" s="125">
        <v>100</v>
      </c>
      <c r="C9" s="126">
        <v>0.13227137270485201</v>
      </c>
      <c r="D9" s="127">
        <v>0.57635066740544905</v>
      </c>
      <c r="E9" s="150" t="s">
        <v>327</v>
      </c>
      <c r="F9" s="172"/>
    </row>
    <row r="10" spans="1:6" x14ac:dyDescent="0.25">
      <c r="A10" s="155"/>
      <c r="B10" s="48" t="s">
        <v>576</v>
      </c>
      <c r="C10" s="49">
        <v>0.57080615585029004</v>
      </c>
      <c r="D10" s="62">
        <v>1.83464093740545</v>
      </c>
      <c r="E10" s="151"/>
      <c r="F10" s="172"/>
    </row>
    <row r="11" spans="1:6" ht="15.75" thickBot="1" x14ac:dyDescent="0.3">
      <c r="A11" s="142"/>
      <c r="B11" s="63" t="s">
        <v>577</v>
      </c>
      <c r="C11" s="64">
        <v>0.15876409968765501</v>
      </c>
      <c r="D11" s="65">
        <v>-0.54624473259457296</v>
      </c>
      <c r="E11" s="152"/>
      <c r="F11" s="172"/>
    </row>
    <row r="12" spans="1:6" x14ac:dyDescent="0.25">
      <c r="A12" s="156" t="s">
        <v>471</v>
      </c>
      <c r="B12" s="66" t="s">
        <v>580</v>
      </c>
      <c r="C12" s="55">
        <v>0.23859638425782301</v>
      </c>
      <c r="D12" s="67">
        <v>4.0221599874054101</v>
      </c>
      <c r="E12" s="150" t="s">
        <v>327</v>
      </c>
      <c r="F12" s="173"/>
    </row>
    <row r="13" spans="1:6" ht="15.75" thickBot="1" x14ac:dyDescent="0.3">
      <c r="A13" s="157"/>
      <c r="B13" s="71" t="s">
        <v>581</v>
      </c>
      <c r="C13" s="50">
        <v>0.37717382066015598</v>
      </c>
      <c r="D13" s="72">
        <v>-3.2670075425946798</v>
      </c>
      <c r="E13" s="152"/>
      <c r="F13" s="173"/>
    </row>
    <row r="14" spans="1:6" x14ac:dyDescent="0.25">
      <c r="A14" s="158" t="s">
        <v>472</v>
      </c>
      <c r="B14" s="114" t="s">
        <v>582</v>
      </c>
      <c r="C14" s="115">
        <v>0.15602959110056999</v>
      </c>
      <c r="D14" s="116">
        <v>1.6800129474054299</v>
      </c>
      <c r="E14" s="150" t="s">
        <v>327</v>
      </c>
      <c r="F14" s="173"/>
    </row>
    <row r="15" spans="1:6" ht="15.75" thickBot="1" x14ac:dyDescent="0.3">
      <c r="A15" s="159"/>
      <c r="B15" s="111" t="s">
        <v>583</v>
      </c>
      <c r="C15" s="112">
        <v>0.136699803612056</v>
      </c>
      <c r="D15" s="113">
        <v>1.8519125174054201</v>
      </c>
      <c r="E15" s="152"/>
      <c r="F15" s="173"/>
    </row>
    <row r="16" spans="1:6" x14ac:dyDescent="0.25">
      <c r="A16" s="143" t="s">
        <v>473</v>
      </c>
      <c r="B16" s="54">
        <v>110</v>
      </c>
      <c r="C16" s="55">
        <v>0.17338531265295301</v>
      </c>
      <c r="D16" s="56">
        <v>3.6845018674054302</v>
      </c>
      <c r="E16" s="150" t="s">
        <v>327</v>
      </c>
      <c r="F16" s="172"/>
    </row>
    <row r="17" spans="1:6" x14ac:dyDescent="0.25">
      <c r="A17" s="160"/>
      <c r="B17" s="48" t="s">
        <v>576</v>
      </c>
      <c r="C17" s="49">
        <v>0.560067840147913</v>
      </c>
      <c r="D17" s="62" t="s">
        <v>304</v>
      </c>
      <c r="E17" s="151"/>
      <c r="F17" s="172"/>
    </row>
    <row r="18" spans="1:6" ht="15.75" thickBot="1" x14ac:dyDescent="0.3">
      <c r="A18" s="144"/>
      <c r="B18" s="73" t="s">
        <v>577</v>
      </c>
      <c r="C18" s="74">
        <v>-6.5601907175453396E-3</v>
      </c>
      <c r="D18" s="75">
        <v>2.5016611374053901</v>
      </c>
      <c r="E18" s="152"/>
      <c r="F18" s="172"/>
    </row>
    <row r="19" spans="1:6" ht="15.75" thickBot="1" x14ac:dyDescent="0.3">
      <c r="A19" s="120" t="s">
        <v>474</v>
      </c>
      <c r="B19" s="121" t="s">
        <v>584</v>
      </c>
      <c r="C19" s="122">
        <v>0.124803014354723</v>
      </c>
      <c r="D19" s="128">
        <v>2.7846094374053698</v>
      </c>
      <c r="E19" s="108" t="s">
        <v>326</v>
      </c>
      <c r="F19" s="97" t="s">
        <v>596</v>
      </c>
    </row>
    <row r="20" spans="1:6" x14ac:dyDescent="0.25">
      <c r="A20" s="161" t="s">
        <v>475</v>
      </c>
      <c r="B20" s="54">
        <v>100</v>
      </c>
      <c r="C20" s="55">
        <v>0.38926066175920798</v>
      </c>
      <c r="D20" s="56">
        <v>2.5408861074054099</v>
      </c>
      <c r="E20" s="153" t="s">
        <v>327</v>
      </c>
      <c r="F20" s="172"/>
    </row>
    <row r="21" spans="1:6" ht="15.75" thickBot="1" x14ac:dyDescent="0.3">
      <c r="A21" s="162"/>
      <c r="B21" s="117">
        <v>111</v>
      </c>
      <c r="C21" s="118">
        <v>0.108073993148637</v>
      </c>
      <c r="D21" s="119">
        <v>2.1188442974054098</v>
      </c>
      <c r="E21" s="154"/>
      <c r="F21" s="172"/>
    </row>
    <row r="22" spans="1:6" ht="15.75" thickBot="1" x14ac:dyDescent="0.3">
      <c r="A22" s="78" t="s">
        <v>476</v>
      </c>
      <c r="B22" s="79" t="s">
        <v>339</v>
      </c>
      <c r="C22" s="80">
        <v>0.42132970300595002</v>
      </c>
      <c r="D22" s="101">
        <v>-0.30614277259456901</v>
      </c>
      <c r="E22" s="110" t="s">
        <v>327</v>
      </c>
      <c r="F22" s="98"/>
    </row>
    <row r="23" spans="1:6" x14ac:dyDescent="0.25">
      <c r="A23" s="141" t="s">
        <v>477</v>
      </c>
      <c r="B23" s="81" t="s">
        <v>591</v>
      </c>
      <c r="C23" s="60">
        <v>0.14058912840377499</v>
      </c>
      <c r="D23" s="61">
        <v>1.51702027740543</v>
      </c>
      <c r="E23" s="153" t="s">
        <v>327</v>
      </c>
      <c r="F23" s="173"/>
    </row>
    <row r="24" spans="1:6" ht="15.75" thickBot="1" x14ac:dyDescent="0.3">
      <c r="A24" s="142"/>
      <c r="B24" s="68" t="s">
        <v>592</v>
      </c>
      <c r="C24" s="69">
        <v>5.38402544073283E-2</v>
      </c>
      <c r="D24" s="70">
        <v>2.6014975474054101</v>
      </c>
      <c r="E24" s="154"/>
      <c r="F24" s="173"/>
    </row>
    <row r="25" spans="1:6" ht="15.75" thickBot="1" x14ac:dyDescent="0.3">
      <c r="A25" s="90" t="s">
        <v>478</v>
      </c>
      <c r="B25" s="91">
        <v>100</v>
      </c>
      <c r="C25" s="92">
        <v>8.9729637784239993E-2</v>
      </c>
      <c r="D25" s="102">
        <v>4.4432239374053699</v>
      </c>
      <c r="E25" s="110" t="s">
        <v>327</v>
      </c>
      <c r="F25" s="97"/>
    </row>
    <row r="26" spans="1:6" ht="15.75" thickBot="1" x14ac:dyDescent="0.3">
      <c r="A26" s="120" t="s">
        <v>479</v>
      </c>
      <c r="B26" s="134" t="s">
        <v>585</v>
      </c>
      <c r="C26" s="122">
        <v>0.204857357893384</v>
      </c>
      <c r="D26" s="123">
        <v>3.54274209740549</v>
      </c>
      <c r="E26" s="108" t="s">
        <v>326</v>
      </c>
      <c r="F26" s="98" t="s">
        <v>598</v>
      </c>
    </row>
    <row r="27" spans="1:6" ht="15.75" thickBot="1" x14ac:dyDescent="0.3">
      <c r="A27" s="83" t="s">
        <v>480</v>
      </c>
      <c r="B27" s="84" t="s">
        <v>586</v>
      </c>
      <c r="C27" s="85">
        <v>-0.14093733148086199</v>
      </c>
      <c r="D27" s="104">
        <v>2.7234189674054501</v>
      </c>
      <c r="E27" s="110" t="s">
        <v>327</v>
      </c>
      <c r="F27" s="98"/>
    </row>
    <row r="28" spans="1:6" ht="15.75" thickBot="1" x14ac:dyDescent="0.3">
      <c r="A28" s="124" t="s">
        <v>481</v>
      </c>
      <c r="B28" s="125">
        <v>100</v>
      </c>
      <c r="C28" s="126" t="s">
        <v>304</v>
      </c>
      <c r="D28" s="127" t="s">
        <v>304</v>
      </c>
      <c r="E28" s="109" t="s">
        <v>326</v>
      </c>
      <c r="F28" s="97" t="s">
        <v>599</v>
      </c>
    </row>
    <row r="29" spans="1:6" ht="15.75" thickBot="1" x14ac:dyDescent="0.3">
      <c r="A29" s="120" t="s">
        <v>482</v>
      </c>
      <c r="B29" s="121">
        <v>100</v>
      </c>
      <c r="C29" s="122" t="s">
        <v>304</v>
      </c>
      <c r="D29" s="123" t="s">
        <v>304</v>
      </c>
      <c r="E29" s="108" t="s">
        <v>326</v>
      </c>
      <c r="F29" s="97" t="s">
        <v>599</v>
      </c>
    </row>
    <row r="30" spans="1:6" ht="15.75" thickBot="1" x14ac:dyDescent="0.3">
      <c r="A30" s="86" t="s">
        <v>483</v>
      </c>
      <c r="B30" s="87" t="s">
        <v>574</v>
      </c>
      <c r="C30" s="88">
        <v>6.4521514360412494E-2</v>
      </c>
      <c r="D30" s="103">
        <v>1.5824281774054001</v>
      </c>
      <c r="E30" s="110" t="s">
        <v>327</v>
      </c>
      <c r="F30" s="98"/>
    </row>
    <row r="31" spans="1:6" ht="15.75" thickBot="1" x14ac:dyDescent="0.3">
      <c r="A31" s="76" t="s">
        <v>484</v>
      </c>
      <c r="B31" s="89" t="s">
        <v>575</v>
      </c>
      <c r="C31" s="77">
        <v>2.36465648743483E-2</v>
      </c>
      <c r="D31" s="106">
        <v>-1.0979680625945301</v>
      </c>
      <c r="E31" s="110" t="s">
        <v>327</v>
      </c>
      <c r="F31" s="98"/>
    </row>
    <row r="32" spans="1:6" ht="15.75" thickBot="1" x14ac:dyDescent="0.3">
      <c r="A32" s="51" t="s">
        <v>485</v>
      </c>
      <c r="B32" s="52">
        <v>100</v>
      </c>
      <c r="C32" s="53">
        <v>4.4790606214817202E-2</v>
      </c>
      <c r="D32" s="100">
        <v>2.5795764374054202</v>
      </c>
      <c r="E32" s="110" t="s">
        <v>327</v>
      </c>
      <c r="F32" s="97"/>
    </row>
    <row r="33" spans="1:6" ht="15.75" thickBot="1" x14ac:dyDescent="0.3">
      <c r="A33" s="90" t="s">
        <v>487</v>
      </c>
      <c r="B33" s="91" t="s">
        <v>584</v>
      </c>
      <c r="C33" s="92">
        <v>1.19721945732916E-2</v>
      </c>
      <c r="D33" s="102">
        <v>2.33145475740548</v>
      </c>
      <c r="E33" s="110" t="s">
        <v>327</v>
      </c>
      <c r="F33" s="97"/>
    </row>
    <row r="34" spans="1:6" ht="15.75" thickBot="1" x14ac:dyDescent="0.3">
      <c r="A34" s="51" t="s">
        <v>486</v>
      </c>
      <c r="B34" s="82" t="s">
        <v>572</v>
      </c>
      <c r="C34" s="53">
        <v>-2.4514926757940601E-4</v>
      </c>
      <c r="D34" s="100">
        <v>3.69205014740538</v>
      </c>
      <c r="E34" s="108" t="s">
        <v>326</v>
      </c>
      <c r="F34" s="98" t="s">
        <v>598</v>
      </c>
    </row>
    <row r="35" spans="1:6" ht="15.75" thickBot="1" x14ac:dyDescent="0.3">
      <c r="A35" s="120" t="s">
        <v>488</v>
      </c>
      <c r="B35" s="121">
        <v>100</v>
      </c>
      <c r="C35" s="122">
        <v>6.1160966190277897E-3</v>
      </c>
      <c r="D35" s="123">
        <v>1.9454189574054199</v>
      </c>
      <c r="E35" s="108" t="s">
        <v>326</v>
      </c>
      <c r="F35" s="97" t="s">
        <v>596</v>
      </c>
    </row>
    <row r="36" spans="1:6" ht="15.75" thickBot="1" x14ac:dyDescent="0.3">
      <c r="A36" s="93" t="s">
        <v>489</v>
      </c>
      <c r="B36" s="94" t="s">
        <v>573</v>
      </c>
      <c r="C36" s="95">
        <v>-9.9338640216688701E-2</v>
      </c>
      <c r="D36" s="105">
        <v>1.6440883274053699</v>
      </c>
      <c r="E36" s="110" t="s">
        <v>327</v>
      </c>
      <c r="F36" s="98"/>
    </row>
    <row r="37" spans="1:6" ht="15.75" thickBot="1" x14ac:dyDescent="0.3">
      <c r="A37" s="51" t="s">
        <v>490</v>
      </c>
      <c r="B37" s="82" t="s">
        <v>575</v>
      </c>
      <c r="C37" s="53">
        <v>8.1780585302742098E-2</v>
      </c>
      <c r="D37" s="100">
        <v>2.4371837874053801</v>
      </c>
      <c r="E37" s="110" t="s">
        <v>327</v>
      </c>
      <c r="F37" s="98" t="s">
        <v>597</v>
      </c>
    </row>
    <row r="38" spans="1:6" ht="15.75" thickBot="1" x14ac:dyDescent="0.3">
      <c r="A38" s="83" t="s">
        <v>491</v>
      </c>
      <c r="B38" s="84" t="s">
        <v>575</v>
      </c>
      <c r="C38" s="85">
        <v>-8.0581676791333205E-3</v>
      </c>
      <c r="D38" s="104">
        <v>1.99464387740545</v>
      </c>
      <c r="E38" s="110" t="s">
        <v>327</v>
      </c>
      <c r="F38" s="98"/>
    </row>
    <row r="39" spans="1:6" x14ac:dyDescent="0.25">
      <c r="A39" s="143" t="s">
        <v>492</v>
      </c>
      <c r="B39" s="66" t="s">
        <v>588</v>
      </c>
      <c r="C39" s="55">
        <v>0.11314757691313</v>
      </c>
      <c r="D39" s="67">
        <v>5.2656480574054196</v>
      </c>
      <c r="E39" s="153" t="s">
        <v>327</v>
      </c>
      <c r="F39" s="173"/>
    </row>
    <row r="40" spans="1:6" ht="15.75" thickBot="1" x14ac:dyDescent="0.3">
      <c r="A40" s="144"/>
      <c r="B40" s="96" t="s">
        <v>589</v>
      </c>
      <c r="C40" s="74">
        <v>-0.116880126830938</v>
      </c>
      <c r="D40" s="107">
        <v>2.3158929874053902</v>
      </c>
      <c r="E40" s="154"/>
      <c r="F40" s="173"/>
    </row>
    <row r="41" spans="1:6" ht="15.75" thickBot="1" x14ac:dyDescent="0.3">
      <c r="A41" s="76" t="s">
        <v>493</v>
      </c>
      <c r="B41" s="89" t="s">
        <v>587</v>
      </c>
      <c r="C41" s="77">
        <v>8.3487218640498795E-2</v>
      </c>
      <c r="D41" s="106">
        <v>4.2852767774054401</v>
      </c>
      <c r="E41" s="110" t="s">
        <v>327</v>
      </c>
      <c r="F41" s="99"/>
    </row>
  </sheetData>
  <mergeCells count="32">
    <mergeCell ref="F7:F8"/>
    <mergeCell ref="F4:F6"/>
    <mergeCell ref="F2:F3"/>
    <mergeCell ref="F39:F40"/>
    <mergeCell ref="F9:F11"/>
    <mergeCell ref="F12:F13"/>
    <mergeCell ref="F14:F15"/>
    <mergeCell ref="F16:F18"/>
    <mergeCell ref="F23:F24"/>
    <mergeCell ref="F20:F21"/>
    <mergeCell ref="A20:A21"/>
    <mergeCell ref="A2:A3"/>
    <mergeCell ref="B2:B3"/>
    <mergeCell ref="C2:C3"/>
    <mergeCell ref="A4:A6"/>
    <mergeCell ref="A7:A8"/>
    <mergeCell ref="A23:A24"/>
    <mergeCell ref="A39:A40"/>
    <mergeCell ref="E2:E3"/>
    <mergeCell ref="E4:E6"/>
    <mergeCell ref="E7:E8"/>
    <mergeCell ref="E9:E11"/>
    <mergeCell ref="E12:E13"/>
    <mergeCell ref="E14:E15"/>
    <mergeCell ref="E16:E18"/>
    <mergeCell ref="E20:E21"/>
    <mergeCell ref="E23:E24"/>
    <mergeCell ref="E39:E40"/>
    <mergeCell ref="A9:A11"/>
    <mergeCell ref="A12:A13"/>
    <mergeCell ref="A14:A15"/>
    <mergeCell ref="A16:A18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04C2-276F-4DD2-8CA4-71E542FA2032}">
  <dimension ref="A1:H26"/>
  <sheetViews>
    <sheetView workbookViewId="0">
      <selection activeCell="B1" sqref="B1:F26"/>
    </sheetView>
  </sheetViews>
  <sheetFormatPr defaultRowHeight="12.75" x14ac:dyDescent="0.25"/>
  <cols>
    <col min="1" max="1" width="12.85546875" style="137" customWidth="1"/>
    <col min="2" max="2" width="34.28515625" style="137" customWidth="1"/>
    <col min="3" max="3" width="31.140625" style="137" customWidth="1"/>
    <col min="4" max="4" width="35.85546875" style="138" customWidth="1"/>
    <col min="5" max="5" width="34.85546875" style="138" customWidth="1"/>
    <col min="6" max="6" width="23.5703125" style="137" customWidth="1"/>
    <col min="7" max="7" width="22.5703125" style="137" customWidth="1"/>
    <col min="8" max="8" width="19.42578125" style="137" customWidth="1"/>
    <col min="9" max="16384" width="9.140625" style="137"/>
  </cols>
  <sheetData>
    <row r="1" spans="1:8" x14ac:dyDescent="0.25">
      <c r="A1" s="137" t="s">
        <v>615</v>
      </c>
      <c r="B1" s="137" t="s">
        <v>616</v>
      </c>
      <c r="C1" s="137" t="s">
        <v>619</v>
      </c>
      <c r="D1" s="138" t="s">
        <v>617</v>
      </c>
      <c r="E1" s="138" t="s">
        <v>618</v>
      </c>
      <c r="F1" s="137" t="s">
        <v>631</v>
      </c>
      <c r="G1" s="137" t="s">
        <v>632</v>
      </c>
      <c r="H1" s="137" t="s">
        <v>620</v>
      </c>
    </row>
    <row r="2" spans="1:8" ht="12.75" customHeight="1" x14ac:dyDescent="0.25">
      <c r="A2" s="137" t="s">
        <v>21</v>
      </c>
      <c r="B2" s="138">
        <v>-2.05993110717329</v>
      </c>
      <c r="C2" s="138">
        <v>3.03645521740544</v>
      </c>
      <c r="D2" s="138">
        <v>3.3904109706261301E-2</v>
      </c>
      <c r="E2" s="138">
        <v>3.0308439874054298</v>
      </c>
      <c r="F2" s="137">
        <v>477</v>
      </c>
      <c r="G2" s="137">
        <v>85</v>
      </c>
      <c r="H2" s="137" t="s">
        <v>625</v>
      </c>
    </row>
    <row r="3" spans="1:8" ht="13.5" customHeight="1" x14ac:dyDescent="0.25">
      <c r="A3" s="137" t="s">
        <v>27</v>
      </c>
      <c r="B3" s="138">
        <v>-2.0627486946581599</v>
      </c>
      <c r="C3" s="138">
        <v>3.14684491740543</v>
      </c>
      <c r="D3" s="138">
        <v>0.269542600903181</v>
      </c>
      <c r="E3" s="139">
        <v>-1.12009968259455</v>
      </c>
      <c r="F3" s="137" t="s">
        <v>304</v>
      </c>
    </row>
    <row r="4" spans="1:8" x14ac:dyDescent="0.25">
      <c r="A4" s="137" t="s">
        <v>37</v>
      </c>
      <c r="B4" s="138">
        <v>-0.28635675849167702</v>
      </c>
      <c r="C4" s="138">
        <v>1.9749163874054401</v>
      </c>
      <c r="D4" s="138">
        <v>0.244539410765303</v>
      </c>
      <c r="E4" s="138">
        <v>-3.8362542594540999E-2</v>
      </c>
      <c r="F4" s="137">
        <v>300</v>
      </c>
      <c r="H4" s="137" t="s">
        <v>626</v>
      </c>
    </row>
    <row r="5" spans="1:8" x14ac:dyDescent="0.25">
      <c r="A5" s="137" t="s">
        <v>38</v>
      </c>
      <c r="B5" s="138">
        <v>0.15461536781290999</v>
      </c>
      <c r="C5" s="138">
        <v>3.88271770740544</v>
      </c>
      <c r="D5" s="138">
        <v>0.15876409968765501</v>
      </c>
      <c r="E5" s="139">
        <v>-0.54624473259457296</v>
      </c>
      <c r="F5" s="137">
        <v>400</v>
      </c>
      <c r="H5" s="137" t="s">
        <v>627</v>
      </c>
    </row>
    <row r="6" spans="1:8" x14ac:dyDescent="0.25">
      <c r="A6" s="137" t="s">
        <v>62</v>
      </c>
      <c r="B6" s="138">
        <v>-0.61862350960994095</v>
      </c>
      <c r="C6" s="138">
        <v>3.3027707674054301</v>
      </c>
      <c r="D6" s="138">
        <v>0.37717382066015598</v>
      </c>
      <c r="E6" s="138">
        <v>-3.2670075425946798</v>
      </c>
      <c r="F6" s="2">
        <v>320</v>
      </c>
      <c r="G6" s="137">
        <v>70</v>
      </c>
      <c r="H6" s="137" t="s">
        <v>621</v>
      </c>
    </row>
    <row r="7" spans="1:8" x14ac:dyDescent="0.25">
      <c r="A7" s="137" t="s">
        <v>63</v>
      </c>
      <c r="B7" s="138">
        <v>-0.48480478238550301</v>
      </c>
      <c r="C7" s="138">
        <v>3.0595893874054201</v>
      </c>
      <c r="D7" s="138">
        <v>0.15602959110056999</v>
      </c>
      <c r="E7" s="138">
        <v>1.6800129474054299</v>
      </c>
      <c r="F7" s="2">
        <v>475</v>
      </c>
      <c r="G7" s="137">
        <v>55</v>
      </c>
      <c r="H7" s="137" t="s">
        <v>622</v>
      </c>
    </row>
    <row r="8" spans="1:8" x14ac:dyDescent="0.25">
      <c r="A8" s="137" t="s">
        <v>64</v>
      </c>
      <c r="B8" s="138">
        <v>0.10335720262114099</v>
      </c>
      <c r="C8" s="138">
        <v>4.3747270074054398</v>
      </c>
      <c r="D8" s="138">
        <v>-6.5601907175453396E-3</v>
      </c>
      <c r="E8" s="139">
        <v>2.5016611374053901</v>
      </c>
      <c r="F8" s="2">
        <v>475</v>
      </c>
      <c r="G8" s="137">
        <v>104</v>
      </c>
      <c r="H8" s="137" t="s">
        <v>624</v>
      </c>
    </row>
    <row r="9" spans="1:8" x14ac:dyDescent="0.25">
      <c r="A9" s="137" t="s">
        <v>70</v>
      </c>
      <c r="B9" s="138">
        <v>-2.4285330681078698</v>
      </c>
      <c r="C9" s="138">
        <v>3.0922237174054299</v>
      </c>
      <c r="D9" s="138">
        <v>0.124803014354723</v>
      </c>
      <c r="E9" s="139">
        <v>2.7846094374053698</v>
      </c>
      <c r="F9" s="137" t="s">
        <v>304</v>
      </c>
    </row>
    <row r="10" spans="1:8" x14ac:dyDescent="0.25">
      <c r="A10" s="137" t="s">
        <v>80</v>
      </c>
      <c r="B10" s="138">
        <v>-2.6646097334453098</v>
      </c>
      <c r="C10" s="138" t="s">
        <v>304</v>
      </c>
      <c r="D10" s="138">
        <v>0.108073993148637</v>
      </c>
      <c r="E10" s="139">
        <v>2.1188442974054098</v>
      </c>
      <c r="F10" s="137">
        <v>727</v>
      </c>
    </row>
    <row r="11" spans="1:8" x14ac:dyDescent="0.25">
      <c r="A11" s="137" t="s">
        <v>98</v>
      </c>
      <c r="B11" s="138">
        <v>-1.57324684073997</v>
      </c>
      <c r="C11" s="138">
        <v>2.1743416374054001</v>
      </c>
      <c r="D11" s="138">
        <v>0.42132970300595002</v>
      </c>
      <c r="E11" s="138">
        <v>-0.30614277259456901</v>
      </c>
      <c r="F11" s="137">
        <v>300</v>
      </c>
    </row>
    <row r="12" spans="1:8" x14ac:dyDescent="0.25">
      <c r="A12" s="137" t="s">
        <v>99</v>
      </c>
      <c r="B12" s="138">
        <v>-1.56785432271928</v>
      </c>
      <c r="C12" s="138">
        <v>2.6897796274054402</v>
      </c>
      <c r="D12" s="138">
        <v>0.14058912840377499</v>
      </c>
      <c r="E12" s="138">
        <v>1.51702027740543</v>
      </c>
      <c r="F12" s="137">
        <v>400</v>
      </c>
    </row>
    <row r="13" spans="1:8" x14ac:dyDescent="0.25">
      <c r="A13" s="137" t="s">
        <v>100</v>
      </c>
      <c r="B13" s="138">
        <v>-1.6086314186572299</v>
      </c>
      <c r="C13" s="138">
        <v>4.7865577574054399</v>
      </c>
      <c r="D13" s="138">
        <v>8.9729637784239993E-2</v>
      </c>
      <c r="E13" s="138">
        <v>4.4432239374053699</v>
      </c>
      <c r="F13" s="137">
        <v>1200</v>
      </c>
    </row>
    <row r="14" spans="1:8" x14ac:dyDescent="0.25">
      <c r="A14" s="137" t="s">
        <v>104</v>
      </c>
      <c r="B14" s="138">
        <v>-0.75224628676349903</v>
      </c>
      <c r="C14" s="138">
        <v>4.8136223274054499</v>
      </c>
      <c r="D14" s="138">
        <v>0.204857357893384</v>
      </c>
      <c r="E14" s="138">
        <v>3.54274209740549</v>
      </c>
      <c r="F14" s="137">
        <v>627</v>
      </c>
    </row>
    <row r="15" spans="1:8" x14ac:dyDescent="0.25">
      <c r="A15" s="137" t="s">
        <v>106</v>
      </c>
      <c r="B15" s="138">
        <v>-0.94435939114414502</v>
      </c>
      <c r="C15" s="138">
        <v>3.05283259740545</v>
      </c>
      <c r="D15" s="138">
        <v>-0.14093733148086199</v>
      </c>
      <c r="E15" s="138">
        <v>2.7234189674054501</v>
      </c>
      <c r="F15" s="137">
        <v>377</v>
      </c>
    </row>
    <row r="16" spans="1:8" x14ac:dyDescent="0.25">
      <c r="A16" s="137" t="s">
        <v>160</v>
      </c>
      <c r="B16" s="138">
        <v>-2.2679323080990801</v>
      </c>
      <c r="C16" s="138">
        <v>3.2920384774054399</v>
      </c>
      <c r="D16" s="138">
        <v>6.4521514360412494E-2</v>
      </c>
      <c r="E16" s="138">
        <v>1.5824281774054001</v>
      </c>
      <c r="F16" s="137">
        <v>550</v>
      </c>
      <c r="G16" s="137">
        <v>62.76</v>
      </c>
      <c r="H16" s="137" t="s">
        <v>623</v>
      </c>
    </row>
    <row r="17" spans="1:8" x14ac:dyDescent="0.25">
      <c r="A17" s="137" t="s">
        <v>628</v>
      </c>
      <c r="B17" s="138">
        <v>-2.0928295573006701</v>
      </c>
      <c r="C17" s="138">
        <v>2.3068136074054402</v>
      </c>
      <c r="D17" s="138">
        <v>2.36465648743483E-2</v>
      </c>
      <c r="E17" s="138">
        <v>-1.0979680625945301</v>
      </c>
      <c r="F17" s="137">
        <v>700</v>
      </c>
    </row>
    <row r="18" spans="1:8" x14ac:dyDescent="0.25">
      <c r="A18" s="137" t="s">
        <v>173</v>
      </c>
      <c r="B18" s="138">
        <v>-2.5560708781736401</v>
      </c>
      <c r="C18" s="138">
        <v>3.4109907274054398</v>
      </c>
      <c r="D18" s="138">
        <v>4.4790606214817202E-2</v>
      </c>
      <c r="E18" s="138">
        <v>2.5795764374054202</v>
      </c>
      <c r="F18" s="137" t="s">
        <v>304</v>
      </c>
    </row>
    <row r="19" spans="1:8" x14ac:dyDescent="0.25">
      <c r="A19" s="137" t="s">
        <v>176</v>
      </c>
      <c r="B19" s="138">
        <v>-2.5884871133272802</v>
      </c>
      <c r="C19" s="138">
        <v>3.23383048740543</v>
      </c>
      <c r="D19" s="138">
        <v>1.19721945732916E-2</v>
      </c>
      <c r="E19" s="138">
        <v>2.33145475740548</v>
      </c>
      <c r="F19" s="137">
        <v>600</v>
      </c>
      <c r="G19" s="137">
        <v>62.5</v>
      </c>
      <c r="H19" s="137" t="s">
        <v>629</v>
      </c>
    </row>
    <row r="20" spans="1:8" x14ac:dyDescent="0.25">
      <c r="A20" s="137" t="s">
        <v>174</v>
      </c>
      <c r="B20" s="138">
        <v>-2.4742622903663598</v>
      </c>
      <c r="C20" s="138">
        <v>3.23532651740544</v>
      </c>
      <c r="D20" s="138">
        <v>-2.4514926757940601E-4</v>
      </c>
      <c r="E20" s="138">
        <v>3.69205014740538</v>
      </c>
      <c r="F20" s="137" t="s">
        <v>304</v>
      </c>
      <c r="G20" s="137" t="s">
        <v>630</v>
      </c>
    </row>
    <row r="21" spans="1:8" x14ac:dyDescent="0.25">
      <c r="A21" s="137" t="s">
        <v>188</v>
      </c>
      <c r="B21" s="138">
        <v>-1.567924493342</v>
      </c>
      <c r="C21" s="138">
        <v>2.70142826740544</v>
      </c>
      <c r="D21" s="138">
        <v>6.1160966190277897E-3</v>
      </c>
      <c r="E21" s="138">
        <v>1.9454189574054199</v>
      </c>
      <c r="F21" s="137" t="s">
        <v>304</v>
      </c>
    </row>
    <row r="22" spans="1:8" x14ac:dyDescent="0.25">
      <c r="A22" s="137" t="s">
        <v>213</v>
      </c>
      <c r="B22" s="138">
        <v>-1.8896498142260001</v>
      </c>
      <c r="C22" s="138">
        <v>1.3789851174054399</v>
      </c>
      <c r="D22" s="138">
        <v>-9.9338640216688701E-2</v>
      </c>
      <c r="E22" s="138">
        <v>1.6440883274053699</v>
      </c>
      <c r="F22" s="137">
        <v>637</v>
      </c>
    </row>
    <row r="23" spans="1:8" x14ac:dyDescent="0.25">
      <c r="A23" s="137" t="s">
        <v>214</v>
      </c>
      <c r="B23" s="138">
        <v>-2.3167328341362801</v>
      </c>
      <c r="C23" s="138">
        <v>4.6105982474054397</v>
      </c>
      <c r="D23" s="138">
        <v>8.1780585302742098E-2</v>
      </c>
      <c r="E23" s="138">
        <v>2.4371837874053801</v>
      </c>
      <c r="F23" s="137" t="s">
        <v>304</v>
      </c>
    </row>
    <row r="24" spans="1:8" x14ac:dyDescent="0.25">
      <c r="A24" s="137" t="s">
        <v>215</v>
      </c>
      <c r="B24" s="138">
        <v>-1.9827880216179401</v>
      </c>
      <c r="C24" s="138">
        <v>1.63996525740543</v>
      </c>
      <c r="D24" s="138">
        <v>-8.0581676791333205E-3</v>
      </c>
      <c r="E24" s="138">
        <v>1.99464387740545</v>
      </c>
      <c r="F24" s="137" t="s">
        <v>304</v>
      </c>
    </row>
    <row r="25" spans="1:8" x14ac:dyDescent="0.25">
      <c r="A25" s="137" t="s">
        <v>218</v>
      </c>
      <c r="B25" s="138">
        <v>-7.7828179942835002E-2</v>
      </c>
      <c r="C25" s="138">
        <v>5.41741480740545</v>
      </c>
      <c r="D25" s="138">
        <v>-0.116880126830938</v>
      </c>
      <c r="E25" s="138">
        <v>2.3158929874053902</v>
      </c>
      <c r="F25" s="137" t="s">
        <v>304</v>
      </c>
    </row>
    <row r="26" spans="1:8" x14ac:dyDescent="0.25">
      <c r="A26" s="137" t="s">
        <v>220</v>
      </c>
      <c r="B26" s="138">
        <v>-0.801284650347036</v>
      </c>
      <c r="C26" s="138">
        <v>4.4696641674054503</v>
      </c>
      <c r="D26" s="138">
        <v>8.3487218640498795E-2</v>
      </c>
      <c r="E26" s="138">
        <v>4.2852767774054401</v>
      </c>
      <c r="F26" s="137">
        <v>875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40A6-F72F-48F4-96BA-3A88FF96F5FE}">
  <dimension ref="A1:B10"/>
  <sheetViews>
    <sheetView workbookViewId="0">
      <selection activeCell="F18" sqref="F18"/>
    </sheetView>
  </sheetViews>
  <sheetFormatPr defaultRowHeight="15" x14ac:dyDescent="0.25"/>
  <cols>
    <col min="1" max="1" width="9.140625" style="45"/>
    <col min="2" max="2" width="29.5703125" style="45" customWidth="1"/>
    <col min="3" max="16384" width="9.140625" style="45"/>
  </cols>
  <sheetData>
    <row r="1" spans="1:2" x14ac:dyDescent="0.25">
      <c r="A1" s="45" t="s">
        <v>615</v>
      </c>
      <c r="B1" s="45" t="s">
        <v>634</v>
      </c>
    </row>
    <row r="2" spans="1:2" ht="18" x14ac:dyDescent="0.25">
      <c r="A2" s="45" t="s">
        <v>633</v>
      </c>
      <c r="B2" s="43">
        <v>1.9959642733777001</v>
      </c>
    </row>
    <row r="3" spans="1:2" x14ac:dyDescent="0.25">
      <c r="A3" s="45" t="s">
        <v>160</v>
      </c>
      <c r="B3" s="43">
        <v>-1.8322418780476999</v>
      </c>
    </row>
    <row r="4" spans="1:2" x14ac:dyDescent="0.25">
      <c r="A4" s="45" t="s">
        <v>628</v>
      </c>
      <c r="B4" s="43">
        <v>-3.0168687280945998</v>
      </c>
    </row>
    <row r="5" spans="1:2" x14ac:dyDescent="0.25">
      <c r="A5" s="45" t="s">
        <v>176</v>
      </c>
      <c r="B5" s="43">
        <v>-0.65181310217459998</v>
      </c>
    </row>
    <row r="6" spans="1:2" x14ac:dyDescent="0.25">
      <c r="A6" s="45" t="s">
        <v>213</v>
      </c>
      <c r="B6" s="43">
        <v>-0.39273632292267002</v>
      </c>
    </row>
    <row r="7" spans="1:2" x14ac:dyDescent="0.25">
      <c r="A7" s="45" t="s">
        <v>214</v>
      </c>
      <c r="B7" s="43">
        <v>-1.2050763907285</v>
      </c>
    </row>
    <row r="8" spans="1:2" x14ac:dyDescent="0.25">
      <c r="A8" s="45" t="s">
        <v>215</v>
      </c>
      <c r="B8" s="43">
        <v>-0.40762478490050003</v>
      </c>
    </row>
    <row r="9" spans="1:2" x14ac:dyDescent="0.25">
      <c r="A9" s="45" t="s">
        <v>218</v>
      </c>
      <c r="B9" s="43">
        <v>0.30108112224074002</v>
      </c>
    </row>
    <row r="10" spans="1:2" x14ac:dyDescent="0.25">
      <c r="A10" s="45" t="s">
        <v>220</v>
      </c>
      <c r="B10" s="43">
        <v>-2.7234691085163001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reduced_properties</vt:lpstr>
      <vt:lpstr>oxide_properties</vt:lpstr>
      <vt:lpstr>oxide_pairs</vt:lpstr>
      <vt:lpstr>oxide_correlation</vt:lpstr>
      <vt:lpstr>bulk_vacancy</vt:lpstr>
      <vt:lpstr>goxide_mp</vt:lpstr>
      <vt:lpstr>surface_formation_energy</vt:lpstr>
      <vt:lpstr>formation_energy_corr</vt:lpstr>
      <vt:lpstr>oxides_caviness</vt:lpstr>
      <vt:lpstr>final_list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Saleheen, Mohammad</dc:creator>
  <cp:lastModifiedBy>Saleheen, Mohammad</cp:lastModifiedBy>
  <cp:lastPrinted>2020-01-29T18:52:47Z</cp:lastPrinted>
  <dcterms:created xsi:type="dcterms:W3CDTF">2019-10-17T13:37:52Z</dcterms:created>
  <dcterms:modified xsi:type="dcterms:W3CDTF">2020-02-28T22:06:38Z</dcterms:modified>
</cp:coreProperties>
</file>